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Index" sheetId="1" r:id="rId1"/>
    <sheet name="Input" sheetId="2" r:id="rId2"/>
    <sheet name="LAFs" sheetId="3" r:id="rId3"/>
    <sheet name="DRM" sheetId="4" r:id="rId4"/>
    <sheet name="SM" sheetId="5" r:id="rId5"/>
    <sheet name="Loads" sheetId="6" r:id="rId6"/>
    <sheet name="Multi" sheetId="7" r:id="rId7"/>
    <sheet name="SMD" sheetId="8" r:id="rId8"/>
    <sheet name="AMD" sheetId="9" r:id="rId9"/>
    <sheet name="Otex" sheetId="10" r:id="rId10"/>
    <sheet name="Contrib" sheetId="11" r:id="rId11"/>
    <sheet name="Yard" sheetId="12" r:id="rId12"/>
    <sheet name="Standing" sheetId="13" r:id="rId13"/>
    <sheet name="AggCap" sheetId="14" r:id="rId14"/>
    <sheet name="Reactive" sheetId="15" r:id="rId15"/>
    <sheet name="Aggreg" sheetId="16" r:id="rId16"/>
    <sheet name="Revenue" sheetId="17" r:id="rId17"/>
    <sheet name="Scaler" sheetId="18" r:id="rId18"/>
    <sheet name="Adjust" sheetId="19" r:id="rId19"/>
    <sheet name="Tariffs" sheetId="20" r:id="rId20"/>
    <sheet name="Summary" sheetId="21" r:id="rId21"/>
    <sheet name="M-ATW" sheetId="22" r:id="rId22"/>
    <sheet name="M-Rev" sheetId="23" r:id="rId23"/>
    <sheet name="CData" sheetId="24" r:id="rId24"/>
    <sheet name="CTables" sheetId="25" r:id="rId25"/>
  </sheets>
  <definedNames>
    <definedName name="_xlnm._FilterDatabase" localSheetId="0" hidden="1">Index!$A$27:$C$249</definedName>
    <definedName name="_xlnm.Print_Area" localSheetId="1">Input!$A$1:$J$370</definedName>
    <definedName name="_xlnm.Print_Area" localSheetId="6">Multi!$A:$V</definedName>
  </definedNames>
  <calcPr calcId="124519" fullCalcOnLoad="1"/>
</workbook>
</file>

<file path=xl/sharedStrings.xml><?xml version="1.0" encoding="utf-8"?>
<sst xmlns="http://schemas.openxmlformats.org/spreadsheetml/2006/main" count="8104" uniqueCount="1877">
  <si>
    <t>1000. Company, charging year, data version</t>
  </si>
  <si>
    <t>Company</t>
  </si>
  <si>
    <t>Year</t>
  </si>
  <si>
    <t>Version</t>
  </si>
  <si>
    <t>Company, charging year, data version</t>
  </si>
  <si>
    <t>no company</t>
  </si>
  <si>
    <t>no year</t>
  </si>
  <si>
    <t>no data version</t>
  </si>
  <si>
    <t>1001. CDCM target revenue</t>
  </si>
  <si>
    <t>Further description</t>
  </si>
  <si>
    <t>Term</t>
  </si>
  <si>
    <t>CRC</t>
  </si>
  <si>
    <t>Value</t>
  </si>
  <si>
    <t>Revenue elements and subtotals (£/year)</t>
  </si>
  <si>
    <t>Base Demand Revenue Before Inflation</t>
  </si>
  <si>
    <t>RPI Indexation Factor</t>
  </si>
  <si>
    <t>Merger Adjustment</t>
  </si>
  <si>
    <t>Base Demand Revenue</t>
  </si>
  <si>
    <t>Pass-Through Business Rates</t>
  </si>
  <si>
    <t>Pass-Through Licence Fees</t>
  </si>
  <si>
    <t>Pass-Through Transmission Exit</t>
  </si>
  <si>
    <t>Pass-Through Price Control Reopener</t>
  </si>
  <si>
    <t>Pass-Through Others</t>
  </si>
  <si>
    <t>Allowed Pass-Through Items</t>
  </si>
  <si>
    <t>Losses Incentive #1</t>
  </si>
  <si>
    <t>Losses Incentive #2</t>
  </si>
  <si>
    <t>Losses Incentive #3</t>
  </si>
  <si>
    <t>Losses Incentive #4</t>
  </si>
  <si>
    <t>Quality of Service Incentive Adjustment</t>
  </si>
  <si>
    <t>Transmission Connection Point Charges Incentive Adjustment</t>
  </si>
  <si>
    <t>Innovation Funding Incentive Adjustment</t>
  </si>
  <si>
    <t>Incentive Revenue for Distributed Generation</t>
  </si>
  <si>
    <t>Connection Guaranteed Standards Systems &amp; Processes penalty</t>
  </si>
  <si>
    <t>Low Carbon Network Fund #1</t>
  </si>
  <si>
    <t>Low Carbon Network Fund #2</t>
  </si>
  <si>
    <t>Low Carbon Network Fund #3</t>
  </si>
  <si>
    <t>Incentive Revenue and Other Adjustments</t>
  </si>
  <si>
    <t>Correction Factor</t>
  </si>
  <si>
    <t>Tax Trigger Mechanism Adjustment</t>
  </si>
  <si>
    <t>Total Allowed Revenue</t>
  </si>
  <si>
    <t>Other 1. Excluded services - Top-up, standby, and enhanced system security</t>
  </si>
  <si>
    <t>Other 2. Excluded services - Revenue protection services</t>
  </si>
  <si>
    <t>Other 3. Excluded services - Miscellaneous</t>
  </si>
  <si>
    <t>Other 4.</t>
  </si>
  <si>
    <t>Other 5.</t>
  </si>
  <si>
    <t>Total Other Revenue to be Recovered by Use of System Charges</t>
  </si>
  <si>
    <t>Total Revenue for Use of System Charges</t>
  </si>
  <si>
    <t>1. Revenue raised outside CDCM - EDCM and Certain Interconnector Revenue</t>
  </si>
  <si>
    <t>2. Voluntary under-recovery</t>
  </si>
  <si>
    <t>3. Revenue raised outside CDCM</t>
  </si>
  <si>
    <t>4. Revenue raised outside CDCM</t>
  </si>
  <si>
    <t>Total Revenue to be raised outside the CDCM</t>
  </si>
  <si>
    <t>Latest Forecast of CDCM Revenue</t>
  </si>
  <si>
    <t>A1</t>
  </si>
  <si>
    <t>A2</t>
  </si>
  <si>
    <t>A3</t>
  </si>
  <si>
    <t>A = A1*A2 – A3</t>
  </si>
  <si>
    <t>B1</t>
  </si>
  <si>
    <t>B2</t>
  </si>
  <si>
    <t>B3</t>
  </si>
  <si>
    <t>B4</t>
  </si>
  <si>
    <t>B5</t>
  </si>
  <si>
    <t>B=B1+B2+B3+B4+B5</t>
  </si>
  <si>
    <t>C1</t>
  </si>
  <si>
    <t>C2</t>
  </si>
  <si>
    <t>C3</t>
  </si>
  <si>
    <t>C4</t>
  </si>
  <si>
    <t>C5</t>
  </si>
  <si>
    <t>C6</t>
  </si>
  <si>
    <t>C7</t>
  </si>
  <si>
    <t>C=C1+C2+C3+C4+C5+C6+C7</t>
  </si>
  <si>
    <t>D</t>
  </si>
  <si>
    <t>E</t>
  </si>
  <si>
    <t>F=A+B+C+D+E</t>
  </si>
  <si>
    <t>G1 (see note 1)</t>
  </si>
  <si>
    <t>G2 (see note 1)</t>
  </si>
  <si>
    <t>G3 (see note 1)</t>
  </si>
  <si>
    <t>G4</t>
  </si>
  <si>
    <t>G5</t>
  </si>
  <si>
    <t>G=G1+G2+G3+G4+G5</t>
  </si>
  <si>
    <t>H = F + G</t>
  </si>
  <si>
    <t>I1</t>
  </si>
  <si>
    <t>I2</t>
  </si>
  <si>
    <t>I3</t>
  </si>
  <si>
    <t>I4</t>
  </si>
  <si>
    <t>I=I1+I2+I3+I4</t>
  </si>
  <si>
    <t>J = H – I</t>
  </si>
  <si>
    <t>PUt</t>
  </si>
  <si>
    <t>PIADt</t>
  </si>
  <si>
    <t>MGt</t>
  </si>
  <si>
    <t>BRt</t>
  </si>
  <si>
    <t>RBt</t>
  </si>
  <si>
    <t>LFt</t>
  </si>
  <si>
    <t>TBt</t>
  </si>
  <si>
    <t>UNCt</t>
  </si>
  <si>
    <t>MPTt, HBt, IEDt</t>
  </si>
  <si>
    <t>PTt</t>
  </si>
  <si>
    <t>UILt</t>
  </si>
  <si>
    <t>PCOLt</t>
  </si>
  <si>
    <t>–COLt</t>
  </si>
  <si>
    <t>PPLt</t>
  </si>
  <si>
    <t>IQt</t>
  </si>
  <si>
    <t>ITt</t>
  </si>
  <si>
    <t>IFIt</t>
  </si>
  <si>
    <t>IGt</t>
  </si>
  <si>
    <t>CGSRAt, CGSSPt, AUMt</t>
  </si>
  <si>
    <t>LCN1t</t>
  </si>
  <si>
    <t>LCN2t</t>
  </si>
  <si>
    <t>LCN3t</t>
  </si>
  <si>
    <t>–Kt</t>
  </si>
  <si>
    <t>CTRAt</t>
  </si>
  <si>
    <t>ARt</t>
  </si>
  <si>
    <t>ES4</t>
  </si>
  <si>
    <t>ES5</t>
  </si>
  <si>
    <t>ES7</t>
  </si>
  <si>
    <t>CRC3</t>
  </si>
  <si>
    <t>CRC4</t>
  </si>
  <si>
    <t>CRC7</t>
  </si>
  <si>
    <t>CRC8</t>
  </si>
  <si>
    <t>CRC9</t>
  </si>
  <si>
    <t>CRC10</t>
  </si>
  <si>
    <t>CRC11</t>
  </si>
  <si>
    <t>CRC12</t>
  </si>
  <si>
    <t>CRC13</t>
  </si>
  <si>
    <t>CRC15</t>
  </si>
  <si>
    <t>Note 1: Revenues associated with excluded services should only be included insofar as they are charged as Use of System Charges.</t>
  </si>
  <si>
    <t>1010. Financial and general assumptions</t>
  </si>
  <si>
    <t>Sources: financial assumptions; calendar; network model.</t>
  </si>
  <si>
    <t>These financial assumptions determine the annuity rate applied to convert the asset values of the network model into an annual charge.</t>
  </si>
  <si>
    <t>Rate of return</t>
  </si>
  <si>
    <t>Annualisation period (years)</t>
  </si>
  <si>
    <t>Annuity proportion for customer-contributed assets</t>
  </si>
  <si>
    <t>Power factor</t>
  </si>
  <si>
    <t>Days in the charging year</t>
  </si>
  <si>
    <t>Financial and general assumptions</t>
  </si>
  <si>
    <t>1017. Diversity allowance between top and bottom of network level</t>
  </si>
  <si>
    <t>Source: operational data analysis and/or network model.</t>
  </si>
  <si>
    <t>The diversity figure against GSP is the diversity between GSP Group (the whole system) and individual GSPs.</t>
  </si>
  <si>
    <t xml:space="preserve">The diversity figure against 132kV is the diversity between GSPs (the top of the 132kV network) and 132kV/EHV bulk supply points (the bottom of the 132kV network). </t>
  </si>
  <si>
    <t xml:space="preserve">The diversity figure against EHV is the diversity between 132kV/EHV bulk supply points (the top of the EHV network) and EHV/HV primary substations (the bottom of the EHV network). </t>
  </si>
  <si>
    <t xml:space="preserve">The diversity figure against HV is the diversity between EHV/HV primary substations (the top of the HV network) and HV/LV substations (the bottom of the HV network). </t>
  </si>
  <si>
    <t>Diversity allowance between top and bottom of network level</t>
  </si>
  <si>
    <t>GSPs</t>
  </si>
  <si>
    <t>132kV</t>
  </si>
  <si>
    <t>132kV/EHV</t>
  </si>
  <si>
    <t>EHV</t>
  </si>
  <si>
    <t>EHV/HV</t>
  </si>
  <si>
    <t>HV</t>
  </si>
  <si>
    <t>HV/LV</t>
  </si>
  <si>
    <t>LV circuits</t>
  </si>
  <si>
    <t>1018. Proportion of relevant load going through 132kV/HV direct transformation</t>
  </si>
  <si>
    <t>132kV/HV</t>
  </si>
  <si>
    <t>1019. Network model GSP peak demand (MW)</t>
  </si>
  <si>
    <t>Network model GSP peak demand (MW)</t>
  </si>
  <si>
    <t>1020. Gross asset cost by network level (£)</t>
  </si>
  <si>
    <t>Gross assets £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</si>
  <si>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</si>
  <si>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</si>
  <si>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</si>
  <si>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</si>
  <si>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</si>
  <si>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</si>
  <si>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</si>
  <si>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</si>
  <si>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</si>
  <si>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LV service model asset cost (£)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</si>
  <si>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</si>
  <si>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</si>
  <si>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</si>
  <si>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</si>
  <si>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</si>
  <si>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</si>
  <si>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HV service model asset cost (£)</t>
  </si>
  <si>
    <t>1025. Matrix of applicability of LV service models to tariffs with fixed charges</t>
  </si>
  <si>
    <t>Domestic Unrestricted</t>
  </si>
  <si>
    <t>Domestic Two Rate</t>
  </si>
  <si>
    <t>Small Non Domestic Unrestricted</t>
  </si>
  <si>
    <t>Small Non Domestic Two Rate</t>
  </si>
  <si>
    <t>LV Network Domestic</t>
  </si>
  <si>
    <t>LV Network Non-Domestic Non-CT</t>
  </si>
  <si>
    <t>LV HH Metered</t>
  </si>
  <si>
    <t>LV Sub HH Metered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</si>
  <si>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</si>
  <si>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</si>
  <si>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</si>
  <si>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</si>
  <si>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</si>
  <si>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</si>
  <si>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1026. Matrix of applicability of LV service models to unmetered tariffs</t>
  </si>
  <si>
    <t>Source: service models</t>
  </si>
  <si>
    <t>Proportion of service model involved in connecting load of 1 MWh/year</t>
  </si>
  <si>
    <t>All LV unmetered tariffs</t>
  </si>
  <si>
    <t>1028. Matrix of applicability of HV service models to tariffs with fixed charges</t>
  </si>
  <si>
    <t>HV HH Metered</t>
  </si>
  <si>
    <t>HV Generation Intermittent</t>
  </si>
  <si>
    <t>HV Generation Non-Intermittent</t>
  </si>
  <si>
    <t>1032. Loss adjustment factors to transmission</t>
  </si>
  <si>
    <t>Source: losses model or loss adjustment factors at time of system peak.</t>
  </si>
  <si>
    <t>Loss adjustment factor</t>
  </si>
  <si>
    <t>1037. Embedded network (LDNO) discounts</t>
  </si>
  <si>
    <t>Source: separate price control disaggregation model.</t>
  </si>
  <si>
    <t>No discount</t>
  </si>
  <si>
    <t>LDNO LV: LV user</t>
  </si>
  <si>
    <t>LDNO HV: LV user</t>
  </si>
  <si>
    <t>LDNO HV: LV sub user</t>
  </si>
  <si>
    <t>LDNO HV: HV user</t>
  </si>
  <si>
    <t>LDNO discount</t>
  </si>
  <si>
    <t>1041. Load profile data for demand users</t>
  </si>
  <si>
    <t>Source: load data analysis.</t>
  </si>
  <si>
    <t>Coincidence factor</t>
  </si>
  <si>
    <t>Load factor</t>
  </si>
  <si>
    <t>Domestic Off Peak (related MPAN)</t>
  </si>
  <si>
    <t>Small Non Domestic Off Peak (related MPAN)</t>
  </si>
  <si>
    <t>NHH UMS category A</t>
  </si>
  <si>
    <t>NHH UMS category B</t>
  </si>
  <si>
    <t>NHH UMS category C</t>
  </si>
  <si>
    <t>NHH UMS category D</t>
  </si>
  <si>
    <t>LV UMS (Pseudo HH Metered)</t>
  </si>
  <si>
    <t>1053. Volume forecasts for the charging year</t>
  </si>
  <si>
    <t>Source: forecast.</t>
  </si>
  <si>
    <t>Please include MPAN counts for tariffs with no fixed charge (e.g. off-peak tariffs), but exclude MPANs on tariffs with a fixed</t>
  </si>
  <si>
    <t>charge that are not subject to a fixed charge due to a site grouping arrangement.</t>
  </si>
  <si>
    <t>Rate 1 units (MWh)</t>
  </si>
  <si>
    <t>Rate 2 units (MWh)</t>
  </si>
  <si>
    <t>Rate 3 units (MWh)</t>
  </si>
  <si>
    <t>MPANs</t>
  </si>
  <si>
    <t>Import capacity (kVA)</t>
  </si>
  <si>
    <t>Reactive power units (MVArh)</t>
  </si>
  <si>
    <t>&gt; Domestic Unrestricted</t>
  </si>
  <si>
    <t>LDNO LV: Domestic Unrestricted</t>
  </si>
  <si>
    <t>LDNO HV: Domestic Unrestricted</t>
  </si>
  <si>
    <t>&gt; Domestic Two Rate</t>
  </si>
  <si>
    <t>LDNO LV: Domestic Two Rate</t>
  </si>
  <si>
    <t>LDNO HV: Domestic Two Rate</t>
  </si>
  <si>
    <t>&gt; Domestic Off Peak (related MPAN)</t>
  </si>
  <si>
    <t>LDNO LV: Domestic Off Peak (related MPAN)</t>
  </si>
  <si>
    <t>LDNO HV: Domestic Off Peak (related MPAN)</t>
  </si>
  <si>
    <t>&gt; Small Non Domestic Unrestricted</t>
  </si>
  <si>
    <t>LDNO LV: Small Non Domestic Unrestricted</t>
  </si>
  <si>
    <t>LDNO HV: Small Non Domestic Unrestricted</t>
  </si>
  <si>
    <t>&gt; Small Non Domestic Two Rate</t>
  </si>
  <si>
    <t>LDNO LV: Small Non Domestic Two Rate</t>
  </si>
  <si>
    <t>LDNO HV: Small Non Domestic Two Rate</t>
  </si>
  <si>
    <t>&gt; Small Non Domestic Off Peak (related MPAN)</t>
  </si>
  <si>
    <t>LDNO LV: Small Non Domestic Off Peak (related MPAN)</t>
  </si>
  <si>
    <t>LDNO HV: Small Non Domestic Off Peak (related MPAN)</t>
  </si>
  <si>
    <t>&gt; LV Network Domestic</t>
  </si>
  <si>
    <t>LDNO LV: LV Network Domestic</t>
  </si>
  <si>
    <t>LDNO HV: LV Network Domestic</t>
  </si>
  <si>
    <t>&gt; LV Network Non-Domestic Non-CT</t>
  </si>
  <si>
    <t>LDNO LV: LV Network Non-Domestic Non-CT</t>
  </si>
  <si>
    <t>LDNO HV: LV Network Non-Domestic Non-CT</t>
  </si>
  <si>
    <t>&gt; LV HH Metered</t>
  </si>
  <si>
    <t>LDNO LV: LV HH Metered</t>
  </si>
  <si>
    <t>LDNO HV: LV HH Metered</t>
  </si>
  <si>
    <t>&gt; LV Sub HH Metered</t>
  </si>
  <si>
    <t>LDNO HV: LV Sub HH Metered</t>
  </si>
  <si>
    <t>&gt; HV HH Metered</t>
  </si>
  <si>
    <t>LDNO HV: HV HH Metered</t>
  </si>
  <si>
    <t>&gt; NHH UMS category A</t>
  </si>
  <si>
    <t>LDNO LV: NHH UMS category A</t>
  </si>
  <si>
    <t>LDNO HV: NHH UMS category A</t>
  </si>
  <si>
    <t>&gt; NHH UMS category B</t>
  </si>
  <si>
    <t>LDNO LV: NHH UMS category B</t>
  </si>
  <si>
    <t>LDNO HV: NHH UMS category B</t>
  </si>
  <si>
    <t>&gt; NHH UMS category C</t>
  </si>
  <si>
    <t>LDNO LV: NHH UMS category C</t>
  </si>
  <si>
    <t>LDNO HV: NHH UMS category C</t>
  </si>
  <si>
    <t>&gt; NHH UMS category D</t>
  </si>
  <si>
    <t>LDNO LV: NHH UMS category D</t>
  </si>
  <si>
    <t>LDNO HV: NHH UMS category D</t>
  </si>
  <si>
    <t>&gt; LV UMS (Pseudo HH Metered)</t>
  </si>
  <si>
    <t>LDNO LV: LV UMS (Pseudo HH Metered)</t>
  </si>
  <si>
    <t>LDNO HV: LV UMS (Pseudo HH Metered)</t>
  </si>
  <si>
    <t>&gt; LV Generation NHH or Aggregate HH</t>
  </si>
  <si>
    <t>LDNO LV: LV Generation NHH or Aggregate HH</t>
  </si>
  <si>
    <t>LDNO HV: LV Generation NHH or Aggregate HH</t>
  </si>
  <si>
    <t>&gt; LV Sub Generation NHH</t>
  </si>
  <si>
    <t>LDNO HV: LV Sub Generation NHH</t>
  </si>
  <si>
    <t>&gt; LV Generation Intermittent</t>
  </si>
  <si>
    <t>LDNO LV: LV Generation Intermittent</t>
  </si>
  <si>
    <t>LDNO HV: LV Generation Intermittent</t>
  </si>
  <si>
    <t>&gt; LV Generation Non-Intermittent</t>
  </si>
  <si>
    <t>LDNO LV: LV Generation Non-Intermittent</t>
  </si>
  <si>
    <t>LDNO HV: LV Generation Non-Intermittent</t>
  </si>
  <si>
    <t>&gt; LV Sub Generation Intermittent</t>
  </si>
  <si>
    <t>LDNO HV: LV Sub Generation Intermittent</t>
  </si>
  <si>
    <t>&gt; LV Sub Generation Non-Intermittent</t>
  </si>
  <si>
    <t>LDNO HV: LV Sub Generation Non-Intermittent</t>
  </si>
  <si>
    <t>&gt; HV Generation Intermittent</t>
  </si>
  <si>
    <t>LDNO HV: HV Generation Intermittent</t>
  </si>
  <si>
    <t>&gt; HV Generation Non-Intermittent</t>
  </si>
  <si>
    <t>LDNO HV: HV Generation Non-Intermittent</t>
  </si>
  <si>
    <t>1055. Transmission exit charges (£/year)</t>
  </si>
  <si>
    <t>Transmission
exit</t>
  </si>
  <si>
    <t>Transmission exit charges (£/year)</t>
  </si>
  <si>
    <t>1059. Other expenditure</t>
  </si>
  <si>
    <t>Direct cost (£/year)</t>
  </si>
  <si>
    <t>Indirect cost (£/year)</t>
  </si>
  <si>
    <t>Indirect cost proportion</t>
  </si>
  <si>
    <t>Network rates (£/year)</t>
  </si>
  <si>
    <t>Other expenditure</t>
  </si>
  <si>
    <t>1060. Customer contributions under current connection charging policy</t>
  </si>
  <si>
    <t>Source: analysis of expenditure data and/or survey of capital expenditure schemes.</t>
  </si>
  <si>
    <t>Customer contribution percentages by network level of supply and by asset network level.</t>
  </si>
  <si>
    <t>These proportions should reflect the current connection charging method, not necessarily the method that was in place when the connection was built.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</si>
  <si>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</si>
  <si>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</si>
  <si>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</si>
  <si>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</si>
  <si>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</si>
  <si>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</si>
  <si>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</si>
  <si>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</si>
  <si>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LV network</t>
  </si>
  <si>
    <t>LV substation</t>
  </si>
  <si>
    <t>HV network</t>
  </si>
  <si>
    <t>HV substation</t>
  </si>
  <si>
    <t>1061. Average split of rate 1 units by distribution time band</t>
  </si>
  <si>
    <t>Red</t>
  </si>
  <si>
    <t>Amber</t>
  </si>
  <si>
    <t>Green</t>
  </si>
  <si>
    <t>1062. Average split of rate 2 units by distribution time band</t>
  </si>
  <si>
    <t>1064. Average split of rate 1 units by special distribution time band</t>
  </si>
  <si>
    <t>Black</t>
  </si>
  <si>
    <t>Yellow</t>
  </si>
  <si>
    <t>1066. Typical annual hours by special distribution time band</t>
  </si>
  <si>
    <t>Source: definition of distribution time bands.</t>
  </si>
  <si>
    <t>The figures in this table will be automatically adjusted to match the number of days in the charging period.</t>
  </si>
  <si>
    <t>Annual hours</t>
  </si>
  <si>
    <t>1068. Typical annual hours by distribution time band</t>
  </si>
  <si>
    <t>1069. Peaking probabilities by network level</t>
  </si>
  <si>
    <t>Source: analysis of network operation data.</t>
  </si>
  <si>
    <t>Red, amber and green peaking probabilities</t>
  </si>
  <si>
    <t>Black peaking probabilities</t>
  </si>
  <si>
    <t>1092. Average kVAr by kVA, by network level</t>
  </si>
  <si>
    <t>Source: analysis of operational data.</t>
  </si>
  <si>
    <t>This is the average of MVAr/MVA or SQRT(1-PF^2) across relevant network elements.</t>
  </si>
  <si>
    <t>Average kVAr by kVA, by network level</t>
  </si>
  <si>
    <t>1201. Current tariff information</t>
  </si>
  <si>
    <t>Current revenues if known (£)</t>
  </si>
  <si>
    <t>Current Unit rate 1 p/kWh</t>
  </si>
  <si>
    <t>Current Unit rate 2 p/kWh</t>
  </si>
  <si>
    <t>Current Unit rate 3 p/kWh</t>
  </si>
  <si>
    <t>Current Fixed charge p/MPAN/day</t>
  </si>
  <si>
    <t>Current Capacity charge p/kVA/day</t>
  </si>
  <si>
    <t>Current Reactive power charge p/kVArh</t>
  </si>
  <si>
    <t>This sheet contains all the input data (except LLFCs which might be entered directly into the Tariff sheet).</t>
  </si>
  <si>
    <t>This sheet calculates matrices of loss adjustment factors and of network use factors.</t>
  </si>
  <si>
    <t>These matrices map out the extent to which each type of user uses each level of the network, and are used throughout the workbook.</t>
  </si>
  <si>
    <t>2001. Loss adjustment factors to transmission</t>
  </si>
  <si>
    <t>Data sources:</t>
  </si>
  <si>
    <t>x1 = Network level for each tariff (to get loss factors applicable to capacity) (in Loss adjustment factors to transmission)</t>
  </si>
  <si>
    <t>x2 = 1032. Loss adjustment factors to transmission</t>
  </si>
  <si>
    <t>Kind:</t>
  </si>
  <si>
    <t>Fixed data</t>
  </si>
  <si>
    <t>Sum-product calculation</t>
  </si>
  <si>
    <t>Formula:</t>
  </si>
  <si>
    <t/>
  </si>
  <si>
    <t>=SUMPRODUCT(x1, x2)</t>
  </si>
  <si>
    <t>Network level for each tariff (to get loss factors applicable to capacity)</t>
  </si>
  <si>
    <t>2002. Mapping of DRM network levels to core network levels</t>
  </si>
  <si>
    <t>2003. Loss adjustment factor to transmission for each DRM network level</t>
  </si>
  <si>
    <t>x1 = 2002. Mapping of DRM network levels to core network levels</t>
  </si>
  <si>
    <t>Sum-product calculation =SUMPRODUCT(x1, x2)</t>
  </si>
  <si>
    <t>Loss adjustment factor to transmission for each DRM network level</t>
  </si>
  <si>
    <t>2004. Loss adjustment factor to transmission for each network level</t>
  </si>
  <si>
    <t>x1 = 2003. Loss adjustment factor to transmission for each DRM network level</t>
  </si>
  <si>
    <t>x2 = 1 for GSP level</t>
  </si>
  <si>
    <t>Combine tables = x1 or x2</t>
  </si>
  <si>
    <t>Loss adjustment factor to transmission for each network level</t>
  </si>
  <si>
    <t>2005. Network use factors</t>
  </si>
  <si>
    <t>These network use factors indicate to what extent each network level is used by each tariff. This table reflects the policy that</t>
  </si>
  <si>
    <t>generators receive credits only in respect of network levels above the voltage of connection. Generators do not receive credits at the</t>
  </si>
  <si>
    <t>voltage of connection. The factors in this table are before any adjustment for a 132kV/HV network level or for generation-dominated areas.</t>
  </si>
  <si>
    <t>2006. Proportion going through 132kV/EHV</t>
  </si>
  <si>
    <t>x1 = 1018. Proportion of relevant load going through 132kV/HV direct transformation</t>
  </si>
  <si>
    <t>Calculation =1-x1</t>
  </si>
  <si>
    <t>2007. Proportion going through EHV</t>
  </si>
  <si>
    <t>2008. Proportion going through EHV/HV</t>
  </si>
  <si>
    <t>2009. Rerouteing matrix for all network levels</t>
  </si>
  <si>
    <t>x2 = 2006. Proportion going through 132kV/EHV</t>
  </si>
  <si>
    <t>x3 = 2007. Proportion going through EHV</t>
  </si>
  <si>
    <t>x4 = 2008. Proportion going through EHV/HV</t>
  </si>
  <si>
    <t>x5 = Rerouteing matrix: default elements</t>
  </si>
  <si>
    <t>x6 = Map GSP to GSP</t>
  </si>
  <si>
    <t>Combine tables = x1 or x2 or x3 or x4 or x5 or x6</t>
  </si>
  <si>
    <t>2010. Network use factors: interim step in calculations before adjustments</t>
  </si>
  <si>
    <t>x1 = 2005. Network use factors</t>
  </si>
  <si>
    <t>x2 = 2009. Rerouteing matrix for all network levels</t>
  </si>
  <si>
    <t>2011. Network use factors for all tariffs</t>
  </si>
  <si>
    <t>x1 = Network use factors including 132kV/HV for generation dominated tariffs</t>
  </si>
  <si>
    <t>x2 = Network use factors including 132kV/HV for HV Sub tariffs</t>
  </si>
  <si>
    <t>x3 = 2010. Network use factors: interim step in calculations before adjustments</t>
  </si>
  <si>
    <t>Combine tables = x1 or x2 or x3</t>
  </si>
  <si>
    <t>2012. Loss adjustment factors between end user meter reading and each network level, scaled by network use</t>
  </si>
  <si>
    <t>x1 = 2004. Loss adjustment factor to transmission for each network level</t>
  </si>
  <si>
    <t>x2 = 2011. Network use factors for all tariffs</t>
  </si>
  <si>
    <t>x3 = 2001. Loss adjustment factor to transmission (in Loss adjustment factors to transmission)</t>
  </si>
  <si>
    <t>Calculation =IF(x1="",x2,x2*x3/x1)</t>
  </si>
  <si>
    <t>This sheet collects data from a network model and calculates aggregated annuitised unit costs from these data.</t>
  </si>
  <si>
    <t>2101. Annuity rate</t>
  </si>
  <si>
    <t>x1 = 1010. Rate of return (in Financial and general assumptions)</t>
  </si>
  <si>
    <t>x2 = 1010. Annualisation period (years) (in Financial and general assumptions)</t>
  </si>
  <si>
    <t>x3 = 1010. Days in the charging year (in Financial and general assumptions)</t>
  </si>
  <si>
    <t>Calculation =PMT(x1,x2,-1)*IF(OR(x3&gt;366,x3&lt;365),x3/365.25,1)</t>
  </si>
  <si>
    <t>Annuity rate</t>
  </si>
  <si>
    <t>2102. Loss adjustment factor to transmission for each core level</t>
  </si>
  <si>
    <t>x1 = 1032. Loss adjustment factors to transmission</t>
  </si>
  <si>
    <t>Loss adjustment factor to transmission for each core level</t>
  </si>
  <si>
    <t>2103. Loss adjustment factors</t>
  </si>
  <si>
    <t>x1 = 2102. Loss adjustment factor to transmission for each core level</t>
  </si>
  <si>
    <t>x2 = Loss adjustment factor to transmission for network level exit (in Loss adjustment factors)</t>
  </si>
  <si>
    <t>Copy cells</t>
  </si>
  <si>
    <t>Special copy</t>
  </si>
  <si>
    <t>=x1</t>
  </si>
  <si>
    <t>= x2</t>
  </si>
  <si>
    <t>Loss adjustment factor to transmission for network level exit</t>
  </si>
  <si>
    <t>Loss adjustment factor to transmission for network level entry</t>
  </si>
  <si>
    <t>2104. Diversity calculations</t>
  </si>
  <si>
    <t>x1 = 1017. Diversity allowance between top and bottom of network level</t>
  </si>
  <si>
    <t>x2 = Coincidence to system peak at level exit (in Diversity calculations)</t>
  </si>
  <si>
    <t>Special calculation</t>
  </si>
  <si>
    <t>=previous/(1+x1)</t>
  </si>
  <si>
    <t>=1/x2-1</t>
  </si>
  <si>
    <t>Coincidence to GSP peak at level exit</t>
  </si>
  <si>
    <t>Coincidence to system peak at level exit</t>
  </si>
  <si>
    <t>Diversity allowance between level exit and GSP Group</t>
  </si>
  <si>
    <t>2105. Network model total maximum demand at substation (MW)</t>
  </si>
  <si>
    <t>x1 = 1019. Network model GSP peak demand (MW)</t>
  </si>
  <si>
    <t>x2 = 2104. Coincidence to GSP peak at level exit (in Diversity calculations)</t>
  </si>
  <si>
    <t>Calculation =x1/x2</t>
  </si>
  <si>
    <t>Network model total maximum demand at substation (MW)</t>
  </si>
  <si>
    <t>2106. Network model contribution to system maximum load measured at network level exit (MW)</t>
  </si>
  <si>
    <t>x1 = 2105. Network model total maximum demand at substation (MW)</t>
  </si>
  <si>
    <t>x2 = 2104. Coincidence to system peak at level exit (in Diversity calculations)</t>
  </si>
  <si>
    <t>x3 = 2103. Loss adjustment factor to transmission for network level exit (in Loss adjustment factors)</t>
  </si>
  <si>
    <t>Calculation =x1*x2/x3</t>
  </si>
  <si>
    <t>Network model contribution to system maximum load measured at network level exit (MW)</t>
  </si>
  <si>
    <t>2107. Rerouteing matrix for DRM network levels</t>
  </si>
  <si>
    <t>Combine tables = x1 or x2 or x3 or x4 or x5</t>
  </si>
  <si>
    <t>2108. GSP simultaneous maximum load assumed through each network level (MW)</t>
  </si>
  <si>
    <t>x1 = 2106. Network model contribution to system maximum load measured at network level exit (MW)</t>
  </si>
  <si>
    <t>x2 = 2107. Rerouteing matrix for DRM network levels</t>
  </si>
  <si>
    <t>GSP simultaneous maximum load assumed through each network level (MW)</t>
  </si>
  <si>
    <t>2109. Network model annuity by simultaneous maximum load for each network level (£/kW/year)</t>
  </si>
  <si>
    <t>x1 = 2108. GSP simultaneous maximum load assumed through each network level (MW)</t>
  </si>
  <si>
    <t>x2 = 1020. Gross asset cost by network level (£)</t>
  </si>
  <si>
    <t>x3 = 2101. Annuity rate</t>
  </si>
  <si>
    <t>Calculation =IF(x1,0.001*x2*x3/x1,0)</t>
  </si>
  <si>
    <t>Model £/kW SML</t>
  </si>
  <si>
    <t>Assets 132kV</t>
  </si>
  <si>
    <t>Assets 132kV/EHV</t>
  </si>
  <si>
    <t>Assets EHV</t>
  </si>
  <si>
    <t>Assets EHV/HV</t>
  </si>
  <si>
    <t>Assets 132kV/HV</t>
  </si>
  <si>
    <t>Assets HV</t>
  </si>
  <si>
    <t>Assets HV/LV</t>
  </si>
  <si>
    <t>Assets LV circuits</t>
  </si>
  <si>
    <t>This sheet collects and processes data from the service models.</t>
  </si>
  <si>
    <t>2201. Asset £/customer from LV service models</t>
  </si>
  <si>
    <t>x1 = 1025. Matrix of applicability of LV service models to tariffs with fixed charges</t>
  </si>
  <si>
    <t>x2 = 1022. LV service model asset cost (£)</t>
  </si>
  <si>
    <t>Assets
LV customer</t>
  </si>
  <si>
    <t>2202. LV unmetered service model assets £/(MWh/year)</t>
  </si>
  <si>
    <t>x1 = 1026. Matrix of applicability of LV service models to unmetered tariffs</t>
  </si>
  <si>
    <t>LV unmetered service model assets £/(MWh/year)</t>
  </si>
  <si>
    <t>2203. LV unmetered service model asset charge (p/kWh)</t>
  </si>
  <si>
    <t>x1 = 1010. Annuity proportion for customer-contributed assets (in Financial and general assumptions)</t>
  </si>
  <si>
    <t>x2 = 2202. LV unmetered service model assets £/(MWh/year)</t>
  </si>
  <si>
    <t>Calculation =0.1*x1*x2*x3</t>
  </si>
  <si>
    <t>LV unmetered service model asset charge (p/kWh)</t>
  </si>
  <si>
    <t>2204. Asset £/customer from HV service models</t>
  </si>
  <si>
    <t>x1 = 1028. Matrix of applicability of HV service models to tariffs with fixed charges</t>
  </si>
  <si>
    <t>x2 = 1023. HV service model asset cost (£)</t>
  </si>
  <si>
    <t>Assets
HV customer</t>
  </si>
  <si>
    <t>2205. Service model assets by tariff (£)</t>
  </si>
  <si>
    <t>x1 = 2201. Asset £/customer from LV service models</t>
  </si>
  <si>
    <t>x2 = 2204. Asset £/customer from HV service models</t>
  </si>
  <si>
    <t>2206. Replacement annuities for service models</t>
  </si>
  <si>
    <t>x1 = 1010. Days in the charging year (in Financial and general assumptions)</t>
  </si>
  <si>
    <t>x2 = 2205. Service model assets by tariff (£)</t>
  </si>
  <si>
    <t>x4 = 1010. Annuity proportion for customer-contributed assets (in Financial and general assumptions)</t>
  </si>
  <si>
    <t>x5 = Service model p/MPAN/day charge (in Replacement annuities for service models)</t>
  </si>
  <si>
    <t>Calculation</t>
  </si>
  <si>
    <t>Cell summation</t>
  </si>
  <si>
    <t>=100/x1*x2*x3*x4</t>
  </si>
  <si>
    <t>=SUM(x5)</t>
  </si>
  <si>
    <t>Service model p/MPAN/day charge</t>
  </si>
  <si>
    <t>Service model p/MPAN/day</t>
  </si>
  <si>
    <t>This sheet compiles information about the assumed characteristics of network users.</t>
  </si>
  <si>
    <t>A load factor represents the average load of a user or user group, relative to the maximum load level of that user or</t>
  </si>
  <si>
    <t>user group. Load factors are numbers between 0 and 1.</t>
  </si>
  <si>
    <t>A coincidence factor represents the expectation value of the load of a user or user group at the time of system maximum load,</t>
  </si>
  <si>
    <t>relative to the maximum load level of that user or user group.  Coincidence factors are numbers between 0 and 1.</t>
  </si>
  <si>
    <t>A load coefficient is the expectation value of the load of a user or user group at the time of system maximum load, relative to the average load level of that user or user group.</t>
  </si>
  <si>
    <t>For demand users, the load coefficient is a demand coefficient and can be calculated as the ratio of the coincidence factor to the load factor.</t>
  </si>
  <si>
    <t>2301. Demand coefficient (load at time of system maximum load divided by average load)</t>
  </si>
  <si>
    <t>x1 = 1041. Coincidence factor to system maximum load for each type of demand user (in Load profile data for demand users)</t>
  </si>
  <si>
    <t>x2 = 1041. Load factor for each type of demand user (in Load profile data for demand users)</t>
  </si>
  <si>
    <t>Demand coefficient</t>
  </si>
  <si>
    <t>2302. Load coefficient</t>
  </si>
  <si>
    <t>x1 = 2301. Demand coefficient (load at time of system maximum load divided by average load)</t>
  </si>
  <si>
    <t>x2 = Negative of generation coefficient; set to -1</t>
  </si>
  <si>
    <t>Load coefficient</t>
  </si>
  <si>
    <t>2303. Discount map</t>
  </si>
  <si>
    <t>2304. LDNO discounts and volumes adjusted for discount</t>
  </si>
  <si>
    <t>x1 = 2303. Discount map</t>
  </si>
  <si>
    <t>x2 = 1037. Embedded network (LDNO) discounts</t>
  </si>
  <si>
    <t>x3 = 100 per cent discount for generators on LDNO networks</t>
  </si>
  <si>
    <t>x4 = Discount for each tariff (except for fixed charges) (in LDNO discounts and volumes adjusted for discount)</t>
  </si>
  <si>
    <t>x5 = 1053. Rate 1 units (MWh) by tariff (in Volume forecasts for the charging year)</t>
  </si>
  <si>
    <t>x6 = 1053. Rate 2 units (MWh) by tariff (in Volume forecasts for the charging year)</t>
  </si>
  <si>
    <t>x7 = 1053. Rate 3 units (MWh) by tariff (in Volume forecasts for the charging year)</t>
  </si>
  <si>
    <t>x8 = 1053. MPANs by tariff (in Volume forecasts for the charging year)</t>
  </si>
  <si>
    <t>x9 = Discount for each tariff for fixed charges only (in LDNO discounts and volumes adjusted for discount)</t>
  </si>
  <si>
    <t>x10 = 1053. Import capacity (kVA) by tariff (in Volume forecasts for the charging year)</t>
  </si>
  <si>
    <t>x11 = 1053. Reactive power units (MVArh) by tariff (in Volume forecasts for the charging year)</t>
  </si>
  <si>
    <t>Combine tables</t>
  </si>
  <si>
    <t>= x3 or x4</t>
  </si>
  <si>
    <t>=x5*(1-x4)</t>
  </si>
  <si>
    <t>=x6*(1-x4)</t>
  </si>
  <si>
    <t>=x7*(1-x4)</t>
  </si>
  <si>
    <t>=x8*(1-x9)</t>
  </si>
  <si>
    <t>=x10*(1-x4)</t>
  </si>
  <si>
    <t>=x11*(1-x4)</t>
  </si>
  <si>
    <t>Discount for each tariff (except for fixed charges)</t>
  </si>
  <si>
    <t>Discount for each tariff for fixed charges only</t>
  </si>
  <si>
    <t>2305. Equivalent volume for each end user</t>
  </si>
  <si>
    <t>x1 = 2304. Rate 1 units (MWh) (in LDNO discounts and volumes adjusted for discount)</t>
  </si>
  <si>
    <t>x2 = 2304. Rate 2 units (MWh) (in LDNO discounts and volumes adjusted for discount)</t>
  </si>
  <si>
    <t>x3 = 2304. Rate 3 units (MWh) (in LDNO discounts and volumes adjusted for discount)</t>
  </si>
  <si>
    <t>x4 = 2304. MPANs (in LDNO discounts and volumes adjusted for discount)</t>
  </si>
  <si>
    <t>x5 = 2304. Import capacity (kVA) (in LDNO discounts and volumes adjusted for discount)</t>
  </si>
  <si>
    <t>x6 = 2304. Reactive power units (MVArh) (in LDNO discounts and volumes adjusted for discount)</t>
  </si>
  <si>
    <t>=SUM(x1)</t>
  </si>
  <si>
    <t>=SUM(x2)</t>
  </si>
  <si>
    <t>=SUM(x3)</t>
  </si>
  <si>
    <t>=SUM(x4)</t>
  </si>
  <si>
    <t>=SUM(x6)</t>
  </si>
  <si>
    <t>2401. Adjust annual hours by distribution time band to match days in year</t>
  </si>
  <si>
    <t>x1 = 1068. Typical annual hours by distribution time band</t>
  </si>
  <si>
    <t>x2 = 1010. Days in the charging year (in Financial and general assumptions)</t>
  </si>
  <si>
    <t>x3 = Total hours in the year according to time band hours input data (in Adjust annual hours by distribution time band to match days in year)</t>
  </si>
  <si>
    <t>=x1*24*x2/x3</t>
  </si>
  <si>
    <t>Hours aggregate</t>
  </si>
  <si>
    <t>Annual hours by distribution time band (reconciled to days in year)</t>
  </si>
  <si>
    <t>Adjust annual hours by distribution time band to match days in year</t>
  </si>
  <si>
    <t>2402. Normalisation of split of rate 1 units by time band</t>
  </si>
  <si>
    <t>x1 = 1061. Average split of rate 1 units by distribution time band</t>
  </si>
  <si>
    <t>x2 = Total split (in Normalisation of split of rate 1 units by time band)</t>
  </si>
  <si>
    <t>x3 = 2401. Annual hours by distribution time band (reconciled to days in year) (in Adjust annual hours by distribution time band to match days in year)</t>
  </si>
  <si>
    <t>x4 = 1010. Days in the charging year (in Financial and general assumptions)</t>
  </si>
  <si>
    <t>=IF(x2,x1/x2,x3/x4/24)</t>
  </si>
  <si>
    <t>Total split</t>
  </si>
  <si>
    <t>Normalised split of rate 1 units by distribution time band</t>
  </si>
  <si>
    <t>2403. Split of rate 1 units between distribution time bands</t>
  </si>
  <si>
    <t>x1 = 2402. Normalised split of rate 1 units by distribution time band (in Normalisation of split of rate 1 units by time band)</t>
  </si>
  <si>
    <t>x2 = Split of rate 1 units between distribution time bands (default)</t>
  </si>
  <si>
    <t>2404. Normalisation of split of rate 2 units by time band</t>
  </si>
  <si>
    <t>x1 = 1062. Average split of rate 2 units by distribution time band</t>
  </si>
  <si>
    <t>x2 = Total split (in Normalisation of split of rate 2 units by time band)</t>
  </si>
  <si>
    <t>Normalised split of rate 2 units by distribution time band</t>
  </si>
  <si>
    <t>2405. Split of rate 2 units between distribution time bands</t>
  </si>
  <si>
    <t>x1 = 2404. Normalised split of rate 2 units by distribution time band (in Normalisation of split of rate 2 units by time band)</t>
  </si>
  <si>
    <t>x2 = Split of rate 2 units between distribution time bands (default)</t>
  </si>
  <si>
    <t>2406. Split of rate 3 units between distribution time bands (default)</t>
  </si>
  <si>
    <t>2407. All units (MWh)</t>
  </si>
  <si>
    <t>x1 = 2305. Rate 1 units (MWh) (in Equivalent volume for each end user)</t>
  </si>
  <si>
    <t>x2 = 2305. Rate 2 units (MWh) (in Equivalent volume for each end user)</t>
  </si>
  <si>
    <t>x3 = 2305. Rate 3 units (MWh) (in Equivalent volume for each end user)</t>
  </si>
  <si>
    <t>Calculation =x1+x2+x3</t>
  </si>
  <si>
    <t>All units (MWh)</t>
  </si>
  <si>
    <t>2408. Calculation of implied load coefficients for one-rate users</t>
  </si>
  <si>
    <t>x1 = 2407. All units (MWh)</t>
  </si>
  <si>
    <t>x2 = 2305. Rate 1 units (MWh) (in Equivalent volume for each end user)</t>
  </si>
  <si>
    <t>x3 = 2403. Split of rate 1 units between distribution time bands</t>
  </si>
  <si>
    <t>x4 = 2401. Annual hours by distribution time band (reconciled to days in year) (in Adjust annual hours by distribution time band to match days in year)</t>
  </si>
  <si>
    <t>x5 = Use of distribution time bands by units in demand forecast for one-rate tariffs (in Calculation of implied load coefficients for one-rate users)</t>
  </si>
  <si>
    <t>x6 = 1010. Days in the charging year (in Financial and general assumptions)</t>
  </si>
  <si>
    <t>=IF(x1&gt;0,(x2*x3)/x1,0)</t>
  </si>
  <si>
    <t>=IF(x4&gt;0,x5*x6*24/x4,0)</t>
  </si>
  <si>
    <t>Use of distribution time bands by units in demand forecast for one-rate tariffs</t>
  </si>
  <si>
    <t>Peak band load coefficient for one-rate tariffs</t>
  </si>
  <si>
    <t>2409. Calculation of implied load coefficients for two-rate users</t>
  </si>
  <si>
    <t>x4 = 2305. Rate 2 units (MWh) (in Equivalent volume for each end user)</t>
  </si>
  <si>
    <t>x5 = 2405. Split of rate 2 units between distribution time bands</t>
  </si>
  <si>
    <t>x6 = 2401. Annual hours by distribution time band (reconciled to days in year) (in Adjust annual hours by distribution time band to match days in year)</t>
  </si>
  <si>
    <t>x7 = Use of distribution time bands by units in demand forecast for two-rate tariffs (in Calculation of implied load coefficients for two-rate users)</t>
  </si>
  <si>
    <t>x8 = 1010. Days in the charging year (in Financial and general assumptions)</t>
  </si>
  <si>
    <t>=IF(x1&gt;0,(x2*x3+x4*x5)/x1,0)</t>
  </si>
  <si>
    <t>=IF(x6&gt;0,x7*x8*24/x6,0)</t>
  </si>
  <si>
    <t>Use of distribution time bands by units in demand forecast for two-rate tariffs</t>
  </si>
  <si>
    <t>Peak band load coefficient for two-rate tariffs</t>
  </si>
  <si>
    <t>2410. Calculation of implied load coefficients for three-rate users</t>
  </si>
  <si>
    <t>x6 = 2305. Rate 3 units (MWh) (in Equivalent volume for each end user)</t>
  </si>
  <si>
    <t>x7 = 2406. Split of rate 3 units between distribution time bands (default)</t>
  </si>
  <si>
    <t>x8 = 2401. Annual hours by distribution time band (reconciled to days in year) (in Adjust annual hours by distribution time band to match days in year)</t>
  </si>
  <si>
    <t>x9 = Use of distribution time bands by units in demand forecast for three-rate tariffs (in Calculation of implied load coefficients for three-rate users)</t>
  </si>
  <si>
    <t>x10 = 1010. Days in the charging year (in Financial and general assumptions)</t>
  </si>
  <si>
    <t>=IF(x1&gt;0,(x2*x3+x4*x5+x6*x7)/x1,0)</t>
  </si>
  <si>
    <t>=IF(x8&gt;0,x9*x10*24/x8,0)</t>
  </si>
  <si>
    <t>Use of distribution time bands by units in demand forecast for three-rate tariffs</t>
  </si>
  <si>
    <t>Peak band load coefficient for three-rate tariffs</t>
  </si>
  <si>
    <t>2411. Calculation of adjusted time band load coefficients</t>
  </si>
  <si>
    <t>x1 = 2408. Peak band load coefficient for one-rate tariffs (in Calculation of implied load coefficients for one-rate users)</t>
  </si>
  <si>
    <t>x2 = 2409. Peak band load coefficient for two-rate tariffs (in Calculation of implied load coefficients for two-rate users)</t>
  </si>
  <si>
    <t>x3 = 2410. Peak band load coefficient for three-rate tariffs (in Calculation of implied load coefficients for three-rate users)</t>
  </si>
  <si>
    <t>x4 = Peak band load coefficient (in Calculation of adjusted time band load coefficients)</t>
  </si>
  <si>
    <t>x5 = 2302. Load coefficient</t>
  </si>
  <si>
    <t>= x1 or x2 or x3</t>
  </si>
  <si>
    <t>=IF(x4&lt;&gt;0,x5/x4,IF(x5&lt;0,-1,1))</t>
  </si>
  <si>
    <t>Peak band load coefficient</t>
  </si>
  <si>
    <t>Load coefficient correction factor (kW at peak in band / band average kW)</t>
  </si>
  <si>
    <t>2412. Normalisation of peaking probabilities</t>
  </si>
  <si>
    <t>x1 = 1069. Red, amber and green peaking probabilities (in Peaking probabilities by network level)</t>
  </si>
  <si>
    <t>x2 = Total probability (should be 100%) (in Normalisation of peaking probabilities)</t>
  </si>
  <si>
    <t>x3 = 1068. Typical annual hours by distribution time band</t>
  </si>
  <si>
    <t>x4 = 2401. Total hours in the year according to time band hours input data (in Adjust annual hours by distribution time band to match days in year)</t>
  </si>
  <si>
    <t>=IF(x2,x1/x2,x3/x4)</t>
  </si>
  <si>
    <t>Total probability (should be 100%)</t>
  </si>
  <si>
    <t>Normalised peaking probabilities</t>
  </si>
  <si>
    <t>2413. Peaking probabilities by network level (reshaped)</t>
  </si>
  <si>
    <t>x1 = 2412. Normalised peaking probabilities (in Normalisation of peaking probabilities)</t>
  </si>
  <si>
    <t>Reshape table = x1</t>
  </si>
  <si>
    <t>Probability of peak within timeband</t>
  </si>
  <si>
    <t>2414. Pseudo load coefficient by time band and network level</t>
  </si>
  <si>
    <t>x1 = 2401. Annual hours by distribution time band (reconciled to days in year) (in Adjust annual hours by distribution time band to match days in year)</t>
  </si>
  <si>
    <t>x2 = 2411. Load coefficient correction factor (kW at peak in band / band average kW) (in Calculation of adjusted time band load coefficients)</t>
  </si>
  <si>
    <t>x3 = 2413. Peaking probabilities by network level (reshaped)</t>
  </si>
  <si>
    <t>Calculation =IF(x1&gt;0,x2*x3*24*x4/x1,0)</t>
  </si>
  <si>
    <t>2415. Single rate non half hourly pseudo timeband load coefficients</t>
  </si>
  <si>
    <t>x1 = 2414. Pseudo load coefficient by time band and network level</t>
  </si>
  <si>
    <t>Copy cells = x1</t>
  </si>
  <si>
    <t>2416. Single rate non half hourly units (MWh)</t>
  </si>
  <si>
    <t>Single rate non half hourly units (MWh)</t>
  </si>
  <si>
    <t>2417. Single rate non half hourly timeband use</t>
  </si>
  <si>
    <t>x1 = 2403. Split of rate 1 units between distribution time bands</t>
  </si>
  <si>
    <t>2418. Single rate non half hourly tariff pseudo load coefficient</t>
  </si>
  <si>
    <t>x1 = 2415. Single rate non half hourly pseudo timeband load coefficients</t>
  </si>
  <si>
    <t>x2 = 2417. Single rate non half hourly timeband use</t>
  </si>
  <si>
    <t>2419. Multi rate non half hourly units (MWh)</t>
  </si>
  <si>
    <t>Multi rate non half hourly units (MWh)</t>
  </si>
  <si>
    <t>2420. Multi rate non half hourly pseudo timeband load coefficients</t>
  </si>
  <si>
    <t>2421. Multi rate non half hourly timeband use</t>
  </si>
  <si>
    <t>x1 = 2409. Use of distribution time bands by units in demand forecast for two-rate tariffs (in Calculation of implied load coefficients for two-rate users)</t>
  </si>
  <si>
    <t>2422. Multi rate non half hourly tariff pseudo load coefficient</t>
  </si>
  <si>
    <t>x1 = 2420. Multi rate non half hourly pseudo timeband load coefficients</t>
  </si>
  <si>
    <t>x2 = 2421. Multi rate non half hourly timeband use</t>
  </si>
  <si>
    <t>2423. Off-peak non half hourly units (MWh)</t>
  </si>
  <si>
    <t>Off-peak non half hourly units (MWh)</t>
  </si>
  <si>
    <t>2424. Off-peak non half hourly pseudo timeband load coefficients</t>
  </si>
  <si>
    <t>2425. Off-peak non half hourly timeband use</t>
  </si>
  <si>
    <t>2426. Off-peak non half hourly tariff pseudo load coefficient</t>
  </si>
  <si>
    <t>x1 = 2424. Off-peak non half hourly pseudo timeband load coefficients</t>
  </si>
  <si>
    <t>x2 = 2425. Off-peak non half hourly timeband use</t>
  </si>
  <si>
    <t>2427. Aggregated half hourly units (MWh)</t>
  </si>
  <si>
    <t>Aggregated half hourly units (MWh)</t>
  </si>
  <si>
    <t>2428. Aggregated half hourly pseudo timeband load coefficients</t>
  </si>
  <si>
    <t>2429. Aggregated half hourly timeband use</t>
  </si>
  <si>
    <t>x1 = 2410. Use of distribution time bands by units in demand forecast for three-rate tariffs (in Calculation of implied load coefficients for three-rate users)</t>
  </si>
  <si>
    <t>2430. Aggregated half hourly tariff pseudo load coefficient</t>
  </si>
  <si>
    <t>x1 = 2428. Aggregated half hourly pseudo timeband load coefficients</t>
  </si>
  <si>
    <t>x2 = 2429. Aggregated half hourly timeband use</t>
  </si>
  <si>
    <t>2431. Average non half hourly tariff pseudo load coefficient</t>
  </si>
  <si>
    <t>x1 = 2416. Single rate non half hourly units (MWh)</t>
  </si>
  <si>
    <t>x2 = 2418. Single rate non half hourly tariff pseudo load coefficient</t>
  </si>
  <si>
    <t>x3 = 2419. Multi rate non half hourly units (MWh)</t>
  </si>
  <si>
    <t>x4 = 2422. Multi rate non half hourly tariff pseudo load coefficient</t>
  </si>
  <si>
    <t>x5 = 2423. Off-peak non half hourly units (MWh)</t>
  </si>
  <si>
    <t>x6 = 2426. Off-peak non half hourly tariff pseudo load coefficient</t>
  </si>
  <si>
    <t>Calculation =(x1*x2+x3*x4+x5*x6)/(x1+x3+x5)</t>
  </si>
  <si>
    <t>Domestic equalisation group</t>
  </si>
  <si>
    <t>Non-domestic equalisation group</t>
  </si>
  <si>
    <t>2432. Average non half hourly timeband use</t>
  </si>
  <si>
    <t>x4 = 2421. Multi rate non half hourly timeband use</t>
  </si>
  <si>
    <t>x6 = 2425. Off-peak non half hourly timeband use</t>
  </si>
  <si>
    <t>2433. Aggregated half hourly tariff pseudo load coefficient using average non half hourly unit mix</t>
  </si>
  <si>
    <t>x2 = 2432. Average non half hourly timeband use</t>
  </si>
  <si>
    <t>2434. Relative correction factor for aggregated half hourly tariff</t>
  </si>
  <si>
    <t>x1 = 2431. Average non half hourly tariff pseudo load coefficient</t>
  </si>
  <si>
    <t>x2 = 2433. Aggregated half hourly tariff pseudo load coefficient using average non half hourly unit mix</t>
  </si>
  <si>
    <t>2435. Correction factor for non half hourly tariffs</t>
  </si>
  <si>
    <t>x7 = 2427. Aggregated half hourly units (MWh)</t>
  </si>
  <si>
    <t>x8 = 2430. Aggregated half hourly tariff pseudo load coefficient</t>
  </si>
  <si>
    <t>x9 = 2434. Relative correction factor for aggregated half hourly tariff</t>
  </si>
  <si>
    <t>Calculation =(x1*x2+x3*x4+x5*x6+x7*x8)/(x1*x2+x3*x4+x5*x6+x7*x8*x9)</t>
  </si>
  <si>
    <t>2436. Single rate non half hourly corrected pseudo timeband load coefficient</t>
  </si>
  <si>
    <t>x2 = 2435. Correction factor for non half hourly tariffs</t>
  </si>
  <si>
    <t>Calculation =x1*x2</t>
  </si>
  <si>
    <t>2437. Multi rate non half hourly corrected pseudo timeband load coefficient</t>
  </si>
  <si>
    <t>2438. Off-peak non half hourly corrected pseudo timeband load coefficient</t>
  </si>
  <si>
    <t>2439. Aggregated half hourly corrected pseudo timeband load coefficient</t>
  </si>
  <si>
    <t>x3 = 2434. Relative correction factor for aggregated half hourly tariff</t>
  </si>
  <si>
    <t>Calculation =x1*x2*x3</t>
  </si>
  <si>
    <t>2440. Pseudo load coefficient by time band and network level (equalised)</t>
  </si>
  <si>
    <t>x1 = 2436. Single rate non half hourly corrected pseudo timeband load coefficient</t>
  </si>
  <si>
    <t>x2 = 2437. Multi rate non half hourly corrected pseudo timeband load coefficient</t>
  </si>
  <si>
    <t>x3 = 2438. Off-peak non half hourly corrected pseudo timeband load coefficient</t>
  </si>
  <si>
    <t>x4 = 2439. Aggregated half hourly corrected pseudo timeband load coefficient</t>
  </si>
  <si>
    <t>x5 = 2414. Pseudo load coefficient by time band and network level</t>
  </si>
  <si>
    <t>2441. Unit rate 1 pseudo load coefficient by network level</t>
  </si>
  <si>
    <t>x1 = 2440. Pseudo load coefficient by time band and network level (equalised)</t>
  </si>
  <si>
    <t>x2 = 2403. Split of rate 1 units between distribution time bands</t>
  </si>
  <si>
    <t>2442. Unit rate 2 pseudo load coefficient by network level</t>
  </si>
  <si>
    <t>x2 = 2405. Split of rate 2 units between distribution time bands</t>
  </si>
  <si>
    <t>2443. Unit rate 3 pseudo load coefficient by network level</t>
  </si>
  <si>
    <t>x2 = 2406. Split of rate 3 units between distribution time bands (default)</t>
  </si>
  <si>
    <t>2444. Adjust annual hours by special distribution time band to match days in year</t>
  </si>
  <si>
    <t>x1 = 1066. Typical annual hours by special distribution time band</t>
  </si>
  <si>
    <t>x3 = Total hours in the year according to special time band hours input data (in Adjust annual hours by special distribution time band to match days in year)</t>
  </si>
  <si>
    <t>Annual hours by special distribution time band (reconciled to days in year)</t>
  </si>
  <si>
    <t>Adjust annual hours by special distribution time band to match days in year</t>
  </si>
  <si>
    <t>2445. Normalisation of split of rate 1 units by special time band</t>
  </si>
  <si>
    <t>x1 = 1064. Average split of rate 1 units by special distribution time band</t>
  </si>
  <si>
    <t>x2 = Total split (in Normalisation of split of rate 1 units by special time band)</t>
  </si>
  <si>
    <t>x3 = 2444. Annual hours by special distribution time band (reconciled to days in year) (in Adjust annual hours by special distribution time band to match days in year)</t>
  </si>
  <si>
    <t>Normalised split of rate 1 units by special distribution time band</t>
  </si>
  <si>
    <t>2446. Split of rate 1 units between special distribution time bands</t>
  </si>
  <si>
    <t>x1 = 2445. Normalised split of rate 1 units by special distribution time band (in Normalisation of split of rate 1 units by special time band)</t>
  </si>
  <si>
    <t>x2 = Split of rate 1 units between special distribution time bands (default)</t>
  </si>
  <si>
    <t>2447. Split of rate 2 units between special distribution time bands (default)</t>
  </si>
  <si>
    <t>2448. Split of rate 3 units between special distribution time bands (default)</t>
  </si>
  <si>
    <t>2449. Calculation of implied special load coefficients for one-rate users</t>
  </si>
  <si>
    <t>x3 = 2446. Split of rate 1 units between special distribution time bands</t>
  </si>
  <si>
    <t>x4 = 2444. Annual hours by special distribution time band (reconciled to days in year) (in Adjust annual hours by special distribution time band to match days in year)</t>
  </si>
  <si>
    <t>x5 = Use of special distribution time bands by units in demand forecast for one-rate tariffs (in Calculation of implied special load coefficients for one-rate users)</t>
  </si>
  <si>
    <t>Use of special distribution time bands by units in demand forecast for one-rate tariffs</t>
  </si>
  <si>
    <t>Peak band special load coefficient for one-rate tariffs</t>
  </si>
  <si>
    <t>2450. Calculation of implied special load coefficients for three-rate users</t>
  </si>
  <si>
    <t>x5 = 2447. Split of rate 2 units between special distribution time bands (default)</t>
  </si>
  <si>
    <t>x7 = 2448. Split of rate 3 units between special distribution time bands (default)</t>
  </si>
  <si>
    <t>x8 = 2444. Annual hours by special distribution time band (reconciled to days in year) (in Adjust annual hours by special distribution time band to match days in year)</t>
  </si>
  <si>
    <t>x9 = Use of special distribution time bands by units in demand forecast for three-rate tariffs (in Calculation of implied special load coefficients for three-rate users)</t>
  </si>
  <si>
    <t>Use of special distribution time bands by units in demand forecast for three-rate tariffs</t>
  </si>
  <si>
    <t>Peak band special load coefficient for three-rate tariffs</t>
  </si>
  <si>
    <t>2451. Estimated contributions to peak demand</t>
  </si>
  <si>
    <t>x1 = 2449. Peak band special load coefficient for one-rate tariffs (in Calculation of implied special load coefficients for one-rate users)</t>
  </si>
  <si>
    <t>x2 = 2450. Peak band special load coefficient for three-rate tariffs (in Calculation of implied special load coefficients for three-rate users)</t>
  </si>
  <si>
    <t>x3 = Peak band special load coefficient (in Estimated contributions to peak demand)</t>
  </si>
  <si>
    <t>x4 = 2407. All units (MWh)</t>
  </si>
  <si>
    <t>x5 = 1010. Days in the charging year (in Financial and general assumptions)</t>
  </si>
  <si>
    <t>x6 = 2302. Load coefficient</t>
  </si>
  <si>
    <t>= x1 or x2</t>
  </si>
  <si>
    <t>=x3*x4/24/x5*1000</t>
  </si>
  <si>
    <t>=x6*x4/24/x5*1000</t>
  </si>
  <si>
    <t>Peak band special load coefficient</t>
  </si>
  <si>
    <t>Contribution to peak band kW</t>
  </si>
  <si>
    <t>Contribution to system-peak-time kW</t>
  </si>
  <si>
    <t>2452. Load coefficient correction factor for the group</t>
  </si>
  <si>
    <t>x1 = 2451. Contribution to peak band kW (in Estimated contributions to peak demand)</t>
  </si>
  <si>
    <t>x2 = 2451. Contribution to system-peak-time kW (in Estimated contributions to peak demand)</t>
  </si>
  <si>
    <t>Calculation =IF(SUM(x1),SUM(x2)/SUM(x1),0)</t>
  </si>
  <si>
    <t>Load coefficient correction factor for the group</t>
  </si>
  <si>
    <t>2453. Calculation of special peaking probabilities</t>
  </si>
  <si>
    <t>x2 = Amber peaking probabilities (in Calculation of special peaking probabilities)</t>
  </si>
  <si>
    <t>x5 = 1069. Black peaking probabilities (in Peaking probabilities by network level)</t>
  </si>
  <si>
    <t>x6 = Red peaking probabilities (in Calculation of special peaking probabilities)</t>
  </si>
  <si>
    <t>x7 = Amber peaking rates (in Calculation of special peaking probabilities)</t>
  </si>
  <si>
    <t>x9 = Yellow peaking probabilities (in Calculation of special peaking probabilities)</t>
  </si>
  <si>
    <t>x10 = Green peaking probabilities (in Calculation of special peaking probabilities)</t>
  </si>
  <si>
    <t>=x2*24*x3/x4</t>
  </si>
  <si>
    <t>=IF(x5,MAX(0,x2+x6-x5),x7*x8/x3/24)</t>
  </si>
  <si>
    <t>=1-x9-x10</t>
  </si>
  <si>
    <t>Red peaking probabilities</t>
  </si>
  <si>
    <t>Amber peaking probabilities</t>
  </si>
  <si>
    <t>Green peaking probabilities</t>
  </si>
  <si>
    <t>Amber peaking rates</t>
  </si>
  <si>
    <t>Yellow peaking probabilities</t>
  </si>
  <si>
    <t>2454. Special peaking probabilities by network level</t>
  </si>
  <si>
    <t>x1 = 2453. Green peaking probabilities (in Calculation of special peaking probabilities)</t>
  </si>
  <si>
    <t>x2 = 2453. Yellow peaking probabilities (in Calculation of special peaking probabilities)</t>
  </si>
  <si>
    <t>x3 = 2453. Black peaking probabilities (in Calculation of special peaking probabilities)</t>
  </si>
  <si>
    <t>2455. Special peaking probabilities by network level (reshaped)</t>
  </si>
  <si>
    <t>x1 = 2454. Special peaking probabilities by network level</t>
  </si>
  <si>
    <t>2456. Pseudo load coefficient by special time band and network level</t>
  </si>
  <si>
    <t>x1 = 2444. Annual hours by special distribution time band (reconciled to days in year) (in Adjust annual hours by special distribution time band to match days in year)</t>
  </si>
  <si>
    <t>x2 = 2452. Load coefficient correction factor for the group</t>
  </si>
  <si>
    <t>x3 = 2455. Special peaking probabilities by network level (reshaped)</t>
  </si>
  <si>
    <t>Pseudo load coefficient by special time band and network level</t>
  </si>
  <si>
    <t>2457. Unit rate 1 pseudo load coefficient by network level (special)</t>
  </si>
  <si>
    <t>x1 = 2456. Pseudo load coefficient by special time band and network level</t>
  </si>
  <si>
    <t>x2 = 2446. Split of rate 1 units between special distribution time bands</t>
  </si>
  <si>
    <t>2458. Unit rate 2 pseudo load coefficient by network level (special)</t>
  </si>
  <si>
    <t>x2 = 2447. Split of rate 2 units between special distribution time bands (default)</t>
  </si>
  <si>
    <t>2459. Unit rate 3 pseudo load coefficient by network level (special)</t>
  </si>
  <si>
    <t>x2 = 2448. Split of rate 3 units between special distribution time bands (default)</t>
  </si>
  <si>
    <t>2460. Unit rate 1 pseudo load coefficient by network level (combined)</t>
  </si>
  <si>
    <t>x1 = 2441. Unit rate 1 pseudo load coefficient by network level</t>
  </si>
  <si>
    <t>x2 = 2457. Unit rate 1 pseudo load coefficient by network level (special)</t>
  </si>
  <si>
    <t>2461. Unit rate 2 pseudo load coefficient by network level (combined)</t>
  </si>
  <si>
    <t>x1 = 2442. Unit rate 2 pseudo load coefficient by network level</t>
  </si>
  <si>
    <t>x2 = 2458. Unit rate 2 pseudo load coefficient by network level (special)</t>
  </si>
  <si>
    <t>2462. Unit rate 3 pseudo load coefficient by network level (combined)</t>
  </si>
  <si>
    <t>x1 = 2443. Unit rate 3 pseudo load coefficient by network level</t>
  </si>
  <si>
    <t>x2 = 2459. Unit rate 3 pseudo load coefficient by network level (special)</t>
  </si>
  <si>
    <t>2501. Contributions of users on one-rate multi tariffs to system simultaneous maximum load by network level (kW)</t>
  </si>
  <si>
    <t>x2 = 2460. Unit rate 1 pseudo load coefficient by network level (combined)</t>
  </si>
  <si>
    <t>x3 = 2012. Loss adjustment factors between end user meter reading and each network level, scaled by network use</t>
  </si>
  <si>
    <t>Calculation =(x1*x2)*x3/(24*x4)*1000</t>
  </si>
  <si>
    <t>2502. Contributions of users on two-rate multi tariffs to system simultaneous maximum load by network level (kW)</t>
  </si>
  <si>
    <t>x3 = 2305. Rate 2 units (MWh) (in Equivalent volume for each end user)</t>
  </si>
  <si>
    <t>x4 = 2461. Unit rate 2 pseudo load coefficient by network level (combined)</t>
  </si>
  <si>
    <t>x5 = 2012. Loss adjustment factors between end user meter reading and each network level, scaled by network use</t>
  </si>
  <si>
    <t>Calculation =(x1*x2+x3*x4)*x5/(24*x6)*1000</t>
  </si>
  <si>
    <t>2503. Contributions of users on three-rate multi tariffs to system simultaneous maximum load by network level (kW)</t>
  </si>
  <si>
    <t>x5 = 2305. Rate 3 units (MWh) (in Equivalent volume for each end user)</t>
  </si>
  <si>
    <t>x6 = 2462. Unit rate 3 pseudo load coefficient by network level (combined)</t>
  </si>
  <si>
    <t>x7 = 2012. Loss adjustment factors between end user meter reading and each network level, scaled by network use</t>
  </si>
  <si>
    <t>Calculation =(x1*x2+x3*x4+x5*x6)*x7/(24*x8)*1000</t>
  </si>
  <si>
    <t>2504. Estimated contributions of users on each tariff to system simultaneous maximum load by network level (kW)</t>
  </si>
  <si>
    <t>x2 = 2302. Load coefficient</t>
  </si>
  <si>
    <t>Calculation =x1*x2*x3/(24*x4)*1000</t>
  </si>
  <si>
    <t>2505. Contributions of users on each tariff to system simultaneous maximum load by network level (kW)</t>
  </si>
  <si>
    <t>x1 = 2501. Contributions of users on one-rate multi tariffs to system simultaneous maximum load by network level (kW)</t>
  </si>
  <si>
    <t>x2 = 2502. Contributions of users on two-rate multi tariffs to system simultaneous maximum load by network level (kW)</t>
  </si>
  <si>
    <t>x3 = 2503. Contributions of users on three-rate multi tariffs to system simultaneous maximum load by network level (kW)</t>
  </si>
  <si>
    <t>x4 = 2504. Estimated contributions of users on each tariff to system simultaneous maximum load by network level (kW)</t>
  </si>
  <si>
    <t>Combine tables = x1 or x2 or x3 or x4</t>
  </si>
  <si>
    <t>2506. Forecast system simultaneous maximum load (kW) from forecast units</t>
  </si>
  <si>
    <t>x1 = 2505. Contributions of users on each tariff to system simultaneous maximum load by network level (kW)</t>
  </si>
  <si>
    <t>Cell summation =SUM(x1)</t>
  </si>
  <si>
    <t>Forecast system simultaneous maximum load (kW) from forecast units</t>
  </si>
  <si>
    <t>2601. Pre-processing of data for standing charge factors</t>
  </si>
  <si>
    <t>x1 = Standing charges factors (in Pre-processing of data for standing charge factors)</t>
  </si>
  <si>
    <t>x2 = 1018. Proportion of relevant load going through 132kV/HV direct transformation</t>
  </si>
  <si>
    <t>x3 = Standing charges factors for 132kV/HV (in Pre-processing of data for standing charge factors)</t>
  </si>
  <si>
    <t>=x1+0.2*x2*x3</t>
  </si>
  <si>
    <t>Standing charges factors</t>
  </si>
  <si>
    <t>Standing charges factors for 132kV/HV</t>
  </si>
  <si>
    <t>Adjusted standing charges factors for 132kV</t>
  </si>
  <si>
    <t>2602. Standing charges factors adapted to use 132kV/HV</t>
  </si>
  <si>
    <t>x1 = 2601. Standing charges factors for 132kV/HV (in Pre-processing of data for standing charge factors)</t>
  </si>
  <si>
    <t>x2 = 2601. Adjusted standing charges factors for 132kV (in Pre-processing of data for standing charge factors)</t>
  </si>
  <si>
    <t>x3 = 2601. Standing charges factors (in Pre-processing of data for standing charge factors)</t>
  </si>
  <si>
    <t>2603. Capacity-based contributions to chargeable aggregate maximum load by network level (kW)</t>
  </si>
  <si>
    <t>x1 = 2305. Import capacity (kVA) (in Equivalent volume for each end user)</t>
  </si>
  <si>
    <t>x2 = 1010. Power factor for all flows in the network model (in Financial and general assumptions)</t>
  </si>
  <si>
    <t>x3 = 2602. Standing charges factors adapted to use 132kV/HV</t>
  </si>
  <si>
    <t>x4 = 2012. Loss adjustment factors between end user meter reading and each network level, scaled by network use</t>
  </si>
  <si>
    <t>Calculation =x1*x2*x3*x4</t>
  </si>
  <si>
    <t>2604. Unit-based contributions to chargeable aggregate maximum load (kW)</t>
  </si>
  <si>
    <t>Calculation =x1/x2*x3*x4/(24*x5)*1000</t>
  </si>
  <si>
    <t>2605. Contributions to aggregate maximum load by network level (kW)</t>
  </si>
  <si>
    <t>x1 = 2603. Capacity-based contributions to chargeable aggregate maximum load by network level (kW)</t>
  </si>
  <si>
    <t>x2 = 2604. Unit-based contributions to chargeable aggregate maximum load (kW)</t>
  </si>
  <si>
    <t>2606. Forecast chargeable aggregate maximum load (kW)</t>
  </si>
  <si>
    <t>x1 = 2605. Contributions to aggregate maximum load by network level (kW)</t>
  </si>
  <si>
    <t>Forecast chargeable aggregate maximum load (kW)</t>
  </si>
  <si>
    <t>2607. Forecast simultaneous load subject to standing charge factors (kW)</t>
  </si>
  <si>
    <t>x2 = 2602. Standing charges factors adapted to use 132kV/HV</t>
  </si>
  <si>
    <t>2608. Forecast simultaneous load replaced by standing charge (kW)</t>
  </si>
  <si>
    <t>x1 = 2607. Forecast simultaneous load subject to standing charge factors (kW)</t>
  </si>
  <si>
    <t>Forecast simultaneous load replaced by standing charge (kW)</t>
  </si>
  <si>
    <t>2609. Calculated LV diversity allowance</t>
  </si>
  <si>
    <t>x1 = 2606. Forecast chargeable aggregate maximum load (kW)</t>
  </si>
  <si>
    <t>x2 = 2608. Forecast simultaneous load replaced by standing charge (kW)</t>
  </si>
  <si>
    <t>Calculation =x1/x2-1</t>
  </si>
  <si>
    <t>Calculated LV diversity allowance</t>
  </si>
  <si>
    <t>2610. Network level mapping for diversity allowances</t>
  </si>
  <si>
    <t>2611. Diversity allowances including 132kV/HV</t>
  </si>
  <si>
    <t>x1 = 2104. Diversity allowance between level exit and GSP Group (in Diversity calculations)</t>
  </si>
  <si>
    <t>x2 = 2610. Network level mapping for diversity allowances</t>
  </si>
  <si>
    <t>Diversity allowances including 132kV/HV</t>
  </si>
  <si>
    <t>2612. Diversity allowances (including calculated LV value)</t>
  </si>
  <si>
    <t>x1 = 2609. Calculated LV diversity allowance</t>
  </si>
  <si>
    <t>x2 = 2611. Diversity allowances including 132kV/HV</t>
  </si>
  <si>
    <t>Diversity allowances (including calculated LV value)</t>
  </si>
  <si>
    <t>2613. Forecast simultaneous maximum load (kW) adjusted for standing charges</t>
  </si>
  <si>
    <t>x1 = 2506. Forecast system simultaneous maximum load (kW) from forecast units</t>
  </si>
  <si>
    <t>x3 = 2606. Forecast chargeable aggregate maximum load (kW)</t>
  </si>
  <si>
    <t>x4 = 2612. Diversity allowances (including calculated LV value)</t>
  </si>
  <si>
    <t>Calculation =x1-x2+x3/(1+x4)</t>
  </si>
  <si>
    <t>Forecast simultaneous maximum load (kW) adjusted for standing charges</t>
  </si>
  <si>
    <t>2701. Operating expenditure coded by network level (£/year)</t>
  </si>
  <si>
    <t>x1 = 1055. Transmission exit charges (£/year)</t>
  </si>
  <si>
    <t>x2 = Zero for levels other than transmission 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</si>
  <si>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</si>
  <si>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</si>
  <si>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</si>
  <si>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</si>
  <si>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</si>
  <si>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</si>
  <si>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</si>
  <si>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</si>
  <si>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</si>
  <si>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</si>
  <si>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Operating expenditure coded by network level (£/year)</t>
  </si>
  <si>
    <t>2702. Network model assets (£) scaled by load forecast</t>
  </si>
  <si>
    <t>x2 = 2613. Forecast simultaneous maximum load (kW) adjusted for standing charges</t>
  </si>
  <si>
    <t>x3 = 1020. Gross asset cost by network level (£)</t>
  </si>
  <si>
    <t>Calculation =IF(x1,x2*x3/x1/1000,0)</t>
  </si>
  <si>
    <t>Network model assets (£) scaled by load forecast</t>
  </si>
  <si>
    <t>2703. Annual consumption by tariff for unmetered users (MWh)</t>
  </si>
  <si>
    <t>Annual consumption by tariff for unmetered users (MWh)</t>
  </si>
  <si>
    <t>2704. Total unmetered units</t>
  </si>
  <si>
    <t>x1 = 2703. Annual consumption by tariff for unmetered users (MWh)</t>
  </si>
  <si>
    <t>Total unmetered units</t>
  </si>
  <si>
    <t>2705. Service model asset data</t>
  </si>
  <si>
    <t>x1 = 2205. Service model assets by tariff (£)</t>
  </si>
  <si>
    <t>x2 = 2305. MPANs (in Equivalent volume for each end user)</t>
  </si>
  <si>
    <t>x3 = 2202. LV unmetered service model assets £/(MWh/year)</t>
  </si>
  <si>
    <t>x4 = 2704. Total unmetered units</t>
  </si>
  <si>
    <t>x5 = Service model assets (£) scaled by annual MWh (in Service model asset data)</t>
  </si>
  <si>
    <t>x6 = Service model assets (£) scaled by user count (in Service model asset data)</t>
  </si>
  <si>
    <t>x7 = Service model assets (£) scaled by annual MWh (in Service model asset data)</t>
  </si>
  <si>
    <t>=x3*x4</t>
  </si>
  <si>
    <t>= x5</t>
  </si>
  <si>
    <t>=x6+x7</t>
  </si>
  <si>
    <t>Service model assets (£) scaled by user count</t>
  </si>
  <si>
    <t>Service model assets (£) scaled by annual MWh</t>
  </si>
  <si>
    <t>Service model assets (£)</t>
  </si>
  <si>
    <t>Service model asset data</t>
  </si>
  <si>
    <t>2706. Data for allocation of operating expenditure</t>
  </si>
  <si>
    <t>x1 = 2702. Network model assets (£) scaled by load forecast</t>
  </si>
  <si>
    <t>x2 = 2705. Service model assets (£) (in Service model asset data)</t>
  </si>
  <si>
    <t>x3 = Model assets (£) scaled by demand forecast (in Data for allocation of operating expenditure)</t>
  </si>
  <si>
    <t>Model assets (£) scaled by demand forecast</t>
  </si>
  <si>
    <t>Denominator for allocation of operating expenditure</t>
  </si>
  <si>
    <t>Data for allocation of operating expenditure</t>
  </si>
  <si>
    <t>2707. Amount of expenditure to be allocated according to asset values (£/year)</t>
  </si>
  <si>
    <t>x1 = 1059. Direct cost (£/year) (in Other expenditure)</t>
  </si>
  <si>
    <t>x2 = 1059. Network rates (£/year) (in Other expenditure)</t>
  </si>
  <si>
    <t>x3 = 1059. Indirect cost (£/year) (in Other expenditure)</t>
  </si>
  <si>
    <t>x4 = 1059. Indirect cost proportion (in Other expenditure)</t>
  </si>
  <si>
    <t>Calculation =x1+x2+x3*x4</t>
  </si>
  <si>
    <t>Amount of expenditure to be allocated according to asset values (£/year)</t>
  </si>
  <si>
    <t>2708. Total operating expenditure by network level  (£/year)</t>
  </si>
  <si>
    <t>x1 = 2701. Operating expenditure coded by network level (£/year)</t>
  </si>
  <si>
    <t>x2 = 2707. Amount of expenditure to be allocated according to asset values (£/year)</t>
  </si>
  <si>
    <t>x3 = 2706. Denominator for allocation of operating expenditure (in Data for allocation of operating expenditure)</t>
  </si>
  <si>
    <t>x4 = 2706. Model assets (£) scaled by demand forecast (in Data for allocation of operating expenditure)</t>
  </si>
  <si>
    <t>Calculation =x1+x2/x3*x4</t>
  </si>
  <si>
    <t>Total operating expenditure by network level  (£/year)</t>
  </si>
  <si>
    <t>2709. Operating expenditure percentage by network level</t>
  </si>
  <si>
    <t>x1 = 2706. Model assets (£) scaled by demand forecast (in Data for allocation of operating expenditure)</t>
  </si>
  <si>
    <t>x2 = 2708. Total operating expenditure by network level  (£/year)</t>
  </si>
  <si>
    <t>Calculation =IF(x1="","",IF(x1&gt;0,x2/x1,0))</t>
  </si>
  <si>
    <t>Operating expenditure percentage by network level</t>
  </si>
  <si>
    <t>2710. Unit operating expenditure based on simultaneous maximum load (£/kW/year)</t>
  </si>
  <si>
    <t>x1 = 2613. Forecast simultaneous maximum load (kW) adjusted for standing charges</t>
  </si>
  <si>
    <t>Calculation =IF(x1&gt;0,x2/x1,0)</t>
  </si>
  <si>
    <t>Unit operating expenditure based on simultaneous maximum load (£/kW/year)</t>
  </si>
  <si>
    <t>2711. Operating expenditure for customer assets p/MPAN/day</t>
  </si>
  <si>
    <t>x2 = 2709. Operating expenditure percentage by network level</t>
  </si>
  <si>
    <t>x3 = 2205. Service model assets by tariff (£)</t>
  </si>
  <si>
    <t>x4 = Operating expenditure p/MPAN/day by level (in Operating expenditure for customer assets p/MPAN/day)</t>
  </si>
  <si>
    <t>=100/x1*x2*x3</t>
  </si>
  <si>
    <t>Operating expenditure p/MPAN/day by level</t>
  </si>
  <si>
    <t>Operating expenditure for customer assets p/MPAN/day total</t>
  </si>
  <si>
    <t>2712. Operating expenditure for unmetered customer assets (p/kWh)</t>
  </si>
  <si>
    <t>x1 = 2709. Operating expenditure percentage by network level</t>
  </si>
  <si>
    <t>Calculation =0.1*x1*x2</t>
  </si>
  <si>
    <t>This sheet calculates factors used to take account of the costs deemed to be covered by connection charges.</t>
  </si>
  <si>
    <t>2801. Network level of supply (for customer contributions) by tariff</t>
  </si>
  <si>
    <t>2802. Contribution proportion of asset annuities, by customer type and network level of assets</t>
  </si>
  <si>
    <t>x1 = 1060. Customer contributions under current connection charging policy</t>
  </si>
  <si>
    <t>x2 = 1010. Annuity proportion for customer-contributed assets (in Financial and general assumptions)</t>
  </si>
  <si>
    <t>Calculation =x1*(1-x2)</t>
  </si>
  <si>
    <t>2803. Proportion of assets annuities deemed to be covered by customer contributions</t>
  </si>
  <si>
    <t>x1 = 2801. Network level of supply (for customer contributions) by tariff</t>
  </si>
  <si>
    <t>x2 = 2802. Contribution proportion of asset annuities, by customer type and network level of assets</t>
  </si>
  <si>
    <t>2804. Proportion of annual charge covered by contributions (for all charging levels)</t>
  </si>
  <si>
    <t>x1 = Zero for operating expenditure</t>
  </si>
  <si>
    <t>x2 = Zero for GSPs level</t>
  </si>
  <si>
    <t>x3 = 2803. Proportion of assets annuities deemed to be covered by customer contributions</t>
  </si>
  <si>
    <t>This sheet calculates average p/kWh and p/kW/day charges that would apply if no costs were recovered through capacity or fixed charges.</t>
  </si>
  <si>
    <t>2901. Unit cost at each level, £/kW/year (relative to system simultaneous maximum load)</t>
  </si>
  <si>
    <t>x1 = 2109. Network model annuity by simultaneous maximum load for each network level (£/kW/year)</t>
  </si>
  <si>
    <t>x2 = 2710. Unit operating expenditure based on simultaneous maximum load (£/kW/year)</t>
  </si>
  <si>
    <t>Unit cost at each level, £/kW/year (relative to system simultaneous maximum load)</t>
  </si>
  <si>
    <t>2902. Pay-as-you-go yardstick unit costs by charging level (p/kWh)</t>
  </si>
  <si>
    <t>x1 = 2901. Unit cost at each level, £/kW/year (relative to system simultaneous maximum load)</t>
  </si>
  <si>
    <t>x4 = 2804. Proportion of annual charge covered by contributions (for all charging levels)</t>
  </si>
  <si>
    <t>Calculation =x1*x2*x3*(1-x4)/(24*x5)*100</t>
  </si>
  <si>
    <t>2903. Contributions to pay-as-you-go unit rate 1 (p/kWh)</t>
  </si>
  <si>
    <t>x1 = 2460. Unit rate 1 pseudo load coefficient by network level (combined)</t>
  </si>
  <si>
    <t>x2 = 2901. Unit cost at each level, £/kW/year (relative to system simultaneous maximum load)</t>
  </si>
  <si>
    <t>Calculation =x1*x2*x3*(1-x4)*100/(24*x5)</t>
  </si>
  <si>
    <t>2904. Contributions to pay-as-you-go unit rate 2 (p/kWh)</t>
  </si>
  <si>
    <t>x1 = 2461. Unit rate 2 pseudo load coefficient by network level (combined)</t>
  </si>
  <si>
    <t>2905. Contributions to pay-as-you-go unit rate 3 (p/kWh)</t>
  </si>
  <si>
    <t>x1 = 2462. Unit rate 3 pseudo load coefficient by network level (combined)</t>
  </si>
  <si>
    <t>This sheet reallocates some costs from unit charges to fixed or capacity charges, for demand users only.</t>
  </si>
  <si>
    <t>3001. Costs based on aggregate maximum load (£/kW/year)</t>
  </si>
  <si>
    <t>x2 = 2612. Diversity allowances (including calculated LV value)</t>
  </si>
  <si>
    <t>Calculation =x1/(1+x2)</t>
  </si>
  <si>
    <t>Costs based on aggregate maximum load (£/kW/year)</t>
  </si>
  <si>
    <t>3002. Capacity elements p/kVA/day</t>
  </si>
  <si>
    <t>This calculation uses aggregate maximum load and no coincidence factor.</t>
  </si>
  <si>
    <t>x1 = 2602. Standing charges factors adapted to use 132kV/HV</t>
  </si>
  <si>
    <t>x2 = 2012. Loss adjustment factors between end user meter reading and each network level, scaled by network use</t>
  </si>
  <si>
    <t>x3 = 3001. Costs based on aggregate maximum load (£/kW/year)</t>
  </si>
  <si>
    <t>x4 = 1010. Power factor for all flows in the network model (in Financial and general assumptions)</t>
  </si>
  <si>
    <t>x6 = 2804. Proportion of annual charge covered by contributions (for all charging levels)</t>
  </si>
  <si>
    <t>Calculation =100*x1*x2*x3*x4/x5*(1-x6)</t>
  </si>
  <si>
    <t>3003. Yardstick components p/kWh (taking account of standing charges)</t>
  </si>
  <si>
    <t>x2 = 2902. Pay-as-you-go yardstick unit costs by charging level (p/kWh)</t>
  </si>
  <si>
    <t>Calculation =(1-x1)*x2</t>
  </si>
  <si>
    <t>3004. Contributions to unit rate 1 p/kWh by network level (taking account of standing charges)</t>
  </si>
  <si>
    <t>x2 = 2903. Contributions to pay-as-you-go unit rate 1 (p/kWh)</t>
  </si>
  <si>
    <t>3005. Contributions to unit rate 2 p/kWh by network level (taking account of standing charges)</t>
  </si>
  <si>
    <t>x2 = 2904. Contributions to pay-as-you-go unit rate 2 (p/kWh)</t>
  </si>
  <si>
    <t>3006. Contributions to unit rate 3 p/kWh by network level (taking account of standing charges)</t>
  </si>
  <si>
    <t>x2 = 2905. Contributions to pay-as-you-go unit rate 3 (p/kWh)</t>
  </si>
  <si>
    <t>This sheet allocates standing charges to fixed charges for non half hourly settled demand users.</t>
  </si>
  <si>
    <t>3101. Mapping of tariffs to tariff groups</t>
  </si>
  <si>
    <t>LV domestic and small non-domestic tariffs</t>
  </si>
  <si>
    <t>LV medium non-domestic tariffs</t>
  </si>
  <si>
    <t>LV substation aggregated tariffs</t>
  </si>
  <si>
    <t>HV network aggregated tariffs</t>
  </si>
  <si>
    <t>3102. Capacity use for tariffs charged for capacity on an exit point basis</t>
  </si>
  <si>
    <t>x4 = 2305. MPANs (in Equivalent volume for each end user)</t>
  </si>
  <si>
    <t>=x1/x2/(24*x3)*1000</t>
  </si>
  <si>
    <t>= x4</t>
  </si>
  <si>
    <t>Unit-based contributions to aggregate maximum load (kW)</t>
  </si>
  <si>
    <t>3103. Aggregate capacity (kW)</t>
  </si>
  <si>
    <t>x1 = 3101. Mapping of tariffs to tariff groups</t>
  </si>
  <si>
    <t>x2 = 3102. Unit-based contributions to aggregate maximum load (kW) (in Capacity use for tariffs charged for capacity on an exit point basis)</t>
  </si>
  <si>
    <t>Aggregate capacity (kW)</t>
  </si>
  <si>
    <t>3104. Aggregate number of users charged for capacity on an exit point basis</t>
  </si>
  <si>
    <t>x2 = 3102. MPANs (in Equivalent volume for each end user) (in Capacity use for tariffs charged for capacity on an exit point basis)</t>
  </si>
  <si>
    <t>Aggregate number of users charged for capacity on an exit point basis</t>
  </si>
  <si>
    <t>3105. Average maximum kVA by exit point</t>
  </si>
  <si>
    <t>x1 = 3104. Aggregate number of users charged for capacity on an exit point basis</t>
  </si>
  <si>
    <t>x2 = 3103. Aggregate capacity (kW)</t>
  </si>
  <si>
    <t>x3 = 1010. Power factor for all flows in the network model (in Financial and general assumptions)</t>
  </si>
  <si>
    <t>Calculation =IF(x1,x2/x1/x3,0)</t>
  </si>
  <si>
    <t>Average maximum kVA by exit point</t>
  </si>
  <si>
    <t>3106. Deemed average maximum kVA for each tariff</t>
  </si>
  <si>
    <t>x2 = 3105. Average maximum kVA by exit point</t>
  </si>
  <si>
    <t>Deemed average maximum kVA for each tariff</t>
  </si>
  <si>
    <t>3107. Capacity-driven fixed charge elements from standing charges factors p/MPAN/day</t>
  </si>
  <si>
    <t>x1 = 3002. Capacity elements p/kVA/day</t>
  </si>
  <si>
    <t>x2 = 3106. Deemed average maximum kVA for each tariff</t>
  </si>
  <si>
    <t>3201. Network use factors for generator reactive unit charges</t>
  </si>
  <si>
    <t>These factors differ from the network use factors for active power charges/credits in the case of generators, who do not qualify</t>
  </si>
  <si>
    <t>for active power credits at the voltage of connection but are charged reactive unit charges for costs caused at that voltage.</t>
  </si>
  <si>
    <t>3202. Standard components p/kWh for reactive power (absolute value)</t>
  </si>
  <si>
    <t>x1 = 3003. Yardstick components p/kWh (taking account of standing charges)</t>
  </si>
  <si>
    <t>Calculation =ABS(x1)</t>
  </si>
  <si>
    <t>3203. Standard reactive p/kVArh</t>
  </si>
  <si>
    <t>x1 = 3202. Standard components p/kWh for reactive power (absolute value)</t>
  </si>
  <si>
    <t>x2 = 1092. Average kVAr by kVA, by network level</t>
  </si>
  <si>
    <t>3204. Absolute value of load coefficient (kW peak / average kW)</t>
  </si>
  <si>
    <t>x1 = 2302. Load coefficient</t>
  </si>
  <si>
    <t>Absolute load coefficient</t>
  </si>
  <si>
    <t>3205. Pay-as-you-go components p/kWh for reactive power (absolute value)</t>
  </si>
  <si>
    <t>x2 = 3204. Absolute value of load coefficient (kW peak / average kW)</t>
  </si>
  <si>
    <t>x4 = 2004. Loss adjustment factor to transmission for each network level</t>
  </si>
  <si>
    <t>x5 = 2804. Proportion of annual charge covered by contributions (for all charging levels)</t>
  </si>
  <si>
    <t>x6 = 3201. Network use factors for generator reactive unit charges</t>
  </si>
  <si>
    <t>x7 = 1010. Days in the charging year (in Financial and general assumptions)</t>
  </si>
  <si>
    <t>Calculation =x1*x2*x3/x4*(1-x5)*x6/(24*x7)*100</t>
  </si>
  <si>
    <t>3206. Pay-as-you-go reactive p/kVArh</t>
  </si>
  <si>
    <t>x1 = 3205. Pay-as-you-go components p/kWh for reactive power (absolute value)</t>
  </si>
  <si>
    <t>This sheet aggregates elements of tariffs excluding revenue matching and final adjustments and rounding.</t>
  </si>
  <si>
    <t>3301. Unit rate 1 p/kWh (elements)</t>
  </si>
  <si>
    <t>x1 = 3004. Unit rate 1 total p/kWh (taking account of standing charges) — for Tariffs with Unit rate 1 p/kWh from Standard 1 kWh</t>
  </si>
  <si>
    <t>x2 = 2903. Pay-as-you-go unit rate 1 (p/kWh) — for Tariffs with Unit rate 1 p/kWh from PAYG 1 kWh</t>
  </si>
  <si>
    <t>x3 = 2903. Pay-as-you-go unit rate 1 (p/kWh) — for Tariffs with Unit rate 1 p/kWh from PAYG 1 kWh &amp; customer</t>
  </si>
  <si>
    <t>x4 = 2902. Pay-as-you-go yardstick unit rate (p/kWh) — for Tariffs with Unit rate 1 p/kWh from PAYG yardstick kWh</t>
  </si>
  <si>
    <t>x5 = 2203. LV unmetered service model asset charge (p/kWh) — for Tariffs with Unit rate 1 p/kWh from PAYG 1 kWh &amp; customer</t>
  </si>
  <si>
    <t>x6 = 2712. Operating expenditure for unmetered customer assets (p/kWh) — for Tariffs with Unit rate 1 p/kWh from PAYG 1 kWh &amp; customer</t>
  </si>
  <si>
    <t>3302. Unit rate 2 p/kWh (elements)</t>
  </si>
  <si>
    <t>x1 = 3005. Unit rate 2 total p/kWh (taking account of standing charges) — for Tariffs with Unit rate 2 p/kWh from Standard 2 kWh</t>
  </si>
  <si>
    <t>x2 = 2904. Pay-as-you-go unit rate 2 (p/kWh) — for Tariffs with Unit rate 2 p/kWh from PAYG 2 kWh</t>
  </si>
  <si>
    <t>x3 = 2904. Pay-as-you-go unit rate 2 (p/kWh) — for Tariffs with Unit rate 2 p/kWh from PAYG 2 kWh &amp; customer</t>
  </si>
  <si>
    <t>x4 = 2203. LV unmetered service model asset charge (p/kWh) — for Tariffs with Unit rate 2 p/kWh from PAYG 2 kWh &amp; customer</t>
  </si>
  <si>
    <t>x5 = 2712. Operating expenditure for unmetered customer assets (p/kWh) — for Tariffs with Unit rate 2 p/kWh from PAYG 2 kWh &amp; customer</t>
  </si>
  <si>
    <t>3303. Unit rate 3 p/kWh (elements)</t>
  </si>
  <si>
    <t>x1 = 3006. Unit rate 3 total p/kWh (taking account of standing charges) — for Tariffs with Unit rate 3 p/kWh from Standard 3 kWh</t>
  </si>
  <si>
    <t>x2 = 2905. Pay-as-you-go unit rate 3 (p/kWh) — for Tariffs with Unit rate 3 p/kWh from PAYG 3 kWh</t>
  </si>
  <si>
    <t>x3 = 2905. Pay-as-you-go unit rate 3 (p/kWh) — for Tariffs with Unit rate 3 p/kWh from PAYG 3 kWh &amp; customer</t>
  </si>
  <si>
    <t>x4 = 2203. LV unmetered service model asset charge (p/kWh) — for Tariffs with Unit rate 3 p/kWh from PAYG 3 kWh &amp; customer</t>
  </si>
  <si>
    <t>x5 = 2712. Operating expenditure for unmetered customer assets (p/kWh) — for Tariffs with Unit rate 3 p/kWh from PAYG 3 kWh &amp; customer</t>
  </si>
  <si>
    <t>3304. Fixed charge p/MPAN/day (elements)</t>
  </si>
  <si>
    <t>x1 = 3107. Fixed charge from standing charges factors p/MPAN/day — for Tariffs with Fixed charge p/MPAN/day from Fixed from network &amp; customer</t>
  </si>
  <si>
    <t>x2 = 2206. Service model p/MPAN/day (in Replacement annuities for service models) — for Tariffs with Fixed charge p/MPAN/day from Customer</t>
  </si>
  <si>
    <t>x3 = 2206. Service model p/MPAN/day (in Replacement annuities for service models) — for Tariffs with Fixed charge p/MPAN/day from Fixed from network &amp; customer</t>
  </si>
  <si>
    <t>x4 = 2711. Operating expenditure for customer assets p/MPAN/day total (in Operating expenditure for customer assets p/MPAN/day) — for Tariffs with Fixed charge p/MPAN/day from Customer</t>
  </si>
  <si>
    <t>x5 = 2711. Operating expenditure for customer assets p/MPAN/day total (in Operating expenditure for customer assets p/MPAN/day) — for Tariffs with Fixed charge p/MPAN/day from Fixed from network &amp; customer</t>
  </si>
  <si>
    <t>3305. Capacity charge p/kVA/day (elements)</t>
  </si>
  <si>
    <t>x1 = 3002. Capacity charge p/kVA/day — for Tariffs with Capacity charge p/kVA/day from Capacity</t>
  </si>
  <si>
    <t>3306. Reactive power charge p/kVArh (elements)</t>
  </si>
  <si>
    <t>x1 = 3206. Pay-as-you-go reactive p/kVArh</t>
  </si>
  <si>
    <t>x2 = 3203. Standard reactive p/kVArh</t>
  </si>
  <si>
    <t>3307. Summary of charges before revenue matching</t>
  </si>
  <si>
    <t>x1 = 3301. Unit rate 1 p/kWh (elements)</t>
  </si>
  <si>
    <t>x2 = 3302. Unit rate 2 p/kWh (elements)</t>
  </si>
  <si>
    <t>x3 = 3303. Unit rate 3 p/kWh (elements)</t>
  </si>
  <si>
    <t>x4 = 3304. Fixed charge p/MPAN/day (elements)</t>
  </si>
  <si>
    <t>x5 = 3305. Capacity charge p/kVA/day (elements)</t>
  </si>
  <si>
    <t>x6 = 3306. Reactive power charge p/kVArh (elements)</t>
  </si>
  <si>
    <t>Unit rate 1 p/kWh (total)</t>
  </si>
  <si>
    <t>Unit rate 2 p/kWh (total)</t>
  </si>
  <si>
    <t>Unit rate 3 p/kWh (total)</t>
  </si>
  <si>
    <t>Fixed charge p/MPAN/day (total)</t>
  </si>
  <si>
    <t>Capacity charge p/kVA/day (total)</t>
  </si>
  <si>
    <t>Reactive power charge p/kVArh</t>
  </si>
  <si>
    <t>3401. Net revenues by tariff before matching (£)</t>
  </si>
  <si>
    <t>x2 = 3307. Fixed charge p/MPAN/day (total) (in Summary of charges before revenue matching)</t>
  </si>
  <si>
    <t>x3 = 2305. MPANs (in Equivalent volume for each end user)</t>
  </si>
  <si>
    <t>x4 = 3307. Capacity charge p/kVA/day (total) (in Summary of charges before revenue matching)</t>
  </si>
  <si>
    <t>x5 = 2305. Import capacity (kVA) (in Equivalent volume for each end user)</t>
  </si>
  <si>
    <t>x6 = 3307. Unit rate 1 p/kWh (total) (in Summary of charges before revenue matching)</t>
  </si>
  <si>
    <t>x7 = 2305. Rate 1 units (MWh) (in Equivalent volume for each end user)</t>
  </si>
  <si>
    <t>x8 = 3307. Unit rate 2 p/kWh (total) (in Summary of charges before revenue matching)</t>
  </si>
  <si>
    <t>x9 = 2305. Rate 2 units (MWh) (in Equivalent volume for each end user)</t>
  </si>
  <si>
    <t>x10 = 3307. Unit rate 3 p/kWh (total) (in Summary of charges before revenue matching)</t>
  </si>
  <si>
    <t>x11 = 2305. Rate 3 units (MWh) (in Equivalent volume for each end user)</t>
  </si>
  <si>
    <t>x12 = 3307. Reactive power charge p/kVArh (in Summary of charges before revenue matching)</t>
  </si>
  <si>
    <t>x13 = 2305. Reactive power units (MVArh) (in Equivalent volume for each end user)</t>
  </si>
  <si>
    <t>Calculation =0.01*x1*(x2*x3+x4*x5)+10*(x6*x7+x8*x9+x10*x11+x12*x13)</t>
  </si>
  <si>
    <t>Net revenues</t>
  </si>
  <si>
    <t>3402. Target CDCM revenue</t>
  </si>
  <si>
    <t>x1 = 1001. Value (in CDCM target revenue)</t>
  </si>
  <si>
    <t>x2 = Target CDCM revenue (£/year) (in Target CDCM revenue)</t>
  </si>
  <si>
    <t>x3 = 1001. Revenue elements and subtotals (£/year) (in CDCM target revenue)</t>
  </si>
  <si>
    <t>= derived from x1</t>
  </si>
  <si>
    <t>=x2-x3</t>
  </si>
  <si>
    <t>Target CDCM revenue (£/year)</t>
  </si>
  <si>
    <t>Check (should be zero)</t>
  </si>
  <si>
    <t>3403. Revenue surplus or shortfall</t>
  </si>
  <si>
    <t>x1 = 3401. Net revenues by tariff before matching (£)</t>
  </si>
  <si>
    <t>x2 = 3402. Target CDCM revenue (£/year) (in Target CDCM revenue)</t>
  </si>
  <si>
    <t>x3 = Total net revenues before matching (£) (in Revenue surplus or shortfall)</t>
  </si>
  <si>
    <t>Total net revenues before matching (£)</t>
  </si>
  <si>
    <t>Revenue shortfall (surplus) £</t>
  </si>
  <si>
    <t>Revenue surplus or shortfall</t>
  </si>
  <si>
    <t>This sheet modifies tariffs so that the total expected net revenues matches the target.</t>
  </si>
  <si>
    <t>3501. Factor to scale to £1/kW at transmission exit level</t>
  </si>
  <si>
    <t>Calculation =IF(x1,1/x1,0)</t>
  </si>
  <si>
    <t>Factor to scale to £1/kW at transmission exit level</t>
  </si>
  <si>
    <t>3502. Applicability factor for £1/kW scaler</t>
  </si>
  <si>
    <t>x1 = 3501. Factor to scale to £1/kW at transmission exit level</t>
  </si>
  <si>
    <t>x2 = Zero for other levels</t>
  </si>
  <si>
    <t>Applicability factor for £1/kW scaler</t>
  </si>
  <si>
    <t>3503. Scalable elements of tariff components</t>
  </si>
  <si>
    <t>x2 = 3502. Applicability factor for £1/kW scaler</t>
  </si>
  <si>
    <t>x3 = 3302. Unit rate 2 p/kWh (elements)</t>
  </si>
  <si>
    <t>x4 = 3303. Unit rate 3 p/kWh (elements)</t>
  </si>
  <si>
    <t>x5 = 3304. Fixed charge p/MPAN/day (elements)</t>
  </si>
  <si>
    <t>x6 = 3305. Capacity charge p/kVA/day (elements)</t>
  </si>
  <si>
    <t>x7 = 3306. Reactive power charge p/kVArh (elements)</t>
  </si>
  <si>
    <t>=SUMPRODUCT(x3, x2)</t>
  </si>
  <si>
    <t>=SUMPRODUCT(x4, x2)</t>
  </si>
  <si>
    <t>=SUMPRODUCT(x5, x2)</t>
  </si>
  <si>
    <t>=SUMPRODUCT(x6, x2)</t>
  </si>
  <si>
    <t>=SUMPRODUCT(x7, x2)</t>
  </si>
  <si>
    <t>Unit rate 1 p/kWh scalable part</t>
  </si>
  <si>
    <t>Unit rate 2 p/kWh scalable part</t>
  </si>
  <si>
    <t>Unit rate 3 p/kWh scalable part</t>
  </si>
  <si>
    <t>Fixed charge p/MPAN/day scalable part</t>
  </si>
  <si>
    <t>Capacity charge p/kVA/day scalable part</t>
  </si>
  <si>
    <t>Reactive power charge p/kVArh scalable part</t>
  </si>
  <si>
    <t>3504. Marginal revenue effect of scaler</t>
  </si>
  <si>
    <t>x2 = 3503. Unit rate 1 p/kWh scalable part (in Scalable elements of tariff components)</t>
  </si>
  <si>
    <t>x3 = 2305. Rate 1 units (MWh) (in Equivalent volume for each end user)</t>
  </si>
  <si>
    <t>x4 = 3503. Unit rate 2 p/kWh scalable part (in Scalable elements of tariff components)</t>
  </si>
  <si>
    <t>x5 = 2305. Rate 2 units (MWh) (in Equivalent volume for each end user)</t>
  </si>
  <si>
    <t>x6 = 3503. Unit rate 3 p/kWh scalable part (in Scalable elements of tariff components)</t>
  </si>
  <si>
    <t>x7 = 2305. Rate 3 units (MWh) (in Equivalent volume for each end user)</t>
  </si>
  <si>
    <t>x8 = 3503. Fixed charge p/MPAN/day scalable part (in Scalable elements of tariff components)</t>
  </si>
  <si>
    <t>x9 = 1010. Days in the charging year (in Financial and general assumptions)</t>
  </si>
  <si>
    <t>x10 = 2305. MPANs (in Equivalent volume for each end user)</t>
  </si>
  <si>
    <t>x11 = 3503. Capacity charge p/kVA/day scalable part (in Scalable elements of tariff components)</t>
  </si>
  <si>
    <t>x12 = 2305. Import capacity (kVA) (in Equivalent volume for each end user)</t>
  </si>
  <si>
    <t>x13 = 3503. Reactive power charge p/kVArh scalable part (in Scalable elements of tariff components)</t>
  </si>
  <si>
    <t>x14 = 2305. Reactive power units (MVArh) (in Equivalent volume for each end user)</t>
  </si>
  <si>
    <t>=IF(x1&lt;0,0,x2*x3*10)</t>
  </si>
  <si>
    <t>=IF(x1&lt;0,0,x4*x5*10)</t>
  </si>
  <si>
    <t>=IF(x1&lt;0,0,x6*x7*10)</t>
  </si>
  <si>
    <t>=x8*x9*x10/100</t>
  </si>
  <si>
    <t>=x11*x9*x12/100</t>
  </si>
  <si>
    <t>=IF(x1&lt;0,0,x13*x14*10)</t>
  </si>
  <si>
    <t>Effect through Unit rate 1 p/kWh</t>
  </si>
  <si>
    <t>Effect through Unit rate 2 p/kWh</t>
  </si>
  <si>
    <t>Effect through Unit rate 3 p/kWh</t>
  </si>
  <si>
    <t>Effect through Fixed charge p/MPAN/day</t>
  </si>
  <si>
    <t>Effect through Capacity charge p/kVA/day</t>
  </si>
  <si>
    <t>Effect through Reactive power charge p/kVArh</t>
  </si>
  <si>
    <t>3505. Scaler value at which the minimum is breached</t>
  </si>
  <si>
    <t>x1 = 3503. Unit rate 1 p/kWh scalable part (in Scalable elements of tariff components)</t>
  </si>
  <si>
    <t>x2 = 3307. Unit rate 1 p/kWh (total) (in Summary of charges before revenue matching)</t>
  </si>
  <si>
    <t>x3 = 3503. Unit rate 2 p/kWh scalable part (in Scalable elements of tariff components)</t>
  </si>
  <si>
    <t>x4 = 3307. Unit rate 2 p/kWh (total) (in Summary of charges before revenue matching)</t>
  </si>
  <si>
    <t>x5 = 3503. Unit rate 3 p/kWh scalable part (in Scalable elements of tariff components)</t>
  </si>
  <si>
    <t>x6 = 3307. Unit rate 3 p/kWh (total) (in Summary of charges before revenue matching)</t>
  </si>
  <si>
    <t>x7 = 3503. Fixed charge p/MPAN/day scalable part (in Scalable elements of tariff components)</t>
  </si>
  <si>
    <t>x8 = 3307. Fixed charge p/MPAN/day (total) (in Summary of charges before revenue matching)</t>
  </si>
  <si>
    <t>x9 = 3503. Capacity charge p/kVA/day scalable part (in Scalable elements of tariff components)</t>
  </si>
  <si>
    <t>x10 = 3307. Capacity charge p/kVA/day (total) (in Summary of charges before revenue matching)</t>
  </si>
  <si>
    <t>x11 = 3503. Reactive power charge p/kVArh scalable part (in Scalable elements of tariff components)</t>
  </si>
  <si>
    <t>=IF(x1,0-x2/x1,0)</t>
  </si>
  <si>
    <t>=IF(x3,0-x4/x3,0)</t>
  </si>
  <si>
    <t>=IF(x5,0-x6/x5,0)</t>
  </si>
  <si>
    <t>=IF(x7,0-x8/x7,0)</t>
  </si>
  <si>
    <t>=IF(x9,0-x10/x9,0)</t>
  </si>
  <si>
    <t>=IF(x11,0-x12/x11,0)</t>
  </si>
  <si>
    <t>Scaler threshold for Unit rate 1 p/kWh</t>
  </si>
  <si>
    <t>Scaler threshold for Unit rate 2 p/kWh</t>
  </si>
  <si>
    <t>Scaler threshold for Unit rate 3 p/kWh</t>
  </si>
  <si>
    <t>Scaler threshold for Fixed charge p/MPAN/day</t>
  </si>
  <si>
    <t>Scaler threshold for Capacity charge p/kVA/day</t>
  </si>
  <si>
    <t>Scaler threshold for Reactive power charge p/kVArh</t>
  </si>
  <si>
    <t>3506. Constraint-free solution</t>
  </si>
  <si>
    <t>x1 = 3403. Revenue shortfall (surplus) £ (in Revenue surplus or shortfall)</t>
  </si>
  <si>
    <t>x2 = 3504. Effect through Unit rate 1 p/kWh (in Marginal revenue effect of scaler)</t>
  </si>
  <si>
    <t>x3 = 3504. Effect through Unit rate 2 p/kWh (in Marginal revenue effect of scaler)</t>
  </si>
  <si>
    <t>x4 = 3504. Effect through Unit rate 3 p/kWh (in Marginal revenue effect of scaler)</t>
  </si>
  <si>
    <t>x5 = 3504. Effect through Fixed charge p/MPAN/day (in Marginal revenue effect of scaler)</t>
  </si>
  <si>
    <t>x6 = 3504. Effect through Capacity charge p/kVA/day (in Marginal revenue effect of scaler)</t>
  </si>
  <si>
    <t>x7 = 3504. Effect through Reactive power charge p/kVArh (in Marginal revenue effect of scaler)</t>
  </si>
  <si>
    <t>Calculation =x1/SUM(x2,x3,x4,x5,x6,x7)</t>
  </si>
  <si>
    <t>Constraint-free solution</t>
  </si>
  <si>
    <t>3507. Starting point</t>
  </si>
  <si>
    <t>x1 = 3506. Constraint-free solution</t>
  </si>
  <si>
    <t>x2 = 3505. Scaler threshold for Unit rate 1 p/kWh (in Scaler value at which the minimum is breached)</t>
  </si>
  <si>
    <t>x3 = 3505. Scaler threshold for Unit rate 2 p/kWh (in Scaler value at which the minimum is breached)</t>
  </si>
  <si>
    <t>x4 = 3505. Scaler threshold for Unit rate 3 p/kWh (in Scaler value at which the minimum is breached)</t>
  </si>
  <si>
    <t>x5 = 3505. Scaler threshold for Fixed charge p/MPAN/day (in Scaler value at which the minimum is breached)</t>
  </si>
  <si>
    <t>x6 = 3505. Scaler threshold for Capacity charge p/kVA/day (in Scaler value at which the minimum is breached)</t>
  </si>
  <si>
    <t>x7 = 3505. Scaler threshold for Reactive power charge p/kVArh (in Scaler value at which the minimum is breached)</t>
  </si>
  <si>
    <t>Calculation =MIN(x1,x2,x3,x4,x5,x6,x7)</t>
  </si>
  <si>
    <t>Starting point</t>
  </si>
  <si>
    <t>3508. Solve for General scaler rate</t>
  </si>
  <si>
    <t>x1 = 3507. Starting point</t>
  </si>
  <si>
    <t>x8 = Location (in Solve for General scaler rate)</t>
  </si>
  <si>
    <t>x9 = Kink (in Solve for General scaler rate)</t>
  </si>
  <si>
    <t>x10 = Ranking before tie break (in Solve for General scaler rate)</t>
  </si>
  <si>
    <t>x11 = Counter (in Solve for General scaler rate)</t>
  </si>
  <si>
    <t>x12 = Tie breaker (in Solve for General scaler rate)</t>
  </si>
  <si>
    <t>x13 = Ranking (in Solve for General scaler rate)</t>
  </si>
  <si>
    <t>x14 = Kink reordering (in Solve for General scaler rate)</t>
  </si>
  <si>
    <t>x15 = Starting slope contributions (in Solve for General scaler rate)</t>
  </si>
  <si>
    <t>x16 = New slope (in Solve for General scaler rate)</t>
  </si>
  <si>
    <t>x17 = Location (ordered) (in Solve for General scaler rate)</t>
  </si>
  <si>
    <t>x18 = Starting values (in Solve for General scaler rate)</t>
  </si>
  <si>
    <t>x19 = 3403. Revenue shortfall (surplus) £ (in Revenue surplus or shortfall)</t>
  </si>
  <si>
    <t>x20 = 3506. Constraint-free solution</t>
  </si>
  <si>
    <t>x21 = Value (in Solve for General scaler rate)</t>
  </si>
  <si>
    <t>=IF(ISERROR(x8),x9,0)</t>
  </si>
  <si>
    <t>=MAX(x1,x8)*x9</t>
  </si>
  <si>
    <t>=RANK(x8,x8,1)</t>
  </si>
  <si>
    <t>=x10*144+x11</t>
  </si>
  <si>
    <t>=RANK(x12,x12,1)</t>
  </si>
  <si>
    <t>=MATCH(x11,x13,0)</t>
  </si>
  <si>
    <t>=INDEX(x8,x14,1) or =x8</t>
  </si>
  <si>
    <t>Location</t>
  </si>
  <si>
    <t>Kink</t>
  </si>
  <si>
    <t>Starting slope contributions</t>
  </si>
  <si>
    <t>Starting values</t>
  </si>
  <si>
    <t>Ranking before tie break</t>
  </si>
  <si>
    <t>Counter</t>
  </si>
  <si>
    <t>Tie breaker</t>
  </si>
  <si>
    <t>Ranking</t>
  </si>
  <si>
    <t>Kink reordering</t>
  </si>
  <si>
    <t>Location (ordered)</t>
  </si>
  <si>
    <t>New slope</t>
  </si>
  <si>
    <t>Root</t>
  </si>
  <si>
    <t>Kink 1</t>
  </si>
  <si>
    <t>Kink 2</t>
  </si>
  <si>
    <t>Kink 3</t>
  </si>
  <si>
    <t>Kink 4</t>
  </si>
  <si>
    <t>Kink 5</t>
  </si>
  <si>
    <t>Kink 6</t>
  </si>
  <si>
    <t>Kink 7</t>
  </si>
  <si>
    <t>Kink 8</t>
  </si>
  <si>
    <t>Kink 9</t>
  </si>
  <si>
    <t>Kink 10</t>
  </si>
  <si>
    <t>Kink 11</t>
  </si>
  <si>
    <t>Kink 12</t>
  </si>
  <si>
    <t>Kink 13</t>
  </si>
  <si>
    <t>Kink 14</t>
  </si>
  <si>
    <t>Kink 15</t>
  </si>
  <si>
    <t>Kink 16</t>
  </si>
  <si>
    <t>Kink 17</t>
  </si>
  <si>
    <t>Kink 18</t>
  </si>
  <si>
    <t>Kink 19</t>
  </si>
  <si>
    <t>Kink 20</t>
  </si>
  <si>
    <t>Kink 21</t>
  </si>
  <si>
    <t>Kink 22</t>
  </si>
  <si>
    <t>Kink 23</t>
  </si>
  <si>
    <t>Kink 24</t>
  </si>
  <si>
    <t>Kink 25</t>
  </si>
  <si>
    <t>Kink 26</t>
  </si>
  <si>
    <t>Kink 27</t>
  </si>
  <si>
    <t>Kink 28</t>
  </si>
  <si>
    <t>Kink 29</t>
  </si>
  <si>
    <t>Kink 30</t>
  </si>
  <si>
    <t>Kink 31</t>
  </si>
  <si>
    <t>Kink 32</t>
  </si>
  <si>
    <t>Kink 33</t>
  </si>
  <si>
    <t>Kink 34</t>
  </si>
  <si>
    <t>Kink 35</t>
  </si>
  <si>
    <t>Kink 36</t>
  </si>
  <si>
    <t>Kink 37</t>
  </si>
  <si>
    <t>Kink 38</t>
  </si>
  <si>
    <t>Kink 39</t>
  </si>
  <si>
    <t>Kink 40</t>
  </si>
  <si>
    <t>Kink 41</t>
  </si>
  <si>
    <t>Kink 42</t>
  </si>
  <si>
    <t>Kink 43</t>
  </si>
  <si>
    <t>Kink 44</t>
  </si>
  <si>
    <t>Kink 45</t>
  </si>
  <si>
    <t>Kink 46</t>
  </si>
  <si>
    <t>Kink 47</t>
  </si>
  <si>
    <t>Kink 48</t>
  </si>
  <si>
    <t>Kink 49</t>
  </si>
  <si>
    <t>Kink 50</t>
  </si>
  <si>
    <t>Kink 51</t>
  </si>
  <si>
    <t>Kink 52</t>
  </si>
  <si>
    <t>Kink 53</t>
  </si>
  <si>
    <t>Kink 54</t>
  </si>
  <si>
    <t>Kink 55</t>
  </si>
  <si>
    <t>Kink 56</t>
  </si>
  <si>
    <t>Kink 57</t>
  </si>
  <si>
    <t>Kink 58</t>
  </si>
  <si>
    <t>Kink 59</t>
  </si>
  <si>
    <t>Kink 60</t>
  </si>
  <si>
    <t>Kink 61</t>
  </si>
  <si>
    <t>Kink 62</t>
  </si>
  <si>
    <t>Kink 63</t>
  </si>
  <si>
    <t>Kink 64</t>
  </si>
  <si>
    <t>Kink 65</t>
  </si>
  <si>
    <t>Kink 66</t>
  </si>
  <si>
    <t>Kink 67</t>
  </si>
  <si>
    <t>Kink 68</t>
  </si>
  <si>
    <t>Kink 69</t>
  </si>
  <si>
    <t>Kink 70</t>
  </si>
  <si>
    <t>Kink 71</t>
  </si>
  <si>
    <t>Kink 72</t>
  </si>
  <si>
    <t>Kink 73</t>
  </si>
  <si>
    <t>Kink 74</t>
  </si>
  <si>
    <t>Kink 75</t>
  </si>
  <si>
    <t>Kink 76</t>
  </si>
  <si>
    <t>Kink 77</t>
  </si>
  <si>
    <t>Kink 78</t>
  </si>
  <si>
    <t>Kink 79</t>
  </si>
  <si>
    <t>Kink 80</t>
  </si>
  <si>
    <t>Kink 81</t>
  </si>
  <si>
    <t>Kink 82</t>
  </si>
  <si>
    <t>Kink 83</t>
  </si>
  <si>
    <t>Kink 84</t>
  </si>
  <si>
    <t>Kink 85</t>
  </si>
  <si>
    <t>Kink 86</t>
  </si>
  <si>
    <t>Kink 87</t>
  </si>
  <si>
    <t>Kink 88</t>
  </si>
  <si>
    <t>Kink 89</t>
  </si>
  <si>
    <t>Kink 90</t>
  </si>
  <si>
    <t>Kink 91</t>
  </si>
  <si>
    <t>Kink 92</t>
  </si>
  <si>
    <t>Kink 93</t>
  </si>
  <si>
    <t>Kink 94</t>
  </si>
  <si>
    <t>Kink 95</t>
  </si>
  <si>
    <t>Kink 96</t>
  </si>
  <si>
    <t>Kink 97</t>
  </si>
  <si>
    <t>Kink 98</t>
  </si>
  <si>
    <t>Kink 99</t>
  </si>
  <si>
    <t>Kink 100</t>
  </si>
  <si>
    <t>Kink 101</t>
  </si>
  <si>
    <t>Kink 102</t>
  </si>
  <si>
    <t>Kink 103</t>
  </si>
  <si>
    <t>Kink 104</t>
  </si>
  <si>
    <t>Kink 105</t>
  </si>
  <si>
    <t>Kink 106</t>
  </si>
  <si>
    <t>Kink 107</t>
  </si>
  <si>
    <t>Kink 108</t>
  </si>
  <si>
    <t>Kink 109</t>
  </si>
  <si>
    <t>Kink 110</t>
  </si>
  <si>
    <t>Kink 111</t>
  </si>
  <si>
    <t>Kink 112</t>
  </si>
  <si>
    <t>Kink 113</t>
  </si>
  <si>
    <t>Kink 114</t>
  </si>
  <si>
    <t>Kink 115</t>
  </si>
  <si>
    <t>Kink 116</t>
  </si>
  <si>
    <t>Kink 117</t>
  </si>
  <si>
    <t>Kink 118</t>
  </si>
  <si>
    <t>Kink 119</t>
  </si>
  <si>
    <t>Kink 120</t>
  </si>
  <si>
    <t>Kink 121</t>
  </si>
  <si>
    <t>Kink 122</t>
  </si>
  <si>
    <t>Kink 123</t>
  </si>
  <si>
    <t>Kink 124</t>
  </si>
  <si>
    <t>Kink 125</t>
  </si>
  <si>
    <t>Kink 126</t>
  </si>
  <si>
    <t>Kink 127</t>
  </si>
  <si>
    <t>Kink 128</t>
  </si>
  <si>
    <t>Kink 129</t>
  </si>
  <si>
    <t>Kink 130</t>
  </si>
  <si>
    <t>Kink 131</t>
  </si>
  <si>
    <t>Kink 132</t>
  </si>
  <si>
    <t>Kink 133</t>
  </si>
  <si>
    <t>Kink 134</t>
  </si>
  <si>
    <t>Kink 135</t>
  </si>
  <si>
    <t>Kink 136</t>
  </si>
  <si>
    <t>Kink 137</t>
  </si>
  <si>
    <t>Kink 138</t>
  </si>
  <si>
    <t>Kink 139</t>
  </si>
  <si>
    <t>Kink 140</t>
  </si>
  <si>
    <t>Kink 141</t>
  </si>
  <si>
    <t>Kink 142</t>
  </si>
  <si>
    <t>Kink 143</t>
  </si>
  <si>
    <t>Kink 144</t>
  </si>
  <si>
    <t>3509. General scaler rate</t>
  </si>
  <si>
    <t>x1 = 3508. Root (in Solve for General scaler rate)</t>
  </si>
  <si>
    <t>Calculation =MIN(x1)</t>
  </si>
  <si>
    <t>General scaler rate</t>
  </si>
  <si>
    <t>3510. Scaler</t>
  </si>
  <si>
    <t>x3 = 3509. General scaler rate</t>
  </si>
  <si>
    <t>x4 = 3307. Unit rate 1 p/kWh (total) (in Summary of charges before revenue matching)</t>
  </si>
  <si>
    <t>x5 = 3503. Unit rate 2 p/kWh scalable part (in Scalable elements of tariff components)</t>
  </si>
  <si>
    <t>x6 = 3307. Unit rate 2 p/kWh (total) (in Summary of charges before revenue matching)</t>
  </si>
  <si>
    <t>x7 = 3503. Unit rate 3 p/kWh scalable part (in Scalable elements of tariff components)</t>
  </si>
  <si>
    <t>x8 = 3307. Unit rate 3 p/kWh (total) (in Summary of charges before revenue matching)</t>
  </si>
  <si>
    <t>x9 = 3503. Fixed charge p/MPAN/day scalable part (in Scalable elements of tariff components)</t>
  </si>
  <si>
    <t>x10 = 3307. Fixed charge p/MPAN/day (total) (in Summary of charges before revenue matching)</t>
  </si>
  <si>
    <t>x12 = 3307. Capacity charge p/kVA/day (total) (in Summary of charges before revenue matching)</t>
  </si>
  <si>
    <t>x14 = 3307. Reactive power charge p/kVArh (in Summary of charges before revenue matching)</t>
  </si>
  <si>
    <t>x15 = 1010. Days in the charging year (in Financial and general assumptions)</t>
  </si>
  <si>
    <t>x16 = Fixed charge p/MPAN/day scaler (in Scaler)</t>
  </si>
  <si>
    <t>x17 = 2305. MPANs (in Equivalent volume for each end user)</t>
  </si>
  <si>
    <t>x18 = Capacity charge p/kVA/day scaler (in Scaler)</t>
  </si>
  <si>
    <t>x19 = 2305. Import capacity (kVA) (in Equivalent volume for each end user)</t>
  </si>
  <si>
    <t>x20 = Unit rate 1 p/kWh scaler (in Scaler)</t>
  </si>
  <si>
    <t>x21 = 2305. Rate 1 units (MWh) (in Equivalent volume for each end user)</t>
  </si>
  <si>
    <t>x22 = Unit rate 2 p/kWh scaler (in Scaler)</t>
  </si>
  <si>
    <t>x23 = 2305. Rate 2 units (MWh) (in Equivalent volume for each end user)</t>
  </si>
  <si>
    <t>x24 = Unit rate 3 p/kWh scaler (in Scaler)</t>
  </si>
  <si>
    <t>x25 = 2305. Rate 3 units (MWh) (in Equivalent volume for each end user)</t>
  </si>
  <si>
    <t>x26 = Reactive power charge p/kVArh scaler (in Scaler)</t>
  </si>
  <si>
    <t>x27 = 2305. Reactive power units (MVArh) (in Equivalent volume for each end user)</t>
  </si>
  <si>
    <t>=IF(x1&lt;0,0,IF(x2*x3+x4&gt;0,x2*x3,0-x4))</t>
  </si>
  <si>
    <t>=IF(x1&lt;0,0,IF(x5*x3+x6&gt;0,x5*x3,0-x6))</t>
  </si>
  <si>
    <t>=IF(x1&lt;0,0,IF(x7*x3+x8&gt;0,x7*x3,0-x8))</t>
  </si>
  <si>
    <t>=IF(x1&lt;0,0,IF(x9*x3+x10&gt;0,x9*x3,0-x10))</t>
  </si>
  <si>
    <t>=IF(x1&lt;0,0,IF(x11*x3+x12&gt;0,x11*x3,0-x12))</t>
  </si>
  <si>
    <t>=IF(x1&lt;0,0,IF(x13*x3+x14&gt;0,x13*x3,0-x14))</t>
  </si>
  <si>
    <t>=0.01*x15*(x16*x17+x18*x19)+10*(x20*x21+x22*x23+x24*x25+x26*x27)</t>
  </si>
  <si>
    <t>Unit rate 1 p/kWh scaler</t>
  </si>
  <si>
    <t>Unit rate 2 p/kWh scaler</t>
  </si>
  <si>
    <t>Unit rate 3 p/kWh scaler</t>
  </si>
  <si>
    <t>Fixed charge p/MPAN/day scaler</t>
  </si>
  <si>
    <t>Capacity charge p/kVA/day scaler</t>
  </si>
  <si>
    <t>Reactive power charge p/kVArh scaler</t>
  </si>
  <si>
    <t>Net revenues by tariff from scaler</t>
  </si>
  <si>
    <t>3601. Tariffs before rounding</t>
  </si>
  <si>
    <t>x1 = 3307. Unit rate 1 p/kWh (total) (in Summary of charges before revenue matching)</t>
  </si>
  <si>
    <t>x2 = 3510. Unit rate 1 p/kWh scaler (in Scaler)</t>
  </si>
  <si>
    <t>x3 = 3307. Unit rate 2 p/kWh (total) (in Summary of charges before revenue matching)</t>
  </si>
  <si>
    <t>x4 = 3510. Unit rate 2 p/kWh scaler (in Scaler)</t>
  </si>
  <si>
    <t>x5 = 3307. Unit rate 3 p/kWh (total) (in Summary of charges before revenue matching)</t>
  </si>
  <si>
    <t>x6 = 3510. Unit rate 3 p/kWh scaler (in Scaler)</t>
  </si>
  <si>
    <t>x7 = 3307. Fixed charge p/MPAN/day (total) (in Summary of charges before revenue matching)</t>
  </si>
  <si>
    <t>x8 = 3510. Fixed charge p/MPAN/day scaler (in Scaler)</t>
  </si>
  <si>
    <t>x9 = 3307. Capacity charge p/kVA/day (total) (in Summary of charges before revenue matching)</t>
  </si>
  <si>
    <t>x10 = 3510. Capacity charge p/kVA/day scaler (in Scaler)</t>
  </si>
  <si>
    <t>x11 = 3307. Reactive power charge p/kVArh (in Summary of charges before revenue matching)</t>
  </si>
  <si>
    <t>x12 = 3510. Reactive power charge p/kVArh scaler (in Scaler)</t>
  </si>
  <si>
    <t>=x1+x2</t>
  </si>
  <si>
    <t>=x3+x4</t>
  </si>
  <si>
    <t>=x5+x6</t>
  </si>
  <si>
    <t>=x7+x8</t>
  </si>
  <si>
    <t>=x9+x10</t>
  </si>
  <si>
    <t>=x11+x12</t>
  </si>
  <si>
    <t>Unit rate 1 p/kWh</t>
  </si>
  <si>
    <t>Unit rate 2 p/kWh</t>
  </si>
  <si>
    <t>Unit rate 3 p/kWh</t>
  </si>
  <si>
    <t>Fixed charge p/MPAN/day</t>
  </si>
  <si>
    <t>Capacity charge p/kVA/day</t>
  </si>
  <si>
    <t>3602. Decimal places</t>
  </si>
  <si>
    <t>Decimal places</t>
  </si>
  <si>
    <t>3603. Tariff rounding</t>
  </si>
  <si>
    <t>x1 = 3601. Unit rate 1 p/kWh before rounding (in Tariffs before rounding)</t>
  </si>
  <si>
    <t>x2 = 3602. Unit rate 1 p/kWh decimal places (in Decimal places)</t>
  </si>
  <si>
    <t>x3 = 3601. Unit rate 2 p/kWh before rounding (in Tariffs before rounding)</t>
  </si>
  <si>
    <t>x4 = 3602. Unit rate 2 p/kWh decimal places (in Decimal places)</t>
  </si>
  <si>
    <t>x5 = 3601. Unit rate 3 p/kWh before rounding (in Tariffs before rounding)</t>
  </si>
  <si>
    <t>x6 = 3602. Unit rate 3 p/kWh decimal places (in Decimal places)</t>
  </si>
  <si>
    <t>x7 = 3601. Fixed charge p/MPAN/day before rounding (in Tariffs before rounding)</t>
  </si>
  <si>
    <t>x8 = 3602. Fixed charge p/MPAN/day decimal places (in Decimal places)</t>
  </si>
  <si>
    <t>x9 = 3601. Capacity charge p/kVA/day before rounding (in Tariffs before rounding)</t>
  </si>
  <si>
    <t>x10 = 3602. Capacity charge p/kVA/day decimal places (in Decimal places)</t>
  </si>
  <si>
    <t>x11 = 3601. Reactive power charge p/kVArh before rounding (in Tariffs before rounding)</t>
  </si>
  <si>
    <t>x12 = 3602. Reactive power charge p/kVArh decimal places (in Decimal places)</t>
  </si>
  <si>
    <t>=ROUND(x1,x2)-x1</t>
  </si>
  <si>
    <t>=ROUND(x3,x4)-x3</t>
  </si>
  <si>
    <t>=ROUND(x5,x6)-x5</t>
  </si>
  <si>
    <t>=ROUND(x7,x8)-x7</t>
  </si>
  <si>
    <t>=ROUND(x9,x10)-x9</t>
  </si>
  <si>
    <t>=ROUND(x11,x12)-x11</t>
  </si>
  <si>
    <t>3604. All the way tariffs</t>
  </si>
  <si>
    <t>x2 = 3603. Unit rate 1 p/kWh rounding (in Tariff rounding)</t>
  </si>
  <si>
    <t>x4 = 3603. Unit rate 2 p/kWh rounding (in Tariff rounding)</t>
  </si>
  <si>
    <t>x6 = 3603. Unit rate 3 p/kWh rounding (in Tariff rounding)</t>
  </si>
  <si>
    <t>x8 = 3603. Fixed charge p/MPAN/day rounding (in Tariff rounding)</t>
  </si>
  <si>
    <t>x10 = 3603. Capacity charge p/kVA/day rounding (in Tariff rounding)</t>
  </si>
  <si>
    <t>x12 = 3603. Reactive power charge p/kVArh rounding (in Tariff rounding)</t>
  </si>
  <si>
    <t>3605. Net revenues by tariff from rounding</t>
  </si>
  <si>
    <t>x2 = 3603. Fixed charge p/MPAN/day rounding (in Tariff rounding)</t>
  </si>
  <si>
    <t>x4 = 3603. Capacity charge p/kVA/day rounding (in Tariff rounding)</t>
  </si>
  <si>
    <t>x6 = 3603. Unit rate 1 p/kWh rounding (in Tariff rounding)</t>
  </si>
  <si>
    <t>x8 = 3603. Unit rate 2 p/kWh rounding (in Tariff rounding)</t>
  </si>
  <si>
    <t>x10 = 3603. Unit rate 3 p/kWh rounding (in Tariff rounding)</t>
  </si>
  <si>
    <t>Net revenues by tariff from rounding</t>
  </si>
  <si>
    <t>3606. Revenue forecast summary</t>
  </si>
  <si>
    <t>x1 = 3403. Total net revenues before matching (£) (in Revenue surplus or shortfall)</t>
  </si>
  <si>
    <t>x2 = 3510. Net revenues by tariff from scaler (in Scaler)</t>
  </si>
  <si>
    <t>x3 = 3605. Net revenues by tariff from rounding</t>
  </si>
  <si>
    <t>x4 = Total net revenues before matching (£) (in Revenue forecast summary)</t>
  </si>
  <si>
    <t>x5 = Total net revenues from scaler (£) (in Revenue forecast summary)</t>
  </si>
  <si>
    <t>x6 = Total net revenues from rounding (£) (in Revenue forecast summary)</t>
  </si>
  <si>
    <t>x7 = Total net revenues (£) (in Revenue forecast summary)</t>
  </si>
  <si>
    <t>x8 = 3402. Target CDCM revenue (£/year) (in Target CDCM revenue)</t>
  </si>
  <si>
    <t>=x4+x5+x6</t>
  </si>
  <si>
    <t>=x7-x8</t>
  </si>
  <si>
    <t>Total net revenues from scaler (£)</t>
  </si>
  <si>
    <t>Total net revenues from rounding (£)</t>
  </si>
  <si>
    <t>Total net revenues (£)</t>
  </si>
  <si>
    <t>Deviation from target revenue (£)</t>
  </si>
  <si>
    <t>Revenue forecast summary</t>
  </si>
  <si>
    <t>3607. Tariffs</t>
  </si>
  <si>
    <t>x1 = 3604. Unit rate 1 p/kWh (in All the way tariffs)</t>
  </si>
  <si>
    <t>x2 = 2304. Discount for each tariff (except for fixed charges) (in LDNO discounts and volumes adjusted for discount)</t>
  </si>
  <si>
    <t>x3 = 3604. Unit rate 2 p/kWh (in All the way tariffs)</t>
  </si>
  <si>
    <t>x4 = 3604. Unit rate 3 p/kWh (in All the way tariffs)</t>
  </si>
  <si>
    <t>x5 = 3604. Fixed charge p/MPAN/day (in All the way tariffs)</t>
  </si>
  <si>
    <t>x6 = 2304. Discount for each tariff for fixed charges only (in LDNO discounts and volumes adjusted for discount)</t>
  </si>
  <si>
    <t>x7 = 3604. Capacity charge p/kVA/day (in All the way tariffs)</t>
  </si>
  <si>
    <t>x8 = 3604. Reactive power charge p/kVArh (in All the way tariffs)</t>
  </si>
  <si>
    <t>=ROUND(x1*(1-x2),3)</t>
  </si>
  <si>
    <t>=ROUND(x3*(1-x2),3)</t>
  </si>
  <si>
    <t>=ROUND(x4*(1-x2),3)</t>
  </si>
  <si>
    <t>=ROUND(x5*(1-x6),2)</t>
  </si>
  <si>
    <t>=ROUND(x7*(1-x2),2)</t>
  </si>
  <si>
    <t>=ROUND(x8*(1-x2),3)</t>
  </si>
  <si>
    <t>3701. Tariffs</t>
  </si>
  <si>
    <t>x1 = 3607. Unit rate 1 p/kWh (in Tariffs)</t>
  </si>
  <si>
    <t>x2 = 3607. Unit rate 2 p/kWh (in Tariffs)</t>
  </si>
  <si>
    <t>x3 = 3607. Unit rate 3 p/kWh (in Tariffs)</t>
  </si>
  <si>
    <t>x4 = 3607. Fixed charge p/MPAN/day (in Tariffs)</t>
  </si>
  <si>
    <t>x5 = 3607. Capacity charge p/kVA/day (in Tariffs)</t>
  </si>
  <si>
    <t>x6 = 3607. Reactive power charge p/kVArh (in Tariffs)</t>
  </si>
  <si>
    <t>Input data</t>
  </si>
  <si>
    <t>= x1</t>
  </si>
  <si>
    <t>= x3</t>
  </si>
  <si>
    <t>= x6</t>
  </si>
  <si>
    <t>Open LLFCs</t>
  </si>
  <si>
    <t>PCs</t>
  </si>
  <si>
    <t>Closed LLFCs</t>
  </si>
  <si>
    <t>8&amp;0</t>
  </si>
  <si>
    <t>This sheet is for information only.  It can be deleted without affecting any calculations elsewhere in the model.</t>
  </si>
  <si>
    <t>3801. Headline parameters</t>
  </si>
  <si>
    <t>x2 = 3606. Total net revenues from scaler (£) (in Revenue forecast summary)</t>
  </si>
  <si>
    <t>x3 = 3606. Deviation from target revenue (£) (in Revenue forecast summary)</t>
  </si>
  <si>
    <t>x4 = 3402. Target CDCM revenue (£/year) (in Target CDCM revenue)</t>
  </si>
  <si>
    <t>=x3/x4</t>
  </si>
  <si>
    <t>Over/under recovery</t>
  </si>
  <si>
    <t>Headline parameters</t>
  </si>
  <si>
    <t>3802.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</si>
  <si>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</si>
  <si>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</si>
  <si>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</si>
  <si>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</si>
  <si>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x6 = 3607. Fixed charge p/MPAN/day (in Tariffs)</t>
  </si>
  <si>
    <t>x7 = 3607. Capacity charge p/kVA/day (in Tariffs)</t>
  </si>
  <si>
    <t>x8 = 1053. Import capacity (kVA) by tariff (in Volume forecasts for the charging year)</t>
  </si>
  <si>
    <t>x9 = 3607. Unit rate 1 p/kWh (in Tariffs)</t>
  </si>
  <si>
    <t>x10 = 3607. Unit rate 2 p/kWh (in Tariffs)</t>
  </si>
  <si>
    <t>x11 = 3607. Unit rate 3 p/kWh (in Tariffs)</t>
  </si>
  <si>
    <t>x12 = 3607. Reactive power charge p/kVArh (in Tariffs)</t>
  </si>
  <si>
    <t>x13 = 1053. Reactive power units (MVArh) by tariff (in Volume forecasts for the charging year)</t>
  </si>
  <si>
    <t>x14 = All units (MWh) (in Revenue summary)</t>
  </si>
  <si>
    <t>x15 = Net revenues (£) (in Revenue summary)</t>
  </si>
  <si>
    <t>x16 = MPANs (in Revenue summary)</t>
  </si>
  <si>
    <t>x17 = Revenues from unit rates (£) (in Revenue summary)</t>
  </si>
  <si>
    <t>x18 = Net revenues from unit rate 1 (£) (in Revenue summary)</t>
  </si>
  <si>
    <t>x19 = Net revenues from unit rate 2 (£) (in Revenue summary)</t>
  </si>
  <si>
    <t>x20 = Net revenues from unit rate 3 (£) (in Revenue summary)</t>
  </si>
  <si>
    <t>x21 = Revenues from fixed charges (£) (in Revenue summary)</t>
  </si>
  <si>
    <t>x22 = Revenues from capacity charges (£) (in Revenue summary)</t>
  </si>
  <si>
    <t>x23 = Revenues from reactive power charges (£) (in Revenue summary)</t>
  </si>
  <si>
    <t>=x1+x2+x3</t>
  </si>
  <si>
    <t>=0.01*x5*(x6*x4+x7*x8)+10*(x9*x1+x10*x2+x11*x3+x12*x13)</t>
  </si>
  <si>
    <t>=10*(x9*x1+x10*x2+x11*x3)</t>
  </si>
  <si>
    <t>=x6*x5*x4/100</t>
  </si>
  <si>
    <t>=x7*x5*x8/100</t>
  </si>
  <si>
    <t>=x12*x13*10</t>
  </si>
  <si>
    <t>=IF(x14&lt;&gt;0,0.1*x15/x14,"")</t>
  </si>
  <si>
    <t>=IF(x16&lt;&gt;0,x15/x16,"")</t>
  </si>
  <si>
    <t>=IF(x14&lt;&gt;0,0.1*x17/x14,0)</t>
  </si>
  <si>
    <t>=x9*x1*10</t>
  </si>
  <si>
    <t>=x10*x2*10</t>
  </si>
  <si>
    <t>=x11*x3*10</t>
  </si>
  <si>
    <t>=IF(x17&lt;&gt;0,x18/x17,"")</t>
  </si>
  <si>
    <t>=IF(x17&lt;&gt;0,x19/x17,"")</t>
  </si>
  <si>
    <t>=IF(x17&lt;&gt;0,x20/x17,"")</t>
  </si>
  <si>
    <t>=IF(x15&lt;&gt;0,x21/x15,"")</t>
  </si>
  <si>
    <t>=IF(x15&lt;&gt;0,x22/x15,"")</t>
  </si>
  <si>
    <t>=IF(x15&lt;&gt;0,x23/x15,"")</t>
  </si>
  <si>
    <t>Net revenues (£)</t>
  </si>
  <si>
    <t>Revenues from unit rates (£)</t>
  </si>
  <si>
    <t>Revenues from fixed charges (£)</t>
  </si>
  <si>
    <t>Revenues from capacity charges (£)</t>
  </si>
  <si>
    <t>Revenues from reactive power charges (£)</t>
  </si>
  <si>
    <t>Average p/kWh</t>
  </si>
  <si>
    <t>Average £/MPAN</t>
  </si>
  <si>
    <t>Average unit rate p/kWh</t>
  </si>
  <si>
    <t>Net revenues from unit rate 1 (£)</t>
  </si>
  <si>
    <t>Net revenues from unit rate 2 (£)</t>
  </si>
  <si>
    <t>Net revenues from unit rate 3 (£)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</si>
  <si>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</si>
  <si>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</si>
  <si>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</si>
  <si>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</si>
  <si>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</si>
  <si>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Reactive power charge proportion</t>
  </si>
  <si>
    <t>3803. Revenue summary by tariff component</t>
  </si>
  <si>
    <t>x1 = 3802. All units (MWh) (in Revenue summary)</t>
  </si>
  <si>
    <t>x2 = 3802. MPANs (in Revenue summary)</t>
  </si>
  <si>
    <t>x3 = 3802. Net revenues (£) (in Revenue summary)</t>
  </si>
  <si>
    <t>x4 = 3802. Revenues from unit rates (£) (in Revenue summary)</t>
  </si>
  <si>
    <t>x5 = 3802. Revenues from fixed charges (£) (in Revenue summary)</t>
  </si>
  <si>
    <t>x6 = 3802. Revenues from capacity charges (£) (in Revenue summary)</t>
  </si>
  <si>
    <t>x7 = 3802. Revenues from reactive power charges (£) (in Revenue summary)</t>
  </si>
  <si>
    <t>=SUM(x7)</t>
  </si>
  <si>
    <t>Total units (MWh)</t>
  </si>
  <si>
    <t>Total MPANs</t>
  </si>
  <si>
    <t>Total net revenues from unit rates (£)</t>
  </si>
  <si>
    <t>Total revenues from fixed charges (£)</t>
  </si>
  <si>
    <t>Total revenues from capacity charges (£)</t>
  </si>
  <si>
    <t>Total revenues from reactive power charges (£)</t>
  </si>
  <si>
    <t>Revenue summary by tariff component</t>
  </si>
  <si>
    <t>MWh/year</t>
  </si>
  <si>
    <t>MWh/MPAN/year</t>
  </si>
  <si>
    <t>Revenue (£/year)</t>
  </si>
  <si>
    <t>Average £/MPAN/year</t>
  </si>
  <si>
    <t>Assets LV customer</t>
  </si>
  <si>
    <t>Assets HV customer</t>
  </si>
  <si>
    <t>Transmission exit</t>
  </si>
  <si>
    <t>Operating 132kV</t>
  </si>
  <si>
    <t>Operating 132kV/EHV</t>
  </si>
  <si>
    <t>Operating EHV</t>
  </si>
  <si>
    <t>Operating EHV/HV</t>
  </si>
  <si>
    <t>Operating 132kV/HV</t>
  </si>
  <si>
    <t>Operating HV</t>
  </si>
  <si>
    <t>Operating HV/LV</t>
  </si>
  <si>
    <t>Operating LV circuits</t>
  </si>
  <si>
    <t>Operating LV customer</t>
  </si>
  <si>
    <t>Operating HV customer</t>
  </si>
  <si>
    <t>Scaler</t>
  </si>
  <si>
    <t>Rounding</t>
  </si>
  <si>
    <t>Total</t>
  </si>
  <si>
    <t>Average unit rate (p/kWh)</t>
  </si>
  <si>
    <t>Average p/kVA/day</t>
  </si>
  <si>
    <t>This sheet provides matrices breaking down each tariff component into its elements.</t>
  </si>
  <si>
    <t>3901. Revenue matrix by tariff</t>
  </si>
  <si>
    <t>Revenue matrix by tariff, charging element and network level</t>
  </si>
  <si>
    <t>Total net revenue by tariff (£/year)</t>
  </si>
  <si>
    <t>3902. Revenues by charging element and network level</t>
  </si>
  <si>
    <t>Total net revenue by charging element and network level (£/year)</t>
  </si>
  <si>
    <t>Total net revenue (£/year)</t>
  </si>
  <si>
    <t>Revenues by charging element and network level</t>
  </si>
  <si>
    <t>4001. Revenues under current tariffs (£)</t>
  </si>
  <si>
    <t>x1 = 1201. Current revenues if known (£) (in Current tariff information)</t>
  </si>
  <si>
    <t>x3 = 1201. Current Fixed charge p/MPAN/day (in Current tariff information)</t>
  </si>
  <si>
    <t>x5 = 1201. Current Capacity charge p/kVA/day (in Current tariff information)</t>
  </si>
  <si>
    <t>x6 = 1053. Import capacity (kVA) by tariff (in Volume forecasts for the charging year)</t>
  </si>
  <si>
    <t>x7 = 1201. Current Unit rate 1 p/kWh (in Current tariff information)</t>
  </si>
  <si>
    <t>x8 = 1053. Rate 1 units (MWh) by tariff (in Volume forecasts for the charging year)</t>
  </si>
  <si>
    <t>x9 = 1201. Current Unit rate 2 p/kWh (in Current tariff information)</t>
  </si>
  <si>
    <t>x10 = 1053. Rate 2 units (MWh) by tariff (in Volume forecasts for the charging year)</t>
  </si>
  <si>
    <t>x11 = 1201. Current Unit rate 3 p/kWh (in Current tariff information)</t>
  </si>
  <si>
    <t>x12 = 1053. Rate 3 units (MWh) by tariff (in Volume forecasts for the charging year)</t>
  </si>
  <si>
    <t>x13 = 1201. Current Reactive power charge p/kVArh (in Current tariff information)</t>
  </si>
  <si>
    <t>x14 = 1053. Reactive power units (MVArh) by tariff (in Volume forecasts for the charging year)</t>
  </si>
  <si>
    <t>Calculation =IF(x1,x1,0.01*x2*(x3*x4+x5*x6)+10*(x7*x8+x9*x10+x11*x12+x13*x14))</t>
  </si>
  <si>
    <t>Revenues under current tariffs (£)</t>
  </si>
  <si>
    <t>4002. All-the-way volumes</t>
  </si>
  <si>
    <t>x5 = 1053. Import capacity (kVA) by tariff (in Volume forecasts for the charging year)</t>
  </si>
  <si>
    <t>x6 = 1053. Reactive power units (MVArh) by tariff (in Volume forecasts for the charging year)</t>
  </si>
  <si>
    <t>x7 = 3802. All units (MWh) (in Revenue summary)</t>
  </si>
  <si>
    <t>= x7</t>
  </si>
  <si>
    <t>4003. Normalised to</t>
  </si>
  <si>
    <t>Normalised to</t>
  </si>
  <si>
    <t>MPAN</t>
  </si>
  <si>
    <t>kVA</t>
  </si>
  <si>
    <t>MWh</t>
  </si>
  <si>
    <t>4004. Normalised volumes for comparisons</t>
  </si>
  <si>
    <t>x1 = 4002. Rate 1 units (MWh) by tariff (in Volume forecasts for the charging year) (in All-the-way volumes)</t>
  </si>
  <si>
    <t>x2 = 4003. Normalised to</t>
  </si>
  <si>
    <t>x3 = 4002. Import capacity (kVA) by tariff (in Volume forecasts for the charging year) (in All-the-way volumes)</t>
  </si>
  <si>
    <t>x4 = 4002. MPANs by tariff (in Volume forecasts for the charging year) (in All-the-way volumes)</t>
  </si>
  <si>
    <t>x5 = 4002. All units (MWh) (in Revenue summary) (in All-the-way volumes)</t>
  </si>
  <si>
    <t>x6 = 4002. Rate 2 units (MWh) by tariff (in Volume forecasts for the charging year) (in All-the-way volumes)</t>
  </si>
  <si>
    <t>x7 = 4002. Rate 3 units (MWh) by tariff (in Volume forecasts for the charging year) (in All-the-way volumes)</t>
  </si>
  <si>
    <t>x8 = 4002. Reactive power units (MVArh) by tariff (in Volume forecasts for the charging year) (in All-the-way volumes)</t>
  </si>
  <si>
    <t>x10 = 3607. Fixed charge p/MPAN/day (in Tariffs)</t>
  </si>
  <si>
    <t>x11 = Normalised MPANs (in Normalised volumes for comparisons)</t>
  </si>
  <si>
    <t>x12 = 3607. Capacity charge p/kVA/day (in Tariffs)</t>
  </si>
  <si>
    <t>x13 = Normalised Import capacity (kVA) (in Normalised volumes for comparisons)</t>
  </si>
  <si>
    <t>x14 = 3607. Unit rate 1 p/kWh (in Tariffs)</t>
  </si>
  <si>
    <t>x15 = Normalised Rate 1 units (MWh) (in Normalised volumes for comparisons)</t>
  </si>
  <si>
    <t>x16 = 3607. Unit rate 2 p/kWh (in Tariffs)</t>
  </si>
  <si>
    <t>x17 = Normalised Rate 2 units (MWh) (in Normalised volumes for comparisons)</t>
  </si>
  <si>
    <t>x18 = 3607. Unit rate 3 p/kWh (in Tariffs)</t>
  </si>
  <si>
    <t>x19 = Normalised Rate 3 units (MWh) (in Normalised volumes for comparisons)</t>
  </si>
  <si>
    <t>x20 = 3607. Reactive power charge p/kVArh (in Tariffs)</t>
  </si>
  <si>
    <t>x21 = Normalised Reactive power units (MVArh) (in Normalised volumes for comparisons)</t>
  </si>
  <si>
    <t>=x1/IF(x2="kVA",IF(x3,x3,1),IF(x2="MPAN",IF(x4,x4,1),IF(x5,x5,1)))</t>
  </si>
  <si>
    <t>=x6/IF(x2="kVA",IF(x3,x3,1),IF(x2="MPAN",IF(x4,x4,1),IF(x5,x5,1)))</t>
  </si>
  <si>
    <t>=x7/IF(x2="kVA",IF(x3,x3,1),IF(x2="MPAN",IF(x4,x4,1),IF(x5,x5,1)))</t>
  </si>
  <si>
    <t>=x4/IF(x2="kVA",IF(x3,x3,1),IF(x2="MPAN",IF(x4,x4,1),IF(x5,x5,1)))</t>
  </si>
  <si>
    <t>=x3/IF(x2="kVA",IF(x3,x3,1),IF(x2="MPAN",IF(x4,x4,1),IF(x5,x5,1)))</t>
  </si>
  <si>
    <t>=x8/IF(x2="kVA",IF(x3,x3,1),IF(x2="MPAN",IF(x4,x4,1),IF(x5,x5,1)))</t>
  </si>
  <si>
    <t>=0.01*x9*(x10*x11+x12*x13)+10*(x14*x15+x16*x17+x18*x19+x20*x21)</t>
  </si>
  <si>
    <t>Normalised Rate 1 units (MWh)</t>
  </si>
  <si>
    <t>Normalised Rate 2 units (MWh)</t>
  </si>
  <si>
    <t>Normalised Rate 3 units (MWh)</t>
  </si>
  <si>
    <t>Normalised MPANs</t>
  </si>
  <si>
    <t>Normalised Import capacity (kVA)</t>
  </si>
  <si>
    <t>Normalised Reactive power units (MVArh)</t>
  </si>
  <si>
    <t>Normalised revenues (£)</t>
  </si>
  <si>
    <t>4005. LDNO LV charges (normalised £)</t>
  </si>
  <si>
    <t>x1 = 4004. Normalised revenues (£) (in Normalised volumes for comparisons)</t>
  </si>
  <si>
    <t>LDNO LV charges (normalised £)</t>
  </si>
  <si>
    <t>N/A</t>
  </si>
  <si>
    <t>4006. LDNO HV charges (normalised £)</t>
  </si>
  <si>
    <t>LDNO HV charges (normalised £)</t>
  </si>
  <si>
    <t>4101. Comparison with current all-the-way demand tariffs</t>
  </si>
  <si>
    <t>x1 = 4001. Revenues under current tariffs (£)</t>
  </si>
  <si>
    <t>x2 = 3802. Net revenues (£) (in Revenue summary)</t>
  </si>
  <si>
    <t>x3 = 3802. All units (MWh) (in Revenue summary)</t>
  </si>
  <si>
    <t>=IF(x1,x2/x1-1,"")</t>
  </si>
  <si>
    <t>=(x2-x1)/IF(x3,x3,1)/10</t>
  </si>
  <si>
    <t>Change</t>
  </si>
  <si>
    <t>Absolute change (average p/kWh)</t>
  </si>
  <si>
    <t>4102. LDNO margins in use of system charges</t>
  </si>
  <si>
    <t>x1 = 4003. Normalised to</t>
  </si>
  <si>
    <t>x2 = 4004. Normalised revenues (£) (in Normalised volumes for comparisons)</t>
  </si>
  <si>
    <t>x3 = 4005. LDNO LV charges (normalised £)</t>
  </si>
  <si>
    <t>x4 = All-the-way charges (normalised £) (in LDNO margins in use of system charges)</t>
  </si>
  <si>
    <t>x5 = 4006. LDNO HV charges (normalised £)</t>
  </si>
  <si>
    <t>=IF(x3,x4-x3,"")</t>
  </si>
  <si>
    <t>=IF(x5,x4-x5,"")</t>
  </si>
  <si>
    <t>All-the-way charges (normalised £)</t>
  </si>
  <si>
    <t>LDNO LV margin (normalised £)</t>
  </si>
  <si>
    <t>LDNO HV margin (normalised £)</t>
  </si>
  <si>
    <t>This document, model or dataset has been prepared by Reckon LLP on the instructions of the DCUSA Panel or one of its working</t>
  </si>
  <si>
    <t>groups.  Only the DCUSA Panel and its working groups have authority to approve this material as meeting their requirements.</t>
  </si>
  <si>
    <t>Reckon LLP makes no representation about the suitability of this material for the purposes of complying with any licence</t>
  </si>
  <si>
    <t>conditions or furthering any relevant objective.</t>
  </si>
  <si>
    <t>UNLESS STATED OTHERWISE, THIS WORKBOOK IS ONLY A PROTOTYPE FOR TESTING PURPOSES AND ALL THE DATA IN THIS MODEL ARE FOR ILLUSTRATION ONLY.</t>
  </si>
  <si>
    <t>This workbook is structured as a series of named and numbered tables. There is a list of tables below, with hyperlinks.  Above</t>
  </si>
  <si>
    <t>each calculation table, there is a description of the calculations and hyperlinks to tables from which data are used. Hyperlinks</t>
  </si>
  <si>
    <t>point to the relevant table column heading of the relevant table. Scrolling up or down is usually required after clicking a</t>
  </si>
  <si>
    <t>hyperlink in order to bring the relevant data and/or headings into view. Some versions of Microsoft Excel can display a "Back"</t>
  </si>
  <si>
    <t>button, which can be useful when using hyperlinks to navigate around the workbook.</t>
  </si>
  <si>
    <t>Copyright 2009-2011 Energy Networks Association Limited and others. Copyright 2011-2016 Franck Latrémolière, Reckon LLP and others.</t>
  </si>
  <si>
    <t>The code used to generate this spreadsheet includes open-source software published at https://github.com/f20/power-models.</t>
  </si>
  <si>
    <t>Use and distribution of the source code is subject to the conditions stated therein.</t>
  </si>
  <si>
    <t>Any redistribution of this software must retain the following disclaimer:</t>
  </si>
  <si>
    <t>THIS SOFTWARE IS PROVIDED BY AUTHORS AND CONTRIBUTORS "AS IS" AND ANY EXPRESS OR IMPLIED WARRANTIES, INCLUDING, BUT NOT LIMITED</t>
  </si>
  <si>
    <t>TO, THE IMPLIED WARRANTIES OF MERCHANTABILITY AND FITNESS FOR A PARTICULAR PURPOSE ARE DISCLAIMED. IN NO EVENT SHALL AUTHORS OR</t>
  </si>
  <si>
    <t>CONTRIBUTORS BE LIABLE FOR ANY DIRECT, INDIRECT, INCIDENTAL, SPECIAL, EXEMPLARY, OR CONSEQUENTIAL DAMAGES (INCLUDING, BUT NOT</t>
  </si>
  <si>
    <t>LIMITED TO, PROCUREMENT OF SUBSTITUTE GOODS OR SERVICES; LOSS OF USE, DATA, OR PROFITS; OR BUSINESS INTERRUPTION) HOWEVER CAUSED</t>
  </si>
  <si>
    <t>AND ON ANY THEORY OF LIABILITY, WHETHER IN CONTRACT, STRICT LIABILITY, OR TORT (INCLUDING NEGLIGENCE OR OTHERWISE) ARISING IN</t>
  </si>
  <si>
    <t>ANY WAY OUT OF THE USE OF THIS SOFTWARE, EVEN IF ADVISED OF THE POSSIBILITY OF SUCH DAMAGE.</t>
  </si>
  <si>
    <t>Colour coding</t>
  </si>
  <si>
    <t>Constant value</t>
  </si>
  <si>
    <t>Formula: calculation</t>
  </si>
  <si>
    <t>Formula: copy</t>
  </si>
  <si>
    <t>Unused cell in input data table</t>
  </si>
  <si>
    <t>Unused cell in other table</t>
  </si>
  <si>
    <t>Unlocked cell for notes</t>
  </si>
  <si>
    <t>Worksheet</t>
  </si>
  <si>
    <t>Table</t>
  </si>
  <si>
    <t>Type of table</t>
  </si>
  <si>
    <t>Input</t>
  </si>
  <si>
    <t>Composite</t>
  </si>
  <si>
    <t>LAFs</t>
  </si>
  <si>
    <t>DRM</t>
  </si>
  <si>
    <t>SM</t>
  </si>
  <si>
    <t>Loads</t>
  </si>
  <si>
    <t>Multi</t>
  </si>
  <si>
    <t>Reshape table</t>
  </si>
  <si>
    <t>SMD</t>
  </si>
  <si>
    <t>AMD</t>
  </si>
  <si>
    <t>Otex</t>
  </si>
  <si>
    <t>Contrib</t>
  </si>
  <si>
    <t>Yard</t>
  </si>
  <si>
    <t>Standing</t>
  </si>
  <si>
    <t>AggCap</t>
  </si>
  <si>
    <t>Reactive</t>
  </si>
  <si>
    <t>Aggreg</t>
  </si>
  <si>
    <t>Revenue</t>
  </si>
  <si>
    <t>Adjust</t>
  </si>
  <si>
    <t>Tariffs</t>
  </si>
  <si>
    <t>Summary</t>
  </si>
  <si>
    <t>M-Rev</t>
  </si>
  <si>
    <t>CData</t>
  </si>
  <si>
    <t>CTables</t>
  </si>
  <si>
    <t>Tariff matrices</t>
  </si>
  <si>
    <t>Notes</t>
  </si>
  <si>
    <t>M-ATW</t>
  </si>
  <si>
    <t>Technical model rules and version control</t>
  </si>
  <si>
    <t>---</t>
  </si>
  <si>
    <t>PerlModule: CDCM</t>
  </si>
  <si>
    <t>agghhequalisation: rag</t>
  </si>
  <si>
    <t>alwaysUseRAG: 1</t>
  </si>
  <si>
    <t>coincidenceAdj: groupums</t>
  </si>
  <si>
    <t>colour: orange</t>
  </si>
  <si>
    <t>drm: top500gsp</t>
  </si>
  <si>
    <t>extraLevels: 1</t>
  </si>
  <si>
    <t>fixedCap: 1-4</t>
  </si>
  <si>
    <t>matrices: big</t>
  </si>
  <si>
    <t>noReplacement: blanket</t>
  </si>
  <si>
    <t>pcd: 1</t>
  </si>
  <si>
    <t>portfolio: 1</t>
  </si>
  <si>
    <t>protect: 1</t>
  </si>
  <si>
    <t>revisionText: r7243</t>
  </si>
  <si>
    <t>scaler: levelledpickexitnogenminzero</t>
  </si>
  <si>
    <t>standing: sub132</t>
  </si>
  <si>
    <t>summary: consultation</t>
  </si>
  <si>
    <t>targetRevenue: dcp132</t>
  </si>
  <si>
    <t>tariffs: commongensubdcp130dcp163pc12hhpc34hhdcp270</t>
  </si>
  <si>
    <t>template: '%-model270a227+'</t>
  </si>
  <si>
    <t>timeOfDay: timeOfDay179</t>
  </si>
  <si>
    <t>validation: lenientnomsg</t>
  </si>
  <si>
    <t>'~codeValidation':</t>
  </si>
  <si>
    <t xml:space="preserve">  CDCM/AML.pm: 456e00943a159e7b87cf01c5c4710e6a140ca47c</t>
  </si>
  <si>
    <t xml:space="preserve">  CDCM/Aggregation.pm: 372b53e6dba1fe9433020bbd13328009851a036a</t>
  </si>
  <si>
    <t xml:space="preserve">  CDCM/Contributions.pm: beaa8d9f91769d812862ad85549c19ae643bb47d</t>
  </si>
  <si>
    <t xml:space="preserve">  CDCM/Discounts.pm: 7da37bdae365cee037cc886326918eeea537f8a9</t>
  </si>
  <si>
    <t xml:space="preserve">  CDCM/Loads.pm: 37ecb145b481f519789dd55df6b3abe350614bab</t>
  </si>
  <si>
    <t xml:space="preserve">  CDCM/Master.pm: 9f0cc20ba12add4db1dea5fc97aa554f956a4334</t>
  </si>
  <si>
    <t xml:space="preserve">  CDCM/Matching.pm: a8a99513b1105ec79371ca31d8ca2d323cb517ca</t>
  </si>
  <si>
    <t xml:space="preserve">  CDCM/NetworkSizer.pm: 50def4231b67757f2bd222cc1579fa342876afd0</t>
  </si>
  <si>
    <t xml:space="preserve">  CDCM/Operating.pm: c8ee43d2a1898e7c0e12aa50754522a86c4077c3</t>
  </si>
  <si>
    <t xml:space="preserve">  CDCM/Reactive.pm: e2318e6ee9559bf7cd3cfcfff58c399eb12c866a</t>
  </si>
  <si>
    <t xml:space="preserve">  CDCM/Revenue.pm: 6c445ed34c255f9ddc0b221c97478f1622f96850</t>
  </si>
  <si>
    <t xml:space="preserve">  CDCM/Routeing.pm: b6a794533799d818b831319de2f8beb48c5dc60c</t>
  </si>
  <si>
    <t xml:space="preserve">  CDCM/SML.pm: aac911646d7138ef11303d19e73c7fb180fadeeb</t>
  </si>
  <si>
    <t xml:space="preserve">  CDCM/ServiceModels.pm: 962bc7cb35ba1dba1d76a82ebf31da562bb15636</t>
  </si>
  <si>
    <t xml:space="preserve">  CDCM/Setup.pm: fa9ab9e9febf3f6681cdfa8c05e2700627cf0251</t>
  </si>
  <si>
    <t xml:space="preserve">  CDCM/Sheets.pm: 1680f719d7d1722bf3a133916f421b033eb4b9c5</t>
  </si>
  <si>
    <t xml:space="preserve">  CDCM/Standing.pm: 0677863cc8c69940e82611a34f6a4cf6e6c938f6</t>
  </si>
  <si>
    <t xml:space="preserve">  CDCM/Summary.pm: 591dbcc9c325ebe7d3bb65b6fdd6fdc8c2b0d03b</t>
  </si>
  <si>
    <t xml:space="preserve">  CDCM/Table1001_2012.pm: 0d792f45d841ab22a2c6a4cd7a21c83895f747a0</t>
  </si>
  <si>
    <t xml:space="preserve">  CDCM/TariffList.pm: 75e7bcb6b42b62a81bc37a700cae73b993edb05a</t>
  </si>
  <si>
    <t xml:space="preserve">  CDCM/Tariffs.pm: 74408ddcb0ff951c20ab0d9e7295f437f444de05</t>
  </si>
  <si>
    <t xml:space="preserve">  CDCM/TimeOfDay179.pm: cdde86fc73d4a5690388b4ac4cf18a3954040eee</t>
  </si>
  <si>
    <t xml:space="preserve">  CDCM/Yardsticks.pm: 14fa4ca8c5e1b83888203f2a0a27b027b0e1be67</t>
  </si>
  <si>
    <t xml:space="preserve">  SpreadsheetModel/Arithmetic.pm: b1367f0a9de6b5af11373f288c79c34dcf1cd6d7</t>
  </si>
  <si>
    <t xml:space="preserve">  SpreadsheetModel/Book/Manufacturing.pm: bdd2868b782524c112ec91dacfbcb774922e7bff</t>
  </si>
  <si>
    <t xml:space="preserve">  SpreadsheetModel/Book/Validation.pm: ed2ab0782db26c535a153fdc187c4ac85d37bf0b</t>
  </si>
  <si>
    <t xml:space="preserve">  SpreadsheetModel/Book/WorkbookCreate.pm: 1273185acebf09847514c3e2e99725ec85940e75</t>
  </si>
  <si>
    <t xml:space="preserve">  SpreadsheetModel/Book/WorkbookFormats.pm: 68451d8d01d880ca521f7b145e77b09849ce618f</t>
  </si>
  <si>
    <t xml:space="preserve">  SpreadsheetModel/Columnset.pm: b5d146aa3e91ba2815bf59e43a569910fe8e22d8</t>
  </si>
  <si>
    <t xml:space="preserve">  SpreadsheetModel/Custom.pm: 64258a1a23160d1b05311a838e34f4078f7516be</t>
  </si>
  <si>
    <t xml:space="preserve">  SpreadsheetModel/Dataset.pm: 725810a917372ad5646876d4b212ed9c225f4e2c</t>
  </si>
  <si>
    <t xml:space="preserve">  SpreadsheetModel/FormatLegend.pm: 6542b2c1f994e4aa10f155c435cabafa7a9f5778</t>
  </si>
  <si>
    <t xml:space="preserve">  SpreadsheetModel/GroupBy.pm: a05f4878f468a3191257c58c4711fc115bde7e7d</t>
  </si>
  <si>
    <t xml:space="preserve">  SpreadsheetModel/Label.pm: 053d8801da63a168d467ae3cf12c6c32325befe3</t>
  </si>
  <si>
    <t xml:space="preserve">  SpreadsheetModel/Labelset.pm: 04739284141966c1ce3b175d877edb97c79f48f4</t>
  </si>
  <si>
    <t xml:space="preserve">  SpreadsheetModel/Logger.pm: 24d52752a7a6b0625ad304bc1c73ae5fc802441f</t>
  </si>
  <si>
    <t xml:space="preserve">  SpreadsheetModel/Notes.pm: a82bea929d8353c45fe0f27cf8e0b53143664f2e</t>
  </si>
  <si>
    <t xml:space="preserve">  SpreadsheetModel/Object.pm: ad87af5906c5d614f2ee9535b691ad91f03c7c38</t>
  </si>
  <si>
    <t xml:space="preserve">  SpreadsheetModel/Reshape.pm: 44d60329c15bdfdf839a71781406c921808898b4</t>
  </si>
  <si>
    <t xml:space="preserve">  SpreadsheetModel/SegmentRoot.pm: f684d07d04056e2553a5e46c1e78fe34c4ee6852</t>
  </si>
  <si>
    <t xml:space="preserve">  SpreadsheetModel/Shortcuts.pm: 862755d9f7270e4db643182f2a94f4d19dff749b</t>
  </si>
  <si>
    <t xml:space="preserve">  SpreadsheetModel/Stack.pm: 05a927d320fe0b49a01b5d253723cf04175915ac</t>
  </si>
  <si>
    <t xml:space="preserve">  SpreadsheetModel/SumProduct.pm: 2ae76b5dc30c7b829aa206d41662d4147f4c1fa9</t>
  </si>
  <si>
    <t>'~datasetName': Blank</t>
  </si>
  <si>
    <t>'~datasetSource': Empty dataset</t>
  </si>
  <si>
    <t>Generated on Wed 31 Aug 2016 20:27:41 by www.dcmf.co.uk</t>
  </si>
</sst>
</file>

<file path=xl/styles.xml><?xml version="1.0" encoding="utf-8"?>
<styleSheet xmlns="http://schemas.openxmlformats.org/spreadsheetml/2006/main">
  <numFmts count="11">
    <numFmt numFmtId="164" formatCode="@"/>
    <numFmt numFmtId="164" formatCode="@"/>
    <numFmt numFmtId="164" formatCode="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4" formatCode="@"/>
    <numFmt numFmtId="164" formatCode="@"/>
    <numFmt numFmtId="165" formatCode="[Blue]General;[Red]-General;;[Black]@"/>
    <numFmt numFmtId="166" formatCode="[Black]General;[Black]-General;;[Black]@"/>
    <numFmt numFmtId="165" formatCode="[Blue]General;[Red]-General;;[Black]@"/>
    <numFmt numFmtId="165" formatCode="[Blue]General;[Red]-General;;[Black]@"/>
    <numFmt numFmtId="167" formatCode="[Black] _(???,???,??0_);[Red] (???,???,??0);;[Cyan]@"/>
    <numFmt numFmtId="167" formatCode="[Black] _(???,???,??0_);[Red] (???,???,??0);;[Cyan]@"/>
    <numFmt numFmtId="168" formatCode="[Black] _(???,??0.000_);[Red] (???,??0.000);;[Cyan]@"/>
    <numFmt numFmtId="165" formatCode="[Blue]General;[Red]-General;;[Black]@"/>
    <numFmt numFmtId="165" formatCode="[Blue]General;[Red]-General;;[Black]@"/>
    <numFmt numFmtId="165" formatCode="[Blue]General;[Red]-General;;[Black]@"/>
    <numFmt numFmtId="167" formatCode="[Black] _(???,???,??0_);[Red] (???,???,??0);;[Cyan]@"/>
    <numFmt numFmtId="169" formatCode="[Black] _(?,??0.00%_);[Red] (?,??0.00%);;[Cyan]@"/>
    <numFmt numFmtId="168" formatCode="[Black] _(???,??0.000_);[Red] (???,??0.000);;[Cyan]@"/>
    <numFmt numFmtId="165" formatCode="[Blue]General;[Red]-General;;[Black]@"/>
    <numFmt numFmtId="170" formatCode="[Black] _(???,??0.0_);[Red] (???,??0.0);;[Cyan]@"/>
    <numFmt numFmtId="165" formatCode="[Blue]General;[Red]-General;;[Black]@"/>
    <numFmt numFmtId="171" formatCode="[Black] _(???,??0.00_);[Red] (???,??0.00);;[Cyan]@"/>
    <numFmt numFmtId="164" formatCode="@"/>
    <numFmt numFmtId="164" formatCode="@"/>
    <numFmt numFmtId="164" formatCode="@"/>
    <numFmt numFmtId="165" formatCode="[Blue]General;[Red]-General;;[Black]@"/>
    <numFmt numFmtId="167" formatCode="[Black] _(???,???,??0_);[Red] (???,???,??0);;[Cyan]@"/>
    <numFmt numFmtId="168" formatCode="[Black] _(???,??0.000_);[Red] (???,??0.000);;[Cyan]@"/>
    <numFmt numFmtId="168" formatCode="[Black] _(???,??0.000_);[Red] (???,??0.000);;[Cyan]@"/>
    <numFmt numFmtId="169" formatCode="[Black] _(?,??0.00%_);[Red] (?,??0.00%);;[Cyan]@"/>
    <numFmt numFmtId="169" formatCode="[Black] _(?,??0.00%_);[Red] (?,??0.00%);;[Cyan]@"/>
    <numFmt numFmtId="169" formatCode="[Black] _(?,??0.00%_);[Red] (?,??0.00%);;[Cyan]@"/>
    <numFmt numFmtId="170" formatCode="[Black] _(???,??0.0_);[Red] (???,??0.0);;[Cyan]@"/>
    <numFmt numFmtId="167" formatCode="[Black] _(???,???,??0_);[Red] (???,???,??0);;[Cyan]@"/>
    <numFmt numFmtId="172" formatCode="[Black] _(???,??0.00000_);[Red] (???,??0.00000);;[Cyan]@"/>
    <numFmt numFmtId="171" formatCode="[Black] _(???,??0.00_);[Red] (???,??0.00);;[Cyan]@"/>
    <numFmt numFmtId="171" formatCode="[Black] _(???,??0.00_);[Red] (???,??0.00);;[Cyan]@"/>
    <numFmt numFmtId="166" formatCode="[Black]General;[Black]-General;;[Black]@"/>
    <numFmt numFmtId="173" formatCode="[Blue]_-+??,??0.00%;[Red]_+-??,??0.00%;[Green]=;[Cyan]@"/>
    <numFmt numFmtId="174" formatCode="[Blue]_-+?0.000;[Red]_+-?0.000;[Green]=;[Cyan]@"/>
  </numFmts>
  <fonts count="8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b/>
      <sz val="11"/>
      <color rgb="FFFF00F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</fills>
  <borders count="3">
    <border>
      <left/>
      <right/>
      <top/>
      <bottom/>
      <diagonal/>
    </border>
    <border>
      <left/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0" borderId="0" xfId="0" applyNumberFormat="1" applyFont="1" applyAlignment="1">
      <alignment horizontal="left"/>
    </xf>
    <xf numFmtId="164" fontId="0" fillId="0" borderId="0" xfId="0" applyNumberFormat="1"/>
    <xf numFmtId="164" fontId="2" fillId="0" borderId="0" xfId="0" applyNumberFormat="1" applyFont="1" applyProtection="1">
      <protection locked="0"/>
    </xf>
    <xf numFmtId="165" fontId="2" fillId="2" borderId="0" xfId="0" applyNumberFormat="1" applyFont="1" applyFill="1" applyAlignment="1">
      <alignment horizontal="left" wrapText="1"/>
    </xf>
    <xf numFmtId="165" fontId="3" fillId="3" borderId="0" xfId="0" applyNumberFormat="1" applyFont="1" applyFill="1" applyAlignment="1">
      <alignment horizontal="left" wrapText="1"/>
    </xf>
    <xf numFmtId="165" fontId="3" fillId="4" borderId="0" xfId="0" applyNumberFormat="1" applyFont="1" applyFill="1" applyAlignment="1">
      <alignment horizontal="left" wrapText="1"/>
    </xf>
    <xf numFmtId="165" fontId="3" fillId="5" borderId="0" xfId="0" applyNumberFormat="1" applyFont="1" applyFill="1" applyAlignment="1">
      <alignment horizontal="left" wrapText="1"/>
    </xf>
    <xf numFmtId="165" fontId="3" fillId="6" borderId="0" xfId="0" applyNumberFormat="1" applyFont="1" applyFill="1" applyAlignment="1">
      <alignment horizontal="left" wrapText="1"/>
    </xf>
    <xf numFmtId="165" fontId="0" fillId="7" borderId="0" xfId="0" applyNumberFormat="1" applyFill="1" applyAlignment="1">
      <alignment horizontal="center"/>
    </xf>
    <xf numFmtId="165" fontId="0" fillId="8" borderId="0" xfId="0" applyNumberFormat="1" applyFill="1" applyAlignment="1">
      <alignment horizontal="center"/>
    </xf>
    <xf numFmtId="0" fontId="4" fillId="0" borderId="1" xfId="0" applyFont="1" applyBorder="1"/>
    <xf numFmtId="165" fontId="2" fillId="2" borderId="0" xfId="0" applyNumberFormat="1" applyFont="1" applyFill="1" applyAlignment="1" applyProtection="1">
      <alignment horizontal="left" wrapText="1"/>
      <protection locked="0"/>
    </xf>
    <xf numFmtId="164" fontId="0" fillId="0" borderId="0" xfId="0" applyNumberFormat="1" applyProtection="1">
      <protection locked="0"/>
    </xf>
    <xf numFmtId="164" fontId="5" fillId="0" borderId="0" xfId="0" applyNumberFormat="1" applyFont="1" applyProtection="1">
      <protection locked="0"/>
    </xf>
    <xf numFmtId="165" fontId="2" fillId="2" borderId="0" xfId="0" applyNumberFormat="1" applyFont="1" applyFill="1" applyAlignment="1">
      <alignment horizontal="center" wrapText="1"/>
    </xf>
    <xf numFmtId="166" fontId="3" fillId="3" borderId="0" xfId="0" applyNumberFormat="1" applyFont="1" applyFill="1" applyAlignment="1" applyProtection="1">
      <alignment horizontal="center" wrapText="1"/>
      <protection locked="0"/>
    </xf>
    <xf numFmtId="0" fontId="4" fillId="0" borderId="1" xfId="0" applyFont="1" applyBorder="1" applyProtection="1">
      <protection locked="0"/>
    </xf>
    <xf numFmtId="165" fontId="3" fillId="0" borderId="0" xfId="0" applyNumberFormat="1" applyFont="1" applyAlignment="1" applyProtection="1">
      <alignment horizontal="left" wrapText="1"/>
      <protection locked="0"/>
    </xf>
    <xf numFmtId="165" fontId="3" fillId="0" borderId="0" xfId="0" applyNumberFormat="1" applyFont="1" applyAlignment="1" applyProtection="1">
      <alignment horizontal="center" wrapText="1"/>
      <protection locked="0"/>
    </xf>
    <xf numFmtId="167" fontId="3" fillId="3" borderId="0" xfId="0" applyNumberFormat="1" applyFont="1" applyFill="1" applyAlignment="1" applyProtection="1">
      <alignment horizontal="center"/>
      <protection locked="0"/>
    </xf>
    <xf numFmtId="167" fontId="3" fillId="5" borderId="0" xfId="0" applyNumberFormat="1" applyFont="1" applyFill="1" applyAlignment="1">
      <alignment horizontal="center"/>
    </xf>
    <xf numFmtId="168" fontId="3" fillId="3" borderId="0" xfId="0" applyNumberFormat="1" applyFont="1" applyFill="1" applyAlignment="1" applyProtection="1">
      <alignment horizontal="center"/>
      <protection locked="0"/>
    </xf>
    <xf numFmtId="165" fontId="6" fillId="0" borderId="0" xfId="0" applyNumberFormat="1" applyFont="1" applyAlignment="1" applyProtection="1">
      <alignment horizontal="left" wrapText="1"/>
      <protection locked="0"/>
    </xf>
    <xf numFmtId="165" fontId="6" fillId="0" borderId="0" xfId="0" applyNumberFormat="1" applyFont="1" applyAlignment="1" applyProtection="1">
      <alignment horizontal="center" wrapText="1"/>
      <protection locked="0"/>
    </xf>
    <xf numFmtId="165" fontId="0" fillId="7" borderId="0" xfId="0" applyNumberFormat="1" applyFill="1" applyAlignment="1" applyProtection="1">
      <alignment horizontal="center"/>
      <protection locked="0"/>
    </xf>
    <xf numFmtId="167" fontId="6" fillId="5" borderId="0" xfId="0" applyNumberFormat="1" applyFont="1" applyFill="1" applyAlignment="1">
      <alignment horizontal="center"/>
    </xf>
    <xf numFmtId="169" fontId="3" fillId="3" borderId="0" xfId="0" applyNumberFormat="1" applyFont="1" applyFill="1" applyAlignment="1" applyProtection="1">
      <alignment horizontal="center"/>
      <protection locked="0"/>
    </xf>
    <xf numFmtId="168" fontId="3" fillId="4" borderId="0" xfId="0" applyNumberFormat="1" applyFont="1" applyFill="1" applyAlignment="1">
      <alignment horizontal="center"/>
    </xf>
    <xf numFmtId="165" fontId="7" fillId="2" borderId="0" xfId="0" applyNumberFormat="1" applyFont="1" applyFill="1" applyAlignment="1">
      <alignment horizontal="left" wrapText="1"/>
    </xf>
    <xf numFmtId="170" fontId="3" fillId="3" borderId="0" xfId="0" applyNumberFormat="1" applyFont="1" applyFill="1" applyAlignment="1" applyProtection="1">
      <alignment horizontal="center"/>
      <protection locked="0"/>
    </xf>
    <xf numFmtId="165" fontId="7" fillId="2" borderId="2" xfId="0" applyNumberFormat="1" applyFont="1" applyFill="1" applyBorder="1" applyAlignment="1">
      <alignment horizontal="centerContinuous" wrapText="1"/>
    </xf>
    <xf numFmtId="171" fontId="3" fillId="3" borderId="0" xfId="0" applyNumberFormat="1" applyFont="1" applyFill="1" applyAlignment="1" applyProtection="1">
      <alignment horizontal="center"/>
      <protection locked="0"/>
    </xf>
    <xf numFmtId="164" fontId="5" fillId="0" borderId="0" xfId="0" applyNumberFormat="1" applyFont="1"/>
    <xf numFmtId="164" fontId="0" fillId="0" borderId="2" xfId="0" applyNumberFormat="1" applyBorder="1" applyAlignment="1">
      <alignment horizontal="centerContinuous" wrapText="1"/>
    </xf>
    <xf numFmtId="164" fontId="0" fillId="0" borderId="0" xfId="0" applyNumberFormat="1" applyAlignment="1">
      <alignment horizontal="left"/>
    </xf>
    <xf numFmtId="165" fontId="7" fillId="2" borderId="0" xfId="0" applyNumberFormat="1" applyFont="1" applyFill="1" applyAlignment="1">
      <alignment horizontal="left"/>
    </xf>
    <xf numFmtId="167" fontId="3" fillId="4" borderId="0" xfId="0" applyNumberFormat="1" applyFont="1" applyFill="1" applyAlignment="1">
      <alignment horizontal="center"/>
    </xf>
    <xf numFmtId="168" fontId="3" fillId="5" borderId="0" xfId="0" applyNumberFormat="1" applyFont="1" applyFill="1" applyAlignment="1">
      <alignment horizontal="center"/>
    </xf>
    <xf numFmtId="168" fontId="3" fillId="6" borderId="0" xfId="0" applyNumberFormat="1" applyFont="1" applyFill="1" applyAlignment="1">
      <alignment horizontal="center"/>
    </xf>
    <xf numFmtId="169" fontId="3" fillId="5" borderId="0" xfId="0" applyNumberFormat="1" applyFont="1" applyFill="1" applyAlignment="1">
      <alignment horizontal="center"/>
    </xf>
    <xf numFmtId="169" fontId="3" fillId="4" borderId="0" xfId="0" applyNumberFormat="1" applyFont="1" applyFill="1" applyAlignment="1">
      <alignment horizontal="center"/>
    </xf>
    <xf numFmtId="169" fontId="3" fillId="6" borderId="0" xfId="0" applyNumberFormat="1" applyFont="1" applyFill="1" applyAlignment="1">
      <alignment horizontal="center"/>
    </xf>
    <xf numFmtId="170" fontId="3" fillId="5" borderId="0" xfId="0" applyNumberFormat="1" applyFont="1" applyFill="1" applyAlignment="1">
      <alignment horizontal="center"/>
    </xf>
    <xf numFmtId="167" fontId="3" fillId="6" borderId="0" xfId="0" applyNumberFormat="1" applyFont="1" applyFill="1" applyAlignment="1">
      <alignment horizontal="center"/>
    </xf>
    <xf numFmtId="172" fontId="3" fillId="5" borderId="0" xfId="0" applyNumberFormat="1" applyFont="1" applyFill="1" applyAlignment="1">
      <alignment horizontal="center"/>
    </xf>
    <xf numFmtId="171" fontId="3" fillId="5" borderId="0" xfId="0" applyNumberFormat="1" applyFont="1" applyFill="1" applyAlignment="1">
      <alignment horizontal="center"/>
    </xf>
    <xf numFmtId="171" fontId="3" fillId="6" borderId="0" xfId="0" applyNumberFormat="1" applyFont="1" applyFill="1" applyAlignment="1">
      <alignment horizontal="center"/>
    </xf>
    <xf numFmtId="166" fontId="3" fillId="4" borderId="0" xfId="0" applyNumberFormat="1" applyFont="1" applyFill="1" applyAlignment="1">
      <alignment horizontal="center" wrapText="1"/>
    </xf>
    <xf numFmtId="173" fontId="3" fillId="5" borderId="0" xfId="0" applyNumberFormat="1" applyFont="1" applyFill="1" applyAlignment="1">
      <alignment horizontal="center"/>
    </xf>
    <xf numFmtId="174" fontId="3" fillId="5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22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16.7109375" customWidth="1"/>
    <col min="2" max="2" width="112.7109375" customWidth="1"/>
    <col min="3" max="251" width="32.7109375" customWidth="1"/>
  </cols>
  <sheetData>
    <row r="1" spans="1:1" ht="21" customHeight="1">
      <c r="A1" s="1">
        <f>"Overview for "&amp;'Input'!B7&amp;" in "&amp;'Input'!C7&amp;" ("&amp;'Input'!D7&amp;")"</f>
        <v>0</v>
      </c>
    </row>
    <row r="2" spans="1:1">
      <c r="A2" s="2"/>
    </row>
    <row r="3" spans="1:1">
      <c r="A3" s="2" t="s">
        <v>1749</v>
      </c>
    </row>
    <row r="4" spans="1:1">
      <c r="A4" s="2" t="s">
        <v>1750</v>
      </c>
    </row>
    <row r="5" spans="1:1">
      <c r="A5" s="2" t="s">
        <v>1751</v>
      </c>
    </row>
    <row r="6" spans="1:1">
      <c r="A6" s="2" t="s">
        <v>1752</v>
      </c>
    </row>
    <row r="7" spans="1:1">
      <c r="A7" s="2"/>
    </row>
    <row r="8" spans="1:1">
      <c r="A8" s="3" t="s">
        <v>1753</v>
      </c>
    </row>
    <row r="9" spans="1:1">
      <c r="A9" s="2"/>
    </row>
    <row r="10" spans="1:1">
      <c r="A10" s="2" t="s">
        <v>1754</v>
      </c>
    </row>
    <row r="11" spans="1:1">
      <c r="A11" s="2" t="s">
        <v>1755</v>
      </c>
    </row>
    <row r="12" spans="1:1">
      <c r="A12" s="2" t="s">
        <v>1756</v>
      </c>
    </row>
    <row r="13" spans="1:1">
      <c r="A13" s="2" t="s">
        <v>1757</v>
      </c>
    </row>
    <row r="14" spans="1:1">
      <c r="A14" s="2" t="s">
        <v>1758</v>
      </c>
    </row>
    <row r="15" spans="1:1">
      <c r="A15" s="2"/>
    </row>
    <row r="16" spans="1:1">
      <c r="A16" s="2" t="s">
        <v>1759</v>
      </c>
    </row>
    <row r="17" spans="1:3">
      <c r="A17" s="2" t="s">
        <v>1760</v>
      </c>
    </row>
    <row r="18" spans="1:3">
      <c r="A18" s="2" t="s">
        <v>1761</v>
      </c>
      <c r="C18" s="4" t="s">
        <v>1769</v>
      </c>
    </row>
    <row r="19" spans="1:3">
      <c r="A19" s="2" t="s">
        <v>1762</v>
      </c>
      <c r="C19" s="5" t="s">
        <v>1544</v>
      </c>
    </row>
    <row r="20" spans="1:3">
      <c r="A20" s="2" t="s">
        <v>1763</v>
      </c>
      <c r="C20" s="6" t="s">
        <v>1770</v>
      </c>
    </row>
    <row r="21" spans="1:3">
      <c r="A21" s="2" t="s">
        <v>1764</v>
      </c>
      <c r="C21" s="7" t="s">
        <v>1771</v>
      </c>
    </row>
    <row r="22" spans="1:3">
      <c r="A22" s="2" t="s">
        <v>1765</v>
      </c>
      <c r="C22" s="8" t="s">
        <v>1772</v>
      </c>
    </row>
    <row r="23" spans="1:3">
      <c r="A23" s="2" t="s">
        <v>1766</v>
      </c>
      <c r="C23" s="9" t="s">
        <v>1773</v>
      </c>
    </row>
    <row r="24" spans="1:3">
      <c r="A24" s="2" t="s">
        <v>1767</v>
      </c>
      <c r="C24" s="10" t="s">
        <v>1774</v>
      </c>
    </row>
    <row r="25" spans="1:3">
      <c r="A25" s="2" t="s">
        <v>1768</v>
      </c>
      <c r="C25" s="11" t="s">
        <v>1775</v>
      </c>
    </row>
    <row r="27" spans="1:3">
      <c r="A27" s="12" t="s">
        <v>1776</v>
      </c>
      <c r="B27" s="12" t="s">
        <v>1777</v>
      </c>
      <c r="C27" s="12" t="s">
        <v>1778</v>
      </c>
    </row>
    <row r="28" spans="1:3">
      <c r="A28" s="13" t="s">
        <v>1779</v>
      </c>
      <c r="B28" s="14" t="s">
        <v>0</v>
      </c>
      <c r="C28" s="13" t="s">
        <v>1544</v>
      </c>
    </row>
    <row r="29" spans="1:3">
      <c r="A29" s="13" t="s">
        <v>1779</v>
      </c>
      <c r="B29" s="14" t="s">
        <v>8</v>
      </c>
      <c r="C29" s="13" t="s">
        <v>1780</v>
      </c>
    </row>
    <row r="30" spans="1:3">
      <c r="A30" s="13" t="s">
        <v>1779</v>
      </c>
      <c r="B30" s="14" t="s">
        <v>126</v>
      </c>
      <c r="C30" s="13" t="s">
        <v>1780</v>
      </c>
    </row>
    <row r="31" spans="1:3">
      <c r="A31" s="13" t="s">
        <v>1779</v>
      </c>
      <c r="B31" s="14" t="s">
        <v>135</v>
      </c>
      <c r="C31" s="13" t="s">
        <v>1544</v>
      </c>
    </row>
    <row r="32" spans="1:3">
      <c r="A32" s="13" t="s">
        <v>1779</v>
      </c>
      <c r="B32" s="14" t="s">
        <v>150</v>
      </c>
      <c r="C32" s="13" t="s">
        <v>1544</v>
      </c>
    </row>
    <row r="33" spans="1:3">
      <c r="A33" s="13" t="s">
        <v>1779</v>
      </c>
      <c r="B33" s="14" t="s">
        <v>152</v>
      </c>
      <c r="C33" s="13" t="s">
        <v>1544</v>
      </c>
    </row>
    <row r="34" spans="1:3">
      <c r="A34" s="13" t="s">
        <v>1779</v>
      </c>
      <c r="B34" s="14" t="s">
        <v>154</v>
      </c>
      <c r="C34" s="13" t="s">
        <v>1544</v>
      </c>
    </row>
    <row r="35" spans="1:3">
      <c r="A35" s="13" t="s">
        <v>1779</v>
      </c>
      <c r="B35" s="14" t="s">
        <v>156</v>
      </c>
      <c r="C35" s="13" t="s">
        <v>1544</v>
      </c>
    </row>
    <row r="36" spans="1:3">
      <c r="A36" s="13" t="s">
        <v>1779</v>
      </c>
      <c r="B36" s="14" t="s">
        <v>166</v>
      </c>
      <c r="C36" s="13" t="s">
        <v>1544</v>
      </c>
    </row>
    <row r="37" spans="1:3">
      <c r="A37" s="13" t="s">
        <v>1779</v>
      </c>
      <c r="B37" s="14" t="s">
        <v>173</v>
      </c>
      <c r="C37" s="13" t="s">
        <v>1544</v>
      </c>
    </row>
    <row r="38" spans="1:3">
      <c r="A38" s="13" t="s">
        <v>1779</v>
      </c>
      <c r="B38" s="14" t="s">
        <v>188</v>
      </c>
      <c r="C38" s="13" t="s">
        <v>1544</v>
      </c>
    </row>
    <row r="39" spans="1:3">
      <c r="A39" s="13" t="s">
        <v>1779</v>
      </c>
      <c r="B39" s="14" t="s">
        <v>192</v>
      </c>
      <c r="C39" s="13" t="s">
        <v>1544</v>
      </c>
    </row>
    <row r="40" spans="1:3">
      <c r="A40" s="13" t="s">
        <v>1779</v>
      </c>
      <c r="B40" s="14" t="s">
        <v>196</v>
      </c>
      <c r="C40" s="13" t="s">
        <v>1544</v>
      </c>
    </row>
    <row r="41" spans="1:3">
      <c r="A41" s="13" t="s">
        <v>1779</v>
      </c>
      <c r="B41" s="14" t="s">
        <v>199</v>
      </c>
      <c r="C41" s="13" t="s">
        <v>1544</v>
      </c>
    </row>
    <row r="42" spans="1:3">
      <c r="A42" s="13" t="s">
        <v>1779</v>
      </c>
      <c r="B42" s="14" t="s">
        <v>207</v>
      </c>
      <c r="C42" s="13" t="s">
        <v>1544</v>
      </c>
    </row>
    <row r="43" spans="1:3">
      <c r="A43" s="13" t="s">
        <v>1779</v>
      </c>
      <c r="B43" s="14" t="s">
        <v>218</v>
      </c>
      <c r="C43" s="13" t="s">
        <v>1544</v>
      </c>
    </row>
    <row r="44" spans="1:3">
      <c r="A44" s="13" t="s">
        <v>1779</v>
      </c>
      <c r="B44" s="14" t="s">
        <v>293</v>
      </c>
      <c r="C44" s="13" t="s">
        <v>1544</v>
      </c>
    </row>
    <row r="45" spans="1:3">
      <c r="A45" s="13" t="s">
        <v>1779</v>
      </c>
      <c r="B45" s="14" t="s">
        <v>296</v>
      </c>
      <c r="C45" s="13" t="s">
        <v>1544</v>
      </c>
    </row>
    <row r="46" spans="1:3">
      <c r="A46" s="13" t="s">
        <v>1779</v>
      </c>
      <c r="B46" s="14" t="s">
        <v>302</v>
      </c>
      <c r="C46" s="13" t="s">
        <v>1544</v>
      </c>
    </row>
    <row r="47" spans="1:3">
      <c r="A47" s="13" t="s">
        <v>1779</v>
      </c>
      <c r="B47" s="14" t="s">
        <v>318</v>
      </c>
      <c r="C47" s="13" t="s">
        <v>1544</v>
      </c>
    </row>
    <row r="48" spans="1:3">
      <c r="A48" s="13" t="s">
        <v>1779</v>
      </c>
      <c r="B48" s="14" t="s">
        <v>322</v>
      </c>
      <c r="C48" s="13" t="s">
        <v>1544</v>
      </c>
    </row>
    <row r="49" spans="1:3">
      <c r="A49" s="13" t="s">
        <v>1779</v>
      </c>
      <c r="B49" s="14" t="s">
        <v>323</v>
      </c>
      <c r="C49" s="13" t="s">
        <v>1544</v>
      </c>
    </row>
    <row r="50" spans="1:3">
      <c r="A50" s="13" t="s">
        <v>1779</v>
      </c>
      <c r="B50" s="14" t="s">
        <v>326</v>
      </c>
      <c r="C50" s="13" t="s">
        <v>1544</v>
      </c>
    </row>
    <row r="51" spans="1:3">
      <c r="A51" s="13" t="s">
        <v>1779</v>
      </c>
      <c r="B51" s="14" t="s">
        <v>330</v>
      </c>
      <c r="C51" s="13" t="s">
        <v>1544</v>
      </c>
    </row>
    <row r="52" spans="1:3">
      <c r="A52" s="13" t="s">
        <v>1779</v>
      </c>
      <c r="B52" s="14" t="s">
        <v>331</v>
      </c>
      <c r="C52" s="13" t="s">
        <v>1544</v>
      </c>
    </row>
    <row r="53" spans="1:3">
      <c r="A53" s="13" t="s">
        <v>1779</v>
      </c>
      <c r="B53" s="14" t="s">
        <v>335</v>
      </c>
      <c r="C53" s="13" t="s">
        <v>1544</v>
      </c>
    </row>
    <row r="54" spans="1:3">
      <c r="A54" s="13" t="s">
        <v>1779</v>
      </c>
      <c r="B54" s="14" t="s">
        <v>339</v>
      </c>
      <c r="C54" s="13" t="s">
        <v>1544</v>
      </c>
    </row>
    <row r="55" spans="1:3">
      <c r="A55" s="13" t="s">
        <v>1781</v>
      </c>
      <c r="B55" s="14" t="s">
        <v>350</v>
      </c>
      <c r="C55" s="13" t="s">
        <v>1780</v>
      </c>
    </row>
    <row r="56" spans="1:3">
      <c r="A56" s="13" t="s">
        <v>1781</v>
      </c>
      <c r="B56" s="14" t="s">
        <v>361</v>
      </c>
      <c r="C56" s="13" t="s">
        <v>355</v>
      </c>
    </row>
    <row r="57" spans="1:3">
      <c r="A57" s="13" t="s">
        <v>1781</v>
      </c>
      <c r="B57" s="14" t="s">
        <v>362</v>
      </c>
      <c r="C57" s="13" t="s">
        <v>356</v>
      </c>
    </row>
    <row r="58" spans="1:3">
      <c r="A58" s="13" t="s">
        <v>1781</v>
      </c>
      <c r="B58" s="14" t="s">
        <v>366</v>
      </c>
      <c r="C58" s="13" t="s">
        <v>518</v>
      </c>
    </row>
    <row r="59" spans="1:3">
      <c r="A59" s="13" t="s">
        <v>1781</v>
      </c>
      <c r="B59" s="14" t="s">
        <v>371</v>
      </c>
      <c r="C59" s="13" t="s">
        <v>355</v>
      </c>
    </row>
    <row r="60" spans="1:3">
      <c r="A60" s="13" t="s">
        <v>1781</v>
      </c>
      <c r="B60" s="14" t="s">
        <v>375</v>
      </c>
      <c r="C60" s="13" t="s">
        <v>484</v>
      </c>
    </row>
    <row r="61" spans="1:3">
      <c r="A61" s="13" t="s">
        <v>1781</v>
      </c>
      <c r="B61" s="14" t="s">
        <v>378</v>
      </c>
      <c r="C61" s="13" t="s">
        <v>484</v>
      </c>
    </row>
    <row r="62" spans="1:3">
      <c r="A62" s="13" t="s">
        <v>1781</v>
      </c>
      <c r="B62" s="14" t="s">
        <v>379</v>
      </c>
      <c r="C62" s="13" t="s">
        <v>484</v>
      </c>
    </row>
    <row r="63" spans="1:3">
      <c r="A63" s="13" t="s">
        <v>1781</v>
      </c>
      <c r="B63" s="14" t="s">
        <v>380</v>
      </c>
      <c r="C63" s="13" t="s">
        <v>518</v>
      </c>
    </row>
    <row r="64" spans="1:3">
      <c r="A64" s="13" t="s">
        <v>1781</v>
      </c>
      <c r="B64" s="14" t="s">
        <v>387</v>
      </c>
      <c r="C64" s="13" t="s">
        <v>356</v>
      </c>
    </row>
    <row r="65" spans="1:3">
      <c r="A65" s="13" t="s">
        <v>1781</v>
      </c>
      <c r="B65" s="14" t="s">
        <v>390</v>
      </c>
      <c r="C65" s="13" t="s">
        <v>518</v>
      </c>
    </row>
    <row r="66" spans="1:3">
      <c r="A66" s="13" t="s">
        <v>1781</v>
      </c>
      <c r="B66" s="14" t="s">
        <v>395</v>
      </c>
      <c r="C66" s="13" t="s">
        <v>484</v>
      </c>
    </row>
    <row r="67" spans="1:3">
      <c r="A67" s="13" t="s">
        <v>1782</v>
      </c>
      <c r="B67" s="14" t="s">
        <v>401</v>
      </c>
      <c r="C67" s="13" t="s">
        <v>484</v>
      </c>
    </row>
    <row r="68" spans="1:3">
      <c r="A68" s="13" t="s">
        <v>1782</v>
      </c>
      <c r="B68" s="14" t="s">
        <v>407</v>
      </c>
      <c r="C68" s="13" t="s">
        <v>518</v>
      </c>
    </row>
    <row r="69" spans="1:3">
      <c r="A69" s="13" t="s">
        <v>1782</v>
      </c>
      <c r="B69" s="14" t="s">
        <v>410</v>
      </c>
      <c r="C69" s="13" t="s">
        <v>1780</v>
      </c>
    </row>
    <row r="70" spans="1:3">
      <c r="A70" s="13" t="s">
        <v>1782</v>
      </c>
      <c r="B70" s="14" t="s">
        <v>419</v>
      </c>
      <c r="C70" s="13" t="s">
        <v>422</v>
      </c>
    </row>
    <row r="71" spans="1:3">
      <c r="A71" s="13" t="s">
        <v>1782</v>
      </c>
      <c r="B71" s="14" t="s">
        <v>428</v>
      </c>
      <c r="C71" s="13" t="s">
        <v>484</v>
      </c>
    </row>
    <row r="72" spans="1:3">
      <c r="A72" s="13" t="s">
        <v>1782</v>
      </c>
      <c r="B72" s="14" t="s">
        <v>433</v>
      </c>
      <c r="C72" s="13" t="s">
        <v>484</v>
      </c>
    </row>
    <row r="73" spans="1:3">
      <c r="A73" s="13" t="s">
        <v>1782</v>
      </c>
      <c r="B73" s="14" t="s">
        <v>439</v>
      </c>
      <c r="C73" s="13" t="s">
        <v>518</v>
      </c>
    </row>
    <row r="74" spans="1:3">
      <c r="A74" s="13" t="s">
        <v>1782</v>
      </c>
      <c r="B74" s="14" t="s">
        <v>441</v>
      </c>
      <c r="C74" s="13" t="s">
        <v>356</v>
      </c>
    </row>
    <row r="75" spans="1:3">
      <c r="A75" s="13" t="s">
        <v>1782</v>
      </c>
      <c r="B75" s="14" t="s">
        <v>445</v>
      </c>
      <c r="C75" s="13" t="s">
        <v>484</v>
      </c>
    </row>
    <row r="76" spans="1:3">
      <c r="A76" s="13" t="s">
        <v>1783</v>
      </c>
      <c r="B76" s="14" t="s">
        <v>460</v>
      </c>
      <c r="C76" s="13" t="s">
        <v>356</v>
      </c>
    </row>
    <row r="77" spans="1:3">
      <c r="A77" s="13" t="s">
        <v>1783</v>
      </c>
      <c r="B77" s="14" t="s">
        <v>464</v>
      </c>
      <c r="C77" s="13" t="s">
        <v>356</v>
      </c>
    </row>
    <row r="78" spans="1:3">
      <c r="A78" s="13" t="s">
        <v>1783</v>
      </c>
      <c r="B78" s="14" t="s">
        <v>467</v>
      </c>
      <c r="C78" s="13" t="s">
        <v>484</v>
      </c>
    </row>
    <row r="79" spans="1:3">
      <c r="A79" s="13" t="s">
        <v>1783</v>
      </c>
      <c r="B79" s="14" t="s">
        <v>472</v>
      </c>
      <c r="C79" s="13" t="s">
        <v>356</v>
      </c>
    </row>
    <row r="80" spans="1:3">
      <c r="A80" s="13" t="s">
        <v>1783</v>
      </c>
      <c r="B80" s="14" t="s">
        <v>476</v>
      </c>
      <c r="C80" s="13" t="s">
        <v>518</v>
      </c>
    </row>
    <row r="81" spans="1:3">
      <c r="A81" s="13" t="s">
        <v>1783</v>
      </c>
      <c r="B81" s="14" t="s">
        <v>479</v>
      </c>
      <c r="C81" s="13" t="s">
        <v>1780</v>
      </c>
    </row>
    <row r="82" spans="1:3">
      <c r="A82" s="13" t="s">
        <v>1784</v>
      </c>
      <c r="B82" s="14" t="s">
        <v>497</v>
      </c>
      <c r="C82" s="13" t="s">
        <v>484</v>
      </c>
    </row>
    <row r="83" spans="1:3">
      <c r="A83" s="13" t="s">
        <v>1784</v>
      </c>
      <c r="B83" s="14" t="s">
        <v>501</v>
      </c>
      <c r="C83" s="13" t="s">
        <v>518</v>
      </c>
    </row>
    <row r="84" spans="1:3">
      <c r="A84" s="13" t="s">
        <v>1784</v>
      </c>
      <c r="B84" s="14" t="s">
        <v>505</v>
      </c>
      <c r="C84" s="13" t="s">
        <v>355</v>
      </c>
    </row>
    <row r="85" spans="1:3">
      <c r="A85" s="13" t="s">
        <v>1784</v>
      </c>
      <c r="B85" s="14" t="s">
        <v>506</v>
      </c>
      <c r="C85" s="13" t="s">
        <v>1780</v>
      </c>
    </row>
    <row r="86" spans="1:3">
      <c r="A86" s="13" t="s">
        <v>1784</v>
      </c>
      <c r="B86" s="14" t="s">
        <v>528</v>
      </c>
      <c r="C86" s="13" t="s">
        <v>485</v>
      </c>
    </row>
    <row r="87" spans="1:3">
      <c r="A87" s="13" t="s">
        <v>1785</v>
      </c>
      <c r="B87" s="14" t="s">
        <v>540</v>
      </c>
      <c r="C87" s="13" t="s">
        <v>1780</v>
      </c>
    </row>
    <row r="88" spans="1:3">
      <c r="A88" s="13" t="s">
        <v>1785</v>
      </c>
      <c r="B88" s="14" t="s">
        <v>548</v>
      </c>
      <c r="C88" s="13" t="s">
        <v>1780</v>
      </c>
    </row>
    <row r="89" spans="1:3">
      <c r="A89" s="13" t="s">
        <v>1785</v>
      </c>
      <c r="B89" s="14" t="s">
        <v>556</v>
      </c>
      <c r="C89" s="13" t="s">
        <v>518</v>
      </c>
    </row>
    <row r="90" spans="1:3">
      <c r="A90" s="13" t="s">
        <v>1785</v>
      </c>
      <c r="B90" s="14" t="s">
        <v>559</v>
      </c>
      <c r="C90" s="13" t="s">
        <v>1780</v>
      </c>
    </row>
    <row r="91" spans="1:3">
      <c r="A91" s="13" t="s">
        <v>1785</v>
      </c>
      <c r="B91" s="14" t="s">
        <v>563</v>
      </c>
      <c r="C91" s="13" t="s">
        <v>518</v>
      </c>
    </row>
    <row r="92" spans="1:3">
      <c r="A92" s="13" t="s">
        <v>1785</v>
      </c>
      <c r="B92" s="14" t="s">
        <v>566</v>
      </c>
      <c r="C92" s="13" t="s">
        <v>355</v>
      </c>
    </row>
    <row r="93" spans="1:3">
      <c r="A93" s="13" t="s">
        <v>1785</v>
      </c>
      <c r="B93" s="14" t="s">
        <v>567</v>
      </c>
      <c r="C93" s="13" t="s">
        <v>484</v>
      </c>
    </row>
    <row r="94" spans="1:3">
      <c r="A94" s="13" t="s">
        <v>1785</v>
      </c>
      <c r="B94" s="14" t="s">
        <v>573</v>
      </c>
      <c r="C94" s="13" t="s">
        <v>484</v>
      </c>
    </row>
    <row r="95" spans="1:3">
      <c r="A95" s="13" t="s">
        <v>1785</v>
      </c>
      <c r="B95" s="14" t="s">
        <v>584</v>
      </c>
      <c r="C95" s="13" t="s">
        <v>484</v>
      </c>
    </row>
    <row r="96" spans="1:3">
      <c r="A96" s="13" t="s">
        <v>1785</v>
      </c>
      <c r="B96" s="14" t="s">
        <v>594</v>
      </c>
      <c r="C96" s="13" t="s">
        <v>484</v>
      </c>
    </row>
    <row r="97" spans="1:3">
      <c r="A97" s="13" t="s">
        <v>1785</v>
      </c>
      <c r="B97" s="14" t="s">
        <v>604</v>
      </c>
      <c r="C97" s="13" t="s">
        <v>1780</v>
      </c>
    </row>
    <row r="98" spans="1:3">
      <c r="A98" s="13" t="s">
        <v>1785</v>
      </c>
      <c r="B98" s="14" t="s">
        <v>614</v>
      </c>
      <c r="C98" s="13" t="s">
        <v>1780</v>
      </c>
    </row>
    <row r="99" spans="1:3">
      <c r="A99" s="13" t="s">
        <v>1785</v>
      </c>
      <c r="B99" s="14" t="s">
        <v>622</v>
      </c>
      <c r="C99" s="13" t="s">
        <v>1786</v>
      </c>
    </row>
    <row r="100" spans="1:3">
      <c r="A100" s="13" t="s">
        <v>1785</v>
      </c>
      <c r="B100" s="14" t="s">
        <v>626</v>
      </c>
      <c r="C100" s="13" t="s">
        <v>484</v>
      </c>
    </row>
    <row r="101" spans="1:3">
      <c r="A101" s="13" t="s">
        <v>1785</v>
      </c>
      <c r="B101" s="14" t="s">
        <v>631</v>
      </c>
      <c r="C101" s="13" t="s">
        <v>413</v>
      </c>
    </row>
    <row r="102" spans="1:3">
      <c r="A102" s="13" t="s">
        <v>1785</v>
      </c>
      <c r="B102" s="14" t="s">
        <v>634</v>
      </c>
      <c r="C102" s="13" t="s">
        <v>413</v>
      </c>
    </row>
    <row r="103" spans="1:3">
      <c r="A103" s="13" t="s">
        <v>1785</v>
      </c>
      <c r="B103" s="14" t="s">
        <v>636</v>
      </c>
      <c r="C103" s="13" t="s">
        <v>413</v>
      </c>
    </row>
    <row r="104" spans="1:3">
      <c r="A104" s="13" t="s">
        <v>1785</v>
      </c>
      <c r="B104" s="14" t="s">
        <v>638</v>
      </c>
      <c r="C104" s="13" t="s">
        <v>356</v>
      </c>
    </row>
    <row r="105" spans="1:3">
      <c r="A105" s="13" t="s">
        <v>1785</v>
      </c>
      <c r="B105" s="14" t="s">
        <v>641</v>
      </c>
      <c r="C105" s="13" t="s">
        <v>413</v>
      </c>
    </row>
    <row r="106" spans="1:3">
      <c r="A106" s="13" t="s">
        <v>1785</v>
      </c>
      <c r="B106" s="14" t="s">
        <v>643</v>
      </c>
      <c r="C106" s="13" t="s">
        <v>413</v>
      </c>
    </row>
    <row r="107" spans="1:3">
      <c r="A107" s="13" t="s">
        <v>1785</v>
      </c>
      <c r="B107" s="14" t="s">
        <v>644</v>
      </c>
      <c r="C107" s="13" t="s">
        <v>413</v>
      </c>
    </row>
    <row r="108" spans="1:3">
      <c r="A108" s="13" t="s">
        <v>1785</v>
      </c>
      <c r="B108" s="14" t="s">
        <v>646</v>
      </c>
      <c r="C108" s="13" t="s">
        <v>356</v>
      </c>
    </row>
    <row r="109" spans="1:3">
      <c r="A109" s="13" t="s">
        <v>1785</v>
      </c>
      <c r="B109" s="14" t="s">
        <v>649</v>
      </c>
      <c r="C109" s="13" t="s">
        <v>413</v>
      </c>
    </row>
    <row r="110" spans="1:3">
      <c r="A110" s="13" t="s">
        <v>1785</v>
      </c>
      <c r="B110" s="14" t="s">
        <v>651</v>
      </c>
      <c r="C110" s="13" t="s">
        <v>413</v>
      </c>
    </row>
    <row r="111" spans="1:3">
      <c r="A111" s="13" t="s">
        <v>1785</v>
      </c>
      <c r="B111" s="14" t="s">
        <v>652</v>
      </c>
      <c r="C111" s="13" t="s">
        <v>413</v>
      </c>
    </row>
    <row r="112" spans="1:3">
      <c r="A112" s="13" t="s">
        <v>1785</v>
      </c>
      <c r="B112" s="14" t="s">
        <v>653</v>
      </c>
      <c r="C112" s="13" t="s">
        <v>356</v>
      </c>
    </row>
    <row r="113" spans="1:3">
      <c r="A113" s="13" t="s">
        <v>1785</v>
      </c>
      <c r="B113" s="14" t="s">
        <v>656</v>
      </c>
      <c r="C113" s="13" t="s">
        <v>413</v>
      </c>
    </row>
    <row r="114" spans="1:3">
      <c r="A114" s="13" t="s">
        <v>1785</v>
      </c>
      <c r="B114" s="14" t="s">
        <v>658</v>
      </c>
      <c r="C114" s="13" t="s">
        <v>413</v>
      </c>
    </row>
    <row r="115" spans="1:3">
      <c r="A115" s="13" t="s">
        <v>1785</v>
      </c>
      <c r="B115" s="14" t="s">
        <v>659</v>
      </c>
      <c r="C115" s="13" t="s">
        <v>413</v>
      </c>
    </row>
    <row r="116" spans="1:3">
      <c r="A116" s="13" t="s">
        <v>1785</v>
      </c>
      <c r="B116" s="14" t="s">
        <v>661</v>
      </c>
      <c r="C116" s="13" t="s">
        <v>356</v>
      </c>
    </row>
    <row r="117" spans="1:3">
      <c r="A117" s="13" t="s">
        <v>1785</v>
      </c>
      <c r="B117" s="14" t="s">
        <v>664</v>
      </c>
      <c r="C117" s="13" t="s">
        <v>484</v>
      </c>
    </row>
    <row r="118" spans="1:3">
      <c r="A118" s="13" t="s">
        <v>1785</v>
      </c>
      <c r="B118" s="14" t="s">
        <v>674</v>
      </c>
      <c r="C118" s="13" t="s">
        <v>484</v>
      </c>
    </row>
    <row r="119" spans="1:3">
      <c r="A119" s="13" t="s">
        <v>1785</v>
      </c>
      <c r="B119" s="14" t="s">
        <v>677</v>
      </c>
      <c r="C119" s="13" t="s">
        <v>356</v>
      </c>
    </row>
    <row r="120" spans="1:3">
      <c r="A120" s="13" t="s">
        <v>1785</v>
      </c>
      <c r="B120" s="14" t="s">
        <v>679</v>
      </c>
      <c r="C120" s="13" t="s">
        <v>484</v>
      </c>
    </row>
    <row r="121" spans="1:3">
      <c r="A121" s="13" t="s">
        <v>1785</v>
      </c>
      <c r="B121" s="14" t="s">
        <v>682</v>
      </c>
      <c r="C121" s="13" t="s">
        <v>484</v>
      </c>
    </row>
    <row r="122" spans="1:3">
      <c r="A122" s="13" t="s">
        <v>1785</v>
      </c>
      <c r="B122" s="14" t="s">
        <v>687</v>
      </c>
      <c r="C122" s="13" t="s">
        <v>484</v>
      </c>
    </row>
    <row r="123" spans="1:3">
      <c r="A123" s="13" t="s">
        <v>1785</v>
      </c>
      <c r="B123" s="14" t="s">
        <v>690</v>
      </c>
      <c r="C123" s="13" t="s">
        <v>484</v>
      </c>
    </row>
    <row r="124" spans="1:3">
      <c r="A124" s="13" t="s">
        <v>1785</v>
      </c>
      <c r="B124" s="14" t="s">
        <v>691</v>
      </c>
      <c r="C124" s="13" t="s">
        <v>484</v>
      </c>
    </row>
    <row r="125" spans="1:3">
      <c r="A125" s="13" t="s">
        <v>1785</v>
      </c>
      <c r="B125" s="14" t="s">
        <v>692</v>
      </c>
      <c r="C125" s="13" t="s">
        <v>484</v>
      </c>
    </row>
    <row r="126" spans="1:3">
      <c r="A126" s="13" t="s">
        <v>1785</v>
      </c>
      <c r="B126" s="14" t="s">
        <v>695</v>
      </c>
      <c r="C126" s="13" t="s">
        <v>518</v>
      </c>
    </row>
    <row r="127" spans="1:3">
      <c r="A127" s="13" t="s">
        <v>1785</v>
      </c>
      <c r="B127" s="14" t="s">
        <v>701</v>
      </c>
      <c r="C127" s="13" t="s">
        <v>356</v>
      </c>
    </row>
    <row r="128" spans="1:3">
      <c r="A128" s="13" t="s">
        <v>1785</v>
      </c>
      <c r="B128" s="14" t="s">
        <v>704</v>
      </c>
      <c r="C128" s="13" t="s">
        <v>356</v>
      </c>
    </row>
    <row r="129" spans="1:3">
      <c r="A129" s="13" t="s">
        <v>1785</v>
      </c>
      <c r="B129" s="14" t="s">
        <v>706</v>
      </c>
      <c r="C129" s="13" t="s">
        <v>356</v>
      </c>
    </row>
    <row r="130" spans="1:3">
      <c r="A130" s="13" t="s">
        <v>1785</v>
      </c>
      <c r="B130" s="14" t="s">
        <v>708</v>
      </c>
      <c r="C130" s="13" t="s">
        <v>1780</v>
      </c>
    </row>
    <row r="131" spans="1:3">
      <c r="A131" s="13" t="s">
        <v>1785</v>
      </c>
      <c r="B131" s="14" t="s">
        <v>713</v>
      </c>
      <c r="C131" s="13" t="s">
        <v>1780</v>
      </c>
    </row>
    <row r="132" spans="1:3">
      <c r="A132" s="13" t="s">
        <v>1785</v>
      </c>
      <c r="B132" s="14" t="s">
        <v>718</v>
      </c>
      <c r="C132" s="13" t="s">
        <v>518</v>
      </c>
    </row>
    <row r="133" spans="1:3">
      <c r="A133" s="13" t="s">
        <v>1785</v>
      </c>
      <c r="B133" s="14" t="s">
        <v>721</v>
      </c>
      <c r="C133" s="13" t="s">
        <v>355</v>
      </c>
    </row>
    <row r="134" spans="1:3">
      <c r="A134" s="13" t="s">
        <v>1785</v>
      </c>
      <c r="B134" s="14" t="s">
        <v>722</v>
      </c>
      <c r="C134" s="13" t="s">
        <v>355</v>
      </c>
    </row>
    <row r="135" spans="1:3">
      <c r="A135" s="13" t="s">
        <v>1785</v>
      </c>
      <c r="B135" s="14" t="s">
        <v>723</v>
      </c>
      <c r="C135" s="13" t="s">
        <v>484</v>
      </c>
    </row>
    <row r="136" spans="1:3">
      <c r="A136" s="13" t="s">
        <v>1785</v>
      </c>
      <c r="B136" s="14" t="s">
        <v>729</v>
      </c>
      <c r="C136" s="13" t="s">
        <v>484</v>
      </c>
    </row>
    <row r="137" spans="1:3">
      <c r="A137" s="13" t="s">
        <v>1785</v>
      </c>
      <c r="B137" s="14" t="s">
        <v>736</v>
      </c>
      <c r="C137" s="13" t="s">
        <v>1780</v>
      </c>
    </row>
    <row r="138" spans="1:3">
      <c r="A138" s="13" t="s">
        <v>1785</v>
      </c>
      <c r="B138" s="14" t="s">
        <v>749</v>
      </c>
      <c r="C138" s="13" t="s">
        <v>484</v>
      </c>
    </row>
    <row r="139" spans="1:3">
      <c r="A139" s="13" t="s">
        <v>1785</v>
      </c>
      <c r="B139" s="14" t="s">
        <v>754</v>
      </c>
      <c r="C139" s="13" t="s">
        <v>1780</v>
      </c>
    </row>
    <row r="140" spans="1:3">
      <c r="A140" s="13" t="s">
        <v>1785</v>
      </c>
      <c r="B140" s="14" t="s">
        <v>769</v>
      </c>
      <c r="C140" s="13" t="s">
        <v>518</v>
      </c>
    </row>
    <row r="141" spans="1:3">
      <c r="A141" s="13" t="s">
        <v>1785</v>
      </c>
      <c r="B141" s="14" t="s">
        <v>773</v>
      </c>
      <c r="C141" s="13" t="s">
        <v>1786</v>
      </c>
    </row>
    <row r="142" spans="1:3">
      <c r="A142" s="13" t="s">
        <v>1785</v>
      </c>
      <c r="B142" s="14" t="s">
        <v>775</v>
      </c>
      <c r="C142" s="13" t="s">
        <v>484</v>
      </c>
    </row>
    <row r="143" spans="1:3">
      <c r="A143" s="13" t="s">
        <v>1785</v>
      </c>
      <c r="B143" s="14" t="s">
        <v>780</v>
      </c>
      <c r="C143" s="13" t="s">
        <v>356</v>
      </c>
    </row>
    <row r="144" spans="1:3">
      <c r="A144" s="13" t="s">
        <v>1785</v>
      </c>
      <c r="B144" s="14" t="s">
        <v>783</v>
      </c>
      <c r="C144" s="13" t="s">
        <v>356</v>
      </c>
    </row>
    <row r="145" spans="1:3">
      <c r="A145" s="13" t="s">
        <v>1785</v>
      </c>
      <c r="B145" s="14" t="s">
        <v>785</v>
      </c>
      <c r="C145" s="13" t="s">
        <v>356</v>
      </c>
    </row>
    <row r="146" spans="1:3">
      <c r="A146" s="13" t="s">
        <v>1785</v>
      </c>
      <c r="B146" s="14" t="s">
        <v>787</v>
      </c>
      <c r="C146" s="13" t="s">
        <v>518</v>
      </c>
    </row>
    <row r="147" spans="1:3">
      <c r="A147" s="13" t="s">
        <v>1785</v>
      </c>
      <c r="B147" s="14" t="s">
        <v>790</v>
      </c>
      <c r="C147" s="13" t="s">
        <v>518</v>
      </c>
    </row>
    <row r="148" spans="1:3">
      <c r="A148" s="13" t="s">
        <v>1785</v>
      </c>
      <c r="B148" s="14" t="s">
        <v>793</v>
      </c>
      <c r="C148" s="13" t="s">
        <v>518</v>
      </c>
    </row>
    <row r="149" spans="1:3">
      <c r="A149" s="13" t="s">
        <v>1787</v>
      </c>
      <c r="B149" s="14" t="s">
        <v>796</v>
      </c>
      <c r="C149" s="13" t="s">
        <v>484</v>
      </c>
    </row>
    <row r="150" spans="1:3">
      <c r="A150" s="13" t="s">
        <v>1787</v>
      </c>
      <c r="B150" s="14" t="s">
        <v>800</v>
      </c>
      <c r="C150" s="13" t="s">
        <v>484</v>
      </c>
    </row>
    <row r="151" spans="1:3">
      <c r="A151" s="13" t="s">
        <v>1787</v>
      </c>
      <c r="B151" s="14" t="s">
        <v>805</v>
      </c>
      <c r="C151" s="13" t="s">
        <v>484</v>
      </c>
    </row>
    <row r="152" spans="1:3">
      <c r="A152" s="13" t="s">
        <v>1787</v>
      </c>
      <c r="B152" s="14" t="s">
        <v>810</v>
      </c>
      <c r="C152" s="13" t="s">
        <v>484</v>
      </c>
    </row>
    <row r="153" spans="1:3">
      <c r="A153" s="13" t="s">
        <v>1787</v>
      </c>
      <c r="B153" s="14" t="s">
        <v>813</v>
      </c>
      <c r="C153" s="13" t="s">
        <v>518</v>
      </c>
    </row>
    <row r="154" spans="1:3">
      <c r="A154" s="13" t="s">
        <v>1787</v>
      </c>
      <c r="B154" s="14" t="s">
        <v>819</v>
      </c>
      <c r="C154" s="13" t="s">
        <v>485</v>
      </c>
    </row>
    <row r="155" spans="1:3">
      <c r="A155" s="13" t="s">
        <v>1788</v>
      </c>
      <c r="B155" s="14" t="s">
        <v>823</v>
      </c>
      <c r="C155" s="13" t="s">
        <v>1780</v>
      </c>
    </row>
    <row r="156" spans="1:3">
      <c r="A156" s="13" t="s">
        <v>1788</v>
      </c>
      <c r="B156" s="14" t="s">
        <v>831</v>
      </c>
      <c r="C156" s="13" t="s">
        <v>518</v>
      </c>
    </row>
    <row r="157" spans="1:3">
      <c r="A157" s="13" t="s">
        <v>1788</v>
      </c>
      <c r="B157" s="14" t="s">
        <v>835</v>
      </c>
      <c r="C157" s="13" t="s">
        <v>484</v>
      </c>
    </row>
    <row r="158" spans="1:3">
      <c r="A158" s="13" t="s">
        <v>1788</v>
      </c>
      <c r="B158" s="14" t="s">
        <v>841</v>
      </c>
      <c r="C158" s="13" t="s">
        <v>484</v>
      </c>
    </row>
    <row r="159" spans="1:3">
      <c r="A159" s="13" t="s">
        <v>1788</v>
      </c>
      <c r="B159" s="14" t="s">
        <v>843</v>
      </c>
      <c r="C159" s="13" t="s">
        <v>518</v>
      </c>
    </row>
    <row r="160" spans="1:3">
      <c r="A160" s="13" t="s">
        <v>1788</v>
      </c>
      <c r="B160" s="14" t="s">
        <v>846</v>
      </c>
      <c r="C160" s="13" t="s">
        <v>485</v>
      </c>
    </row>
    <row r="161" spans="1:3">
      <c r="A161" s="13" t="s">
        <v>1788</v>
      </c>
      <c r="B161" s="14" t="s">
        <v>849</v>
      </c>
      <c r="C161" s="13" t="s">
        <v>484</v>
      </c>
    </row>
    <row r="162" spans="1:3">
      <c r="A162" s="13" t="s">
        <v>1788</v>
      </c>
      <c r="B162" s="14" t="s">
        <v>851</v>
      </c>
      <c r="C162" s="13" t="s">
        <v>485</v>
      </c>
    </row>
    <row r="163" spans="1:3">
      <c r="A163" s="13" t="s">
        <v>1788</v>
      </c>
      <c r="B163" s="14" t="s">
        <v>854</v>
      </c>
      <c r="C163" s="13" t="s">
        <v>484</v>
      </c>
    </row>
    <row r="164" spans="1:3">
      <c r="A164" s="13" t="s">
        <v>1788</v>
      </c>
      <c r="B164" s="14" t="s">
        <v>859</v>
      </c>
      <c r="C164" s="13" t="s">
        <v>355</v>
      </c>
    </row>
    <row r="165" spans="1:3">
      <c r="A165" s="13" t="s">
        <v>1788</v>
      </c>
      <c r="B165" s="14" t="s">
        <v>860</v>
      </c>
      <c r="C165" s="13" t="s">
        <v>356</v>
      </c>
    </row>
    <row r="166" spans="1:3">
      <c r="A166" s="13" t="s">
        <v>1788</v>
      </c>
      <c r="B166" s="14" t="s">
        <v>864</v>
      </c>
      <c r="C166" s="13" t="s">
        <v>518</v>
      </c>
    </row>
    <row r="167" spans="1:3">
      <c r="A167" s="13" t="s">
        <v>1788</v>
      </c>
      <c r="B167" s="14" t="s">
        <v>868</v>
      </c>
      <c r="C167" s="13" t="s">
        <v>484</v>
      </c>
    </row>
    <row r="168" spans="1:3">
      <c r="A168" s="13" t="s">
        <v>1789</v>
      </c>
      <c r="B168" s="14" t="s">
        <v>874</v>
      </c>
      <c r="C168" s="13" t="s">
        <v>518</v>
      </c>
    </row>
    <row r="169" spans="1:3">
      <c r="A169" s="13" t="s">
        <v>1789</v>
      </c>
      <c r="B169" s="14" t="s">
        <v>888</v>
      </c>
      <c r="C169" s="13" t="s">
        <v>484</v>
      </c>
    </row>
    <row r="170" spans="1:3">
      <c r="A170" s="13" t="s">
        <v>1789</v>
      </c>
      <c r="B170" s="14" t="s">
        <v>893</v>
      </c>
      <c r="C170" s="13" t="s">
        <v>413</v>
      </c>
    </row>
    <row r="171" spans="1:3">
      <c r="A171" s="13" t="s">
        <v>1789</v>
      </c>
      <c r="B171" s="14" t="s">
        <v>895</v>
      </c>
      <c r="C171" s="13" t="s">
        <v>485</v>
      </c>
    </row>
    <row r="172" spans="1:3">
      <c r="A172" s="13" t="s">
        <v>1789</v>
      </c>
      <c r="B172" s="14" t="s">
        <v>898</v>
      </c>
      <c r="C172" s="13" t="s">
        <v>1780</v>
      </c>
    </row>
    <row r="173" spans="1:3">
      <c r="A173" s="13" t="s">
        <v>1789</v>
      </c>
      <c r="B173" s="14" t="s">
        <v>913</v>
      </c>
      <c r="C173" s="13" t="s">
        <v>1780</v>
      </c>
    </row>
    <row r="174" spans="1:3">
      <c r="A174" s="13" t="s">
        <v>1789</v>
      </c>
      <c r="B174" s="14" t="s">
        <v>920</v>
      </c>
      <c r="C174" s="13" t="s">
        <v>484</v>
      </c>
    </row>
    <row r="175" spans="1:3">
      <c r="A175" s="13" t="s">
        <v>1789</v>
      </c>
      <c r="B175" s="14" t="s">
        <v>927</v>
      </c>
      <c r="C175" s="13" t="s">
        <v>484</v>
      </c>
    </row>
    <row r="176" spans="1:3">
      <c r="A176" s="13" t="s">
        <v>1789</v>
      </c>
      <c r="B176" s="14" t="s">
        <v>934</v>
      </c>
      <c r="C176" s="13" t="s">
        <v>484</v>
      </c>
    </row>
    <row r="177" spans="1:3">
      <c r="A177" s="13" t="s">
        <v>1789</v>
      </c>
      <c r="B177" s="14" t="s">
        <v>939</v>
      </c>
      <c r="C177" s="13" t="s">
        <v>484</v>
      </c>
    </row>
    <row r="178" spans="1:3">
      <c r="A178" s="13" t="s">
        <v>1789</v>
      </c>
      <c r="B178" s="14" t="s">
        <v>943</v>
      </c>
      <c r="C178" s="13" t="s">
        <v>1780</v>
      </c>
    </row>
    <row r="179" spans="1:3">
      <c r="A179" s="13" t="s">
        <v>1789</v>
      </c>
      <c r="B179" s="14" t="s">
        <v>950</v>
      </c>
      <c r="C179" s="13" t="s">
        <v>484</v>
      </c>
    </row>
    <row r="180" spans="1:3">
      <c r="A180" s="13" t="s">
        <v>1790</v>
      </c>
      <c r="B180" s="14" t="s">
        <v>954</v>
      </c>
      <c r="C180" s="13" t="s">
        <v>355</v>
      </c>
    </row>
    <row r="181" spans="1:3">
      <c r="A181" s="13" t="s">
        <v>1790</v>
      </c>
      <c r="B181" s="14" t="s">
        <v>955</v>
      </c>
      <c r="C181" s="13" t="s">
        <v>484</v>
      </c>
    </row>
    <row r="182" spans="1:3">
      <c r="A182" s="13" t="s">
        <v>1790</v>
      </c>
      <c r="B182" s="14" t="s">
        <v>959</v>
      </c>
      <c r="C182" s="13" t="s">
        <v>356</v>
      </c>
    </row>
    <row r="183" spans="1:3">
      <c r="A183" s="13" t="s">
        <v>1790</v>
      </c>
      <c r="B183" s="14" t="s">
        <v>962</v>
      </c>
      <c r="C183" s="13" t="s">
        <v>518</v>
      </c>
    </row>
    <row r="184" spans="1:3">
      <c r="A184" s="13" t="s">
        <v>1791</v>
      </c>
      <c r="B184" s="14" t="s">
        <v>967</v>
      </c>
      <c r="C184" s="13" t="s">
        <v>518</v>
      </c>
    </row>
    <row r="185" spans="1:3">
      <c r="A185" s="13" t="s">
        <v>1791</v>
      </c>
      <c r="B185" s="14" t="s">
        <v>971</v>
      </c>
      <c r="C185" s="13" t="s">
        <v>484</v>
      </c>
    </row>
    <row r="186" spans="1:3">
      <c r="A186" s="13" t="s">
        <v>1791</v>
      </c>
      <c r="B186" s="14" t="s">
        <v>975</v>
      </c>
      <c r="C186" s="13" t="s">
        <v>484</v>
      </c>
    </row>
    <row r="187" spans="1:3">
      <c r="A187" s="13" t="s">
        <v>1791</v>
      </c>
      <c r="B187" s="14" t="s">
        <v>979</v>
      </c>
      <c r="C187" s="13" t="s">
        <v>484</v>
      </c>
    </row>
    <row r="188" spans="1:3">
      <c r="A188" s="13" t="s">
        <v>1791</v>
      </c>
      <c r="B188" s="14" t="s">
        <v>981</v>
      </c>
      <c r="C188" s="13" t="s">
        <v>484</v>
      </c>
    </row>
    <row r="189" spans="1:3">
      <c r="A189" s="13" t="s">
        <v>1792</v>
      </c>
      <c r="B189" s="14" t="s">
        <v>984</v>
      </c>
      <c r="C189" s="13" t="s">
        <v>484</v>
      </c>
    </row>
    <row r="190" spans="1:3">
      <c r="A190" s="13" t="s">
        <v>1792</v>
      </c>
      <c r="B190" s="14" t="s">
        <v>988</v>
      </c>
      <c r="C190" s="13" t="s">
        <v>484</v>
      </c>
    </row>
    <row r="191" spans="1:3">
      <c r="A191" s="13" t="s">
        <v>1792</v>
      </c>
      <c r="B191" s="14" t="s">
        <v>996</v>
      </c>
      <c r="C191" s="13" t="s">
        <v>484</v>
      </c>
    </row>
    <row r="192" spans="1:3">
      <c r="A192" s="13" t="s">
        <v>1792</v>
      </c>
      <c r="B192" s="14" t="s">
        <v>999</v>
      </c>
      <c r="C192" s="13" t="s">
        <v>484</v>
      </c>
    </row>
    <row r="193" spans="1:3">
      <c r="A193" s="13" t="s">
        <v>1792</v>
      </c>
      <c r="B193" s="14" t="s">
        <v>1001</v>
      </c>
      <c r="C193" s="13" t="s">
        <v>484</v>
      </c>
    </row>
    <row r="194" spans="1:3">
      <c r="A194" s="13" t="s">
        <v>1792</v>
      </c>
      <c r="B194" s="14" t="s">
        <v>1003</v>
      </c>
      <c r="C194" s="13" t="s">
        <v>484</v>
      </c>
    </row>
    <row r="195" spans="1:3">
      <c r="A195" s="13" t="s">
        <v>1793</v>
      </c>
      <c r="B195" s="14" t="s">
        <v>1006</v>
      </c>
      <c r="C195" s="13" t="s">
        <v>355</v>
      </c>
    </row>
    <row r="196" spans="1:3">
      <c r="A196" s="13" t="s">
        <v>1793</v>
      </c>
      <c r="B196" s="14" t="s">
        <v>1011</v>
      </c>
      <c r="C196" s="13" t="s">
        <v>1780</v>
      </c>
    </row>
    <row r="197" spans="1:3">
      <c r="A197" s="13" t="s">
        <v>1793</v>
      </c>
      <c r="B197" s="14" t="s">
        <v>1016</v>
      </c>
      <c r="C197" s="13" t="s">
        <v>356</v>
      </c>
    </row>
    <row r="198" spans="1:3">
      <c r="A198" s="13" t="s">
        <v>1793</v>
      </c>
      <c r="B198" s="14" t="s">
        <v>1020</v>
      </c>
      <c r="C198" s="13" t="s">
        <v>356</v>
      </c>
    </row>
    <row r="199" spans="1:3">
      <c r="A199" s="13" t="s">
        <v>1793</v>
      </c>
      <c r="B199" s="14" t="s">
        <v>1023</v>
      </c>
      <c r="C199" s="13" t="s">
        <v>484</v>
      </c>
    </row>
    <row r="200" spans="1:3">
      <c r="A200" s="13" t="s">
        <v>1793</v>
      </c>
      <c r="B200" s="14" t="s">
        <v>1029</v>
      </c>
      <c r="C200" s="13" t="s">
        <v>356</v>
      </c>
    </row>
    <row r="201" spans="1:3">
      <c r="A201" s="13" t="s">
        <v>1793</v>
      </c>
      <c r="B201" s="14" t="s">
        <v>1032</v>
      </c>
      <c r="C201" s="13" t="s">
        <v>484</v>
      </c>
    </row>
    <row r="202" spans="1:3">
      <c r="A202" s="13" t="s">
        <v>1794</v>
      </c>
      <c r="B202" s="14" t="s">
        <v>1035</v>
      </c>
      <c r="C202" s="13" t="s">
        <v>355</v>
      </c>
    </row>
    <row r="203" spans="1:3">
      <c r="A203" s="13" t="s">
        <v>1794</v>
      </c>
      <c r="B203" s="14" t="s">
        <v>1038</v>
      </c>
      <c r="C203" s="13" t="s">
        <v>484</v>
      </c>
    </row>
    <row r="204" spans="1:3">
      <c r="A204" s="13" t="s">
        <v>1794</v>
      </c>
      <c r="B204" s="14" t="s">
        <v>1041</v>
      </c>
      <c r="C204" s="13" t="s">
        <v>484</v>
      </c>
    </row>
    <row r="205" spans="1:3">
      <c r="A205" s="13" t="s">
        <v>1794</v>
      </c>
      <c r="B205" s="14" t="s">
        <v>1044</v>
      </c>
      <c r="C205" s="13" t="s">
        <v>484</v>
      </c>
    </row>
    <row r="206" spans="1:3">
      <c r="A206" s="13" t="s">
        <v>1794</v>
      </c>
      <c r="B206" s="14" t="s">
        <v>1047</v>
      </c>
      <c r="C206" s="13" t="s">
        <v>484</v>
      </c>
    </row>
    <row r="207" spans="1:3">
      <c r="A207" s="13" t="s">
        <v>1794</v>
      </c>
      <c r="B207" s="14" t="s">
        <v>1054</v>
      </c>
      <c r="C207" s="13" t="s">
        <v>484</v>
      </c>
    </row>
    <row r="208" spans="1:3">
      <c r="A208" s="13" t="s">
        <v>1795</v>
      </c>
      <c r="B208" s="14" t="s">
        <v>1057</v>
      </c>
      <c r="C208" s="13" t="s">
        <v>518</v>
      </c>
    </row>
    <row r="209" spans="1:3">
      <c r="A209" s="13" t="s">
        <v>1795</v>
      </c>
      <c r="B209" s="14" t="s">
        <v>1064</v>
      </c>
      <c r="C209" s="13" t="s">
        <v>518</v>
      </c>
    </row>
    <row r="210" spans="1:3">
      <c r="A210" s="13" t="s">
        <v>1795</v>
      </c>
      <c r="B210" s="14" t="s">
        <v>1070</v>
      </c>
      <c r="C210" s="13" t="s">
        <v>518</v>
      </c>
    </row>
    <row r="211" spans="1:3">
      <c r="A211" s="13" t="s">
        <v>1795</v>
      </c>
      <c r="B211" s="14" t="s">
        <v>1076</v>
      </c>
      <c r="C211" s="13" t="s">
        <v>518</v>
      </c>
    </row>
    <row r="212" spans="1:3">
      <c r="A212" s="13" t="s">
        <v>1795</v>
      </c>
      <c r="B212" s="14" t="s">
        <v>1082</v>
      </c>
      <c r="C212" s="13" t="s">
        <v>413</v>
      </c>
    </row>
    <row r="213" spans="1:3">
      <c r="A213" s="13" t="s">
        <v>1795</v>
      </c>
      <c r="B213" s="14" t="s">
        <v>1084</v>
      </c>
      <c r="C213" s="13" t="s">
        <v>518</v>
      </c>
    </row>
    <row r="214" spans="1:3">
      <c r="A214" s="13" t="s">
        <v>1795</v>
      </c>
      <c r="B214" s="14" t="s">
        <v>1087</v>
      </c>
      <c r="C214" s="13" t="s">
        <v>485</v>
      </c>
    </row>
    <row r="215" spans="1:3">
      <c r="A215" s="13" t="s">
        <v>1796</v>
      </c>
      <c r="B215" s="14" t="s">
        <v>1100</v>
      </c>
      <c r="C215" s="13" t="s">
        <v>484</v>
      </c>
    </row>
    <row r="216" spans="1:3">
      <c r="A216" s="13" t="s">
        <v>1796</v>
      </c>
      <c r="B216" s="14" t="s">
        <v>1115</v>
      </c>
      <c r="C216" s="13" t="s">
        <v>1780</v>
      </c>
    </row>
    <row r="217" spans="1:3">
      <c r="A217" s="13" t="s">
        <v>1796</v>
      </c>
      <c r="B217" s="14" t="s">
        <v>1123</v>
      </c>
      <c r="C217" s="13" t="s">
        <v>1780</v>
      </c>
    </row>
    <row r="218" spans="1:3">
      <c r="A218" s="13" t="s">
        <v>1651</v>
      </c>
      <c r="B218" s="14" t="s">
        <v>1131</v>
      </c>
      <c r="C218" s="13" t="s">
        <v>484</v>
      </c>
    </row>
    <row r="219" spans="1:3">
      <c r="A219" s="13" t="s">
        <v>1651</v>
      </c>
      <c r="B219" s="14" t="s">
        <v>1134</v>
      </c>
      <c r="C219" s="13" t="s">
        <v>518</v>
      </c>
    </row>
    <row r="220" spans="1:3">
      <c r="A220" s="13" t="s">
        <v>1651</v>
      </c>
      <c r="B220" s="14" t="s">
        <v>1138</v>
      </c>
      <c r="C220" s="13" t="s">
        <v>356</v>
      </c>
    </row>
    <row r="221" spans="1:3">
      <c r="A221" s="13" t="s">
        <v>1651</v>
      </c>
      <c r="B221" s="14" t="s">
        <v>1156</v>
      </c>
      <c r="C221" s="13" t="s">
        <v>484</v>
      </c>
    </row>
    <row r="222" spans="1:3">
      <c r="A222" s="13" t="s">
        <v>1651</v>
      </c>
      <c r="B222" s="14" t="s">
        <v>1182</v>
      </c>
      <c r="C222" s="13" t="s">
        <v>484</v>
      </c>
    </row>
    <row r="223" spans="1:3">
      <c r="A223" s="13" t="s">
        <v>1651</v>
      </c>
      <c r="B223" s="14" t="s">
        <v>1206</v>
      </c>
      <c r="C223" s="13" t="s">
        <v>484</v>
      </c>
    </row>
    <row r="224" spans="1:3">
      <c r="A224" s="13" t="s">
        <v>1651</v>
      </c>
      <c r="B224" s="14" t="s">
        <v>1216</v>
      </c>
      <c r="C224" s="13" t="s">
        <v>484</v>
      </c>
    </row>
    <row r="225" spans="1:3">
      <c r="A225" s="13" t="s">
        <v>1651</v>
      </c>
      <c r="B225" s="14" t="s">
        <v>1226</v>
      </c>
      <c r="C225" s="13" t="s">
        <v>1780</v>
      </c>
    </row>
    <row r="226" spans="1:3">
      <c r="A226" s="13" t="s">
        <v>1651</v>
      </c>
      <c r="B226" s="14" t="s">
        <v>1405</v>
      </c>
      <c r="C226" s="13" t="s">
        <v>484</v>
      </c>
    </row>
    <row r="227" spans="1:3">
      <c r="A227" s="13" t="s">
        <v>1651</v>
      </c>
      <c r="B227" s="14" t="s">
        <v>1409</v>
      </c>
      <c r="C227" s="13" t="s">
        <v>484</v>
      </c>
    </row>
    <row r="228" spans="1:3">
      <c r="A228" s="13" t="s">
        <v>1797</v>
      </c>
      <c r="B228" s="14" t="s">
        <v>1447</v>
      </c>
      <c r="C228" s="13" t="s">
        <v>484</v>
      </c>
    </row>
    <row r="229" spans="1:3">
      <c r="A229" s="13" t="s">
        <v>1797</v>
      </c>
      <c r="B229" s="14" t="s">
        <v>1471</v>
      </c>
      <c r="C229" s="13" t="s">
        <v>355</v>
      </c>
    </row>
    <row r="230" spans="1:3">
      <c r="A230" s="13" t="s">
        <v>1797</v>
      </c>
      <c r="B230" s="14" t="s">
        <v>1473</v>
      </c>
      <c r="C230" s="13" t="s">
        <v>484</v>
      </c>
    </row>
    <row r="231" spans="1:3">
      <c r="A231" s="13" t="s">
        <v>1797</v>
      </c>
      <c r="B231" s="14" t="s">
        <v>1492</v>
      </c>
      <c r="C231" s="13" t="s">
        <v>484</v>
      </c>
    </row>
    <row r="232" spans="1:3">
      <c r="A232" s="13" t="s">
        <v>1797</v>
      </c>
      <c r="B232" s="14" t="s">
        <v>1499</v>
      </c>
      <c r="C232" s="13" t="s">
        <v>484</v>
      </c>
    </row>
    <row r="233" spans="1:3">
      <c r="A233" s="13" t="s">
        <v>1797</v>
      </c>
      <c r="B233" s="14" t="s">
        <v>1506</v>
      </c>
      <c r="C233" s="13" t="s">
        <v>1780</v>
      </c>
    </row>
    <row r="234" spans="1:3">
      <c r="A234" s="13" t="s">
        <v>1797</v>
      </c>
      <c r="B234" s="14" t="s">
        <v>1522</v>
      </c>
      <c r="C234" s="13" t="s">
        <v>484</v>
      </c>
    </row>
    <row r="235" spans="1:3">
      <c r="A235" s="13" t="s">
        <v>1798</v>
      </c>
      <c r="B235" s="14" t="s">
        <v>1537</v>
      </c>
      <c r="C235" s="13" t="s">
        <v>1780</v>
      </c>
    </row>
    <row r="236" spans="1:3">
      <c r="A236" s="13" t="s">
        <v>1799</v>
      </c>
      <c r="B236" s="14" t="s">
        <v>1553</v>
      </c>
      <c r="C236" s="13" t="s">
        <v>1780</v>
      </c>
    </row>
    <row r="237" spans="1:3">
      <c r="A237" s="13" t="s">
        <v>1799</v>
      </c>
      <c r="B237" s="14" t="s">
        <v>1560</v>
      </c>
      <c r="C237" s="13" t="s">
        <v>1780</v>
      </c>
    </row>
    <row r="238" spans="1:3">
      <c r="A238" s="13" t="s">
        <v>1799</v>
      </c>
      <c r="B238" s="14" t="s">
        <v>1618</v>
      </c>
      <c r="C238" s="13" t="s">
        <v>485</v>
      </c>
    </row>
    <row r="239" spans="1:3">
      <c r="A239" s="13" t="s">
        <v>1800</v>
      </c>
      <c r="B239" s="14" t="s">
        <v>1657</v>
      </c>
      <c r="C239" s="13" t="s">
        <v>1780</v>
      </c>
    </row>
    <row r="240" spans="1:3">
      <c r="A240" s="13" t="s">
        <v>1800</v>
      </c>
      <c r="B240" s="14" t="s">
        <v>1660</v>
      </c>
      <c r="C240" s="13" t="s">
        <v>485</v>
      </c>
    </row>
    <row r="241" spans="1:3">
      <c r="A241" s="13" t="s">
        <v>1801</v>
      </c>
      <c r="B241" s="14" t="s">
        <v>1664</v>
      </c>
      <c r="C241" s="13" t="s">
        <v>484</v>
      </c>
    </row>
    <row r="242" spans="1:3">
      <c r="A242" s="13" t="s">
        <v>1801</v>
      </c>
      <c r="B242" s="14" t="s">
        <v>1679</v>
      </c>
      <c r="C242" s="13" t="s">
        <v>413</v>
      </c>
    </row>
    <row r="243" spans="1:3">
      <c r="A243" s="13" t="s">
        <v>1801</v>
      </c>
      <c r="B243" s="14" t="s">
        <v>1684</v>
      </c>
      <c r="C243" s="13" t="s">
        <v>355</v>
      </c>
    </row>
    <row r="244" spans="1:3">
      <c r="A244" s="13" t="s">
        <v>1801</v>
      </c>
      <c r="B244" s="14" t="s">
        <v>1689</v>
      </c>
      <c r="C244" s="13" t="s">
        <v>484</v>
      </c>
    </row>
    <row r="245" spans="1:3">
      <c r="A245" s="13" t="s">
        <v>1801</v>
      </c>
      <c r="B245" s="14" t="s">
        <v>1724</v>
      </c>
      <c r="C245" s="13" t="s">
        <v>413</v>
      </c>
    </row>
    <row r="246" spans="1:3">
      <c r="A246" s="13" t="s">
        <v>1801</v>
      </c>
      <c r="B246" s="14" t="s">
        <v>1728</v>
      </c>
      <c r="C246" s="13" t="s">
        <v>413</v>
      </c>
    </row>
    <row r="247" spans="1:3">
      <c r="A247" s="13" t="s">
        <v>1802</v>
      </c>
      <c r="B247" s="14" t="s">
        <v>1730</v>
      </c>
      <c r="C247" s="13" t="s">
        <v>1780</v>
      </c>
    </row>
    <row r="248" spans="1:3">
      <c r="A248" s="13" t="s">
        <v>1802</v>
      </c>
      <c r="B248" s="14" t="s">
        <v>1738</v>
      </c>
      <c r="C248" s="13" t="s">
        <v>1780</v>
      </c>
    </row>
    <row r="249" spans="1:3">
      <c r="A249" s="13" t="s">
        <v>1805</v>
      </c>
      <c r="B249" s="14" t="s">
        <v>1803</v>
      </c>
      <c r="C249" s="13" t="s">
        <v>1804</v>
      </c>
    </row>
    <row r="251" spans="1:3" ht="21" customHeight="1">
      <c r="A251" s="1" t="s">
        <v>1806</v>
      </c>
    </row>
    <row r="252" spans="1:3">
      <c r="A252" s="2" t="s">
        <v>1807</v>
      </c>
    </row>
    <row r="253" spans="1:3">
      <c r="A253" s="2" t="s">
        <v>1808</v>
      </c>
    </row>
    <row r="254" spans="1:3">
      <c r="A254" s="2" t="s">
        <v>1809</v>
      </c>
    </row>
    <row r="255" spans="1:3">
      <c r="A255" s="2" t="s">
        <v>1810</v>
      </c>
    </row>
    <row r="256" spans="1:3">
      <c r="A256" s="2" t="s">
        <v>1811</v>
      </c>
    </row>
    <row r="257" spans="1:1">
      <c r="A257" s="2" t="s">
        <v>1812</v>
      </c>
    </row>
    <row r="258" spans="1:1">
      <c r="A258" s="2" t="s">
        <v>1813</v>
      </c>
    </row>
    <row r="259" spans="1:1">
      <c r="A259" s="2" t="s">
        <v>1814</v>
      </c>
    </row>
    <row r="260" spans="1:1">
      <c r="A260" s="2" t="s">
        <v>1815</v>
      </c>
    </row>
    <row r="261" spans="1:1">
      <c r="A261" s="2" t="s">
        <v>1816</v>
      </c>
    </row>
    <row r="262" spans="1:1">
      <c r="A262" s="2" t="s">
        <v>1817</v>
      </c>
    </row>
    <row r="263" spans="1:1">
      <c r="A263" s="2" t="s">
        <v>1818</v>
      </c>
    </row>
    <row r="264" spans="1:1">
      <c r="A264" s="2" t="s">
        <v>1819</v>
      </c>
    </row>
    <row r="265" spans="1:1">
      <c r="A265" s="2" t="s">
        <v>1820</v>
      </c>
    </row>
    <row r="266" spans="1:1">
      <c r="A266" s="2" t="s">
        <v>1821</v>
      </c>
    </row>
    <row r="267" spans="1:1">
      <c r="A267" s="2" t="s">
        <v>1822</v>
      </c>
    </row>
    <row r="268" spans="1:1">
      <c r="A268" s="2" t="s">
        <v>1823</v>
      </c>
    </row>
    <row r="269" spans="1:1">
      <c r="A269" s="2" t="s">
        <v>1824</v>
      </c>
    </row>
    <row r="270" spans="1:1">
      <c r="A270" s="2" t="s">
        <v>1825</v>
      </c>
    </row>
    <row r="271" spans="1:1">
      <c r="A271" s="2" t="s">
        <v>1826</v>
      </c>
    </row>
    <row r="272" spans="1:1">
      <c r="A272" s="2" t="s">
        <v>1827</v>
      </c>
    </row>
    <row r="273" spans="1:1">
      <c r="A273" s="2" t="s">
        <v>1828</v>
      </c>
    </row>
    <row r="274" spans="1:1">
      <c r="A274" s="2" t="s">
        <v>1829</v>
      </c>
    </row>
    <row r="275" spans="1:1">
      <c r="A275" s="2" t="s">
        <v>1830</v>
      </c>
    </row>
    <row r="276" spans="1:1">
      <c r="A276" s="2" t="s">
        <v>1831</v>
      </c>
    </row>
    <row r="277" spans="1:1">
      <c r="A277" s="2" t="s">
        <v>1832</v>
      </c>
    </row>
    <row r="278" spans="1:1">
      <c r="A278" s="2" t="s">
        <v>1833</v>
      </c>
    </row>
    <row r="279" spans="1:1">
      <c r="A279" s="2" t="s">
        <v>1834</v>
      </c>
    </row>
    <row r="280" spans="1:1">
      <c r="A280" s="2" t="s">
        <v>1835</v>
      </c>
    </row>
    <row r="281" spans="1:1">
      <c r="A281" s="2" t="s">
        <v>1836</v>
      </c>
    </row>
    <row r="282" spans="1:1">
      <c r="A282" s="2" t="s">
        <v>1837</v>
      </c>
    </row>
    <row r="283" spans="1:1">
      <c r="A283" s="2" t="s">
        <v>1838</v>
      </c>
    </row>
    <row r="284" spans="1:1">
      <c r="A284" s="2" t="s">
        <v>1839</v>
      </c>
    </row>
    <row r="285" spans="1:1">
      <c r="A285" s="2" t="s">
        <v>1840</v>
      </c>
    </row>
    <row r="286" spans="1:1">
      <c r="A286" s="2" t="s">
        <v>1841</v>
      </c>
    </row>
    <row r="287" spans="1:1">
      <c r="A287" s="2" t="s">
        <v>1842</v>
      </c>
    </row>
    <row r="288" spans="1:1">
      <c r="A288" s="2" t="s">
        <v>1843</v>
      </c>
    </row>
    <row r="289" spans="1:1">
      <c r="A289" s="2" t="s">
        <v>1844</v>
      </c>
    </row>
    <row r="290" spans="1:1">
      <c r="A290" s="2" t="s">
        <v>1845</v>
      </c>
    </row>
    <row r="291" spans="1:1">
      <c r="A291" s="2" t="s">
        <v>1846</v>
      </c>
    </row>
    <row r="292" spans="1:1">
      <c r="A292" s="2" t="s">
        <v>1847</v>
      </c>
    </row>
    <row r="293" spans="1:1">
      <c r="A293" s="2" t="s">
        <v>1848</v>
      </c>
    </row>
    <row r="294" spans="1:1">
      <c r="A294" s="2" t="s">
        <v>1849</v>
      </c>
    </row>
    <row r="295" spans="1:1">
      <c r="A295" s="2" t="s">
        <v>1850</v>
      </c>
    </row>
    <row r="296" spans="1:1">
      <c r="A296" s="2" t="s">
        <v>1851</v>
      </c>
    </row>
    <row r="297" spans="1:1">
      <c r="A297" s="2" t="s">
        <v>1852</v>
      </c>
    </row>
    <row r="298" spans="1:1">
      <c r="A298" s="2" t="s">
        <v>1853</v>
      </c>
    </row>
    <row r="299" spans="1:1">
      <c r="A299" s="2" t="s">
        <v>1854</v>
      </c>
    </row>
    <row r="300" spans="1:1">
      <c r="A300" s="2" t="s">
        <v>1855</v>
      </c>
    </row>
    <row r="301" spans="1:1">
      <c r="A301" s="2" t="s">
        <v>1856</v>
      </c>
    </row>
    <row r="302" spans="1:1">
      <c r="A302" s="2" t="s">
        <v>1857</v>
      </c>
    </row>
    <row r="303" spans="1:1">
      <c r="A303" s="2" t="s">
        <v>1858</v>
      </c>
    </row>
    <row r="304" spans="1:1">
      <c r="A304" s="2" t="s">
        <v>1859</v>
      </c>
    </row>
    <row r="305" spans="1:1">
      <c r="A305" s="2" t="s">
        <v>1860</v>
      </c>
    </row>
    <row r="306" spans="1:1">
      <c r="A306" s="2" t="s">
        <v>1861</v>
      </c>
    </row>
    <row r="307" spans="1:1">
      <c r="A307" s="2" t="s">
        <v>1862</v>
      </c>
    </row>
    <row r="308" spans="1:1">
      <c r="A308" s="2" t="s">
        <v>1863</v>
      </c>
    </row>
    <row r="309" spans="1:1">
      <c r="A309" s="2" t="s">
        <v>1864</v>
      </c>
    </row>
    <row r="310" spans="1:1">
      <c r="A310" s="2" t="s">
        <v>1865</v>
      </c>
    </row>
    <row r="311" spans="1:1">
      <c r="A311" s="2" t="s">
        <v>1866</v>
      </c>
    </row>
    <row r="312" spans="1:1">
      <c r="A312" s="2" t="s">
        <v>1867</v>
      </c>
    </row>
    <row r="313" spans="1:1">
      <c r="A313" s="2" t="s">
        <v>1868</v>
      </c>
    </row>
    <row r="314" spans="1:1">
      <c r="A314" s="2" t="s">
        <v>1869</v>
      </c>
    </row>
    <row r="315" spans="1:1">
      <c r="A315" s="2" t="s">
        <v>1870</v>
      </c>
    </row>
    <row r="316" spans="1:1">
      <c r="A316" s="2" t="s">
        <v>1871</v>
      </c>
    </row>
    <row r="317" spans="1:1">
      <c r="A317" s="2" t="s">
        <v>1872</v>
      </c>
    </row>
    <row r="318" spans="1:1">
      <c r="A318" s="2" t="s">
        <v>1873</v>
      </c>
    </row>
    <row r="319" spans="1:1">
      <c r="A319" s="2" t="s">
        <v>1874</v>
      </c>
    </row>
    <row r="320" spans="1:1">
      <c r="A320" s="2" t="s">
        <v>1875</v>
      </c>
    </row>
    <row r="321" spans="1:1">
      <c r="A321" s="2"/>
    </row>
    <row r="322" spans="1:1">
      <c r="A322" s="2" t="s">
        <v>1876</v>
      </c>
    </row>
  </sheetData>
  <sheetProtection sheet="1" objects="1" scenarios="1" sort="0" autoFilter="0"/>
  <autoFilter ref="A27:C249"/>
  <hyperlinks>
    <hyperlink ref="B28" location="'Input'!B6" display="1000. Company, charging year, data version"/>
    <hyperlink ref="B29" location="'Input'!B11" display="1001. CDCM target revenue"/>
    <hyperlink ref="B30" location="'Input'!B57" display="1010. Financial and general assumptions"/>
    <hyperlink ref="B31" location="'Input'!B67" display="1017. Diversity allowance between top and bottom of network level"/>
    <hyperlink ref="B32" location="'Input'!B79" display="1018. Proportion of relevant load going through 132kV/HV direct transformation"/>
    <hyperlink ref="B33" location="'Input'!B84" display="1019. Network model GSP peak demand (MW)"/>
    <hyperlink ref="B34" location="'Input'!B89" display="1020. Gross asset cost by network level (£)"/>
    <hyperlink ref="B35" location="'Input'!B101" display="1022. LV service model asset cost (£)"/>
    <hyperlink ref="B36" location="'Input'!B106" display="1023. HV service model asset cost (£)"/>
    <hyperlink ref="B37" location="'Input'!B111" display="1025. Matrix of applicability of LV service models to tariffs with fixed charges"/>
    <hyperlink ref="B38" location="'Input'!B131" display="1026. Matrix of applicability of LV service models to unmetered tariffs"/>
    <hyperlink ref="B39" location="'Input'!B136" display="1028. Matrix of applicability of HV service models to tariffs with fixed charges"/>
    <hyperlink ref="B40" location="'Input'!B144" display="1032. Loss adjustment factors to transmission"/>
    <hyperlink ref="B41" location="'Input'!B150" display="1037. Embedded network (LDNO) discounts"/>
    <hyperlink ref="B42" location="'Input'!B156" display="1041. Load profile data for demand users"/>
    <hyperlink ref="B43" location="'Input'!B179" display="1053. Volume forecasts for the charging year"/>
    <hyperlink ref="B44" location="'Input'!B273" display="1055. Transmission exit charges (£/year)"/>
    <hyperlink ref="B45" location="'Input'!B278" display="1059. Other expenditure"/>
    <hyperlink ref="B46" location="'Input'!B286" display="1060. Customer contributions under current connection charging policy"/>
    <hyperlink ref="B47" location="'Input'!B294" display="1061. Average split of rate 1 units by distribution time band"/>
    <hyperlink ref="B48" location="'Input'!B304" display="1062. Average split of rate 2 units by distribution time band"/>
    <hyperlink ref="B49" location="'Input'!B310" display="1064. Average split of rate 1 units by special distribution time band"/>
    <hyperlink ref="B50" location="'Input'!B320" display="1066. Typical annual hours by special distribution time band"/>
    <hyperlink ref="B51" location="'Input'!B327" display="1068. Typical annual hours by distribution time band"/>
    <hyperlink ref="B52" location="'Input'!B334" display="1069. Peaking probabilities by network level"/>
    <hyperlink ref="B53" location="'Input'!B349" display="1092. Average kVAr by kVA, by network level"/>
    <hyperlink ref="B54" location="'Input'!B354" display="1201. Current tariff information"/>
    <hyperlink ref="B55" location="'LAFs'!B13" display="2001. Loss adjustment factors to transmission"/>
    <hyperlink ref="B56" location="'LAFs'!B41" display="2002. Mapping of DRM network levels to core network levels"/>
    <hyperlink ref="B57" location="'LAFs'!B57" display="2003. Loss adjustment factor to transmission for each DRM network level"/>
    <hyperlink ref="B58" location="'LAFs'!B73" display="2004. Loss adjustment factor to transmission for each network level"/>
    <hyperlink ref="B59" location="'LAFs'!B81" display="2005. Network use factors"/>
    <hyperlink ref="B60" location="'LAFs'!B112" display="2006. Proportion going through 132kV/EHV"/>
    <hyperlink ref="B61" location="'LAFs'!B120" display="2007. Proportion going through EHV"/>
    <hyperlink ref="B62" location="'LAFs'!B128" display="2008. Proportion going through EHV/HV"/>
    <hyperlink ref="B63" location="'LAFs'!B141" display="2009. Rerouteing matrix for all network levels"/>
    <hyperlink ref="B64" location="'LAFs'!B158" display="2010. Network use factors: interim step in calculations before adjustments"/>
    <hyperlink ref="B65" location="'LAFs'!B191" display="2011. Network use factors for all tariffs"/>
    <hyperlink ref="B66" location="'LAFs'!B224" display="2012. Loss adjustment factors between end user meter reading and each network level, scaled by network use"/>
    <hyperlink ref="B67" location="'DRM'!B11" display="2101. Annuity rate"/>
    <hyperlink ref="B68" location="'DRM'!B20" display="2102. Loss adjustment factor to transmission for each core level"/>
    <hyperlink ref="B69" location="'DRM'!B30" display="2103. Loss adjustment factors"/>
    <hyperlink ref="B70" location="'DRM'!B47" display="2104. Diversity calculations"/>
    <hyperlink ref="B71" location="'DRM'!B63" display="2105. Network model total maximum demand at substation (MW)"/>
    <hyperlink ref="B72" location="'DRM'!B79" display="2106. Network model contribution to system maximum load measured at network level exit (MW)"/>
    <hyperlink ref="B73" location="'DRM'!B97" display="2107. Rerouteing matrix for DRM network levels"/>
    <hyperlink ref="B74" location="'DRM'!B112" display="2108. GSP simultaneous maximum load assumed through each network level (MW)"/>
    <hyperlink ref="B75" location="'DRM'!B129" display="2109. Network model annuity by simultaneous maximum load for each network level (£/kW/year)"/>
    <hyperlink ref="B76" location="'SM'!B10" display="2201. Asset £/customer from LV service models"/>
    <hyperlink ref="B77" location="'SM'!B32" display="2202. LV unmetered service model assets £/(MWh/year)"/>
    <hyperlink ref="B78" location="'SM'!B42" display="2203. LV unmetered service model asset charge (p/kWh)"/>
    <hyperlink ref="B79" location="'SM'!B51" display="2204. Asset £/customer from HV service models"/>
    <hyperlink ref="B80" location="'SM'!B62" display="2205. Service model assets by tariff (£)"/>
    <hyperlink ref="B81" location="'SM'!B99" display="2206. Replacement annuities for service models"/>
    <hyperlink ref="B82" location="'Loads'!B18" display="2301. Demand coefficient (load at time of system maximum load divided by average load)"/>
    <hyperlink ref="B83" location="'Loads'!B42" display="2302. Load coefficient"/>
    <hyperlink ref="B84" location="'Loads'!B70" display="2303. Discount map"/>
    <hyperlink ref="B85" location="'Loads'!B177" display="2304. LDNO discounts and volumes adjusted for discount"/>
    <hyperlink ref="B86" location="'Loads'!B279" display="2305. Equivalent volume for each end user"/>
    <hyperlink ref="B87" location="'Multi'!B12" display="2401. Adjust annual hours by distribution time band to match days in year"/>
    <hyperlink ref="B88" location="'Multi'!B25" display="2402. Normalisation of split of rate 1 units by time band"/>
    <hyperlink ref="B89" location="'Multi'!B39" display="2403. Split of rate 1 units between distribution time bands"/>
    <hyperlink ref="B90" location="'Multi'!B65" display="2404. Normalisation of split of rate 2 units by time band"/>
    <hyperlink ref="B91" location="'Multi'!B75" display="2405. Split of rate 2 units between distribution time bands"/>
    <hyperlink ref="B92" location="'Multi'!B89" display="2406. Split of rate 3 units between distribution time bands (default)"/>
    <hyperlink ref="B93" location="'Multi'!B106" display="2407. All units (MWh)"/>
    <hyperlink ref="B94" location="'Multi'!B144" display="2408. Calculation of implied load coefficients for one-rate users"/>
    <hyperlink ref="B95" location="'Multi'!B162" display="2409. Calculation of implied load coefficients for two-rate users"/>
    <hyperlink ref="B96" location="'Multi'!B182" display="2410. Calculation of implied load coefficients for three-rate users"/>
    <hyperlink ref="B97" location="'Multi'!B199" display="2411. Calculation of adjusted time band load coefficients"/>
    <hyperlink ref="B98" location="'Multi'!B225" display="2412. Normalisation of peaking probabilities"/>
    <hyperlink ref="B99" location="'Multi'!B241" display="2413. Peaking probabilities by network level (reshaped)"/>
    <hyperlink ref="B100" location="'Multi'!B252" display="2414. Pseudo load coefficient by time band and network level"/>
    <hyperlink ref="B101" location="'Multi'!B273" display="2415. Single rate non half hourly pseudo timeband load coefficients"/>
    <hyperlink ref="B102" location="'Multi'!B282" display="2416. Single rate non half hourly units (MWh)"/>
    <hyperlink ref="B103" location="'Multi'!B291" display="2417. Single rate non half hourly timeband use"/>
    <hyperlink ref="B104" location="'Multi'!B301" display="2418. Single rate non half hourly tariff pseudo load coefficient"/>
    <hyperlink ref="B105" location="'Multi'!B310" display="2419. Multi rate non half hourly units (MWh)"/>
    <hyperlink ref="B106" location="'Multi'!B319" display="2420. Multi rate non half hourly pseudo timeband load coefficients"/>
    <hyperlink ref="B107" location="'Multi'!B328" display="2421. Multi rate non half hourly timeband use"/>
    <hyperlink ref="B108" location="'Multi'!B338" display="2422. Multi rate non half hourly tariff pseudo load coefficient"/>
    <hyperlink ref="B109" location="'Multi'!B347" display="2423. Off-peak non half hourly units (MWh)"/>
    <hyperlink ref="B110" location="'Multi'!B356" display="2424. Off-peak non half hourly pseudo timeband load coefficients"/>
    <hyperlink ref="B111" location="'Multi'!B365" display="2425. Off-peak non half hourly timeband use"/>
    <hyperlink ref="B112" location="'Multi'!B375" display="2426. Off-peak non half hourly tariff pseudo load coefficient"/>
    <hyperlink ref="B113" location="'Multi'!B384" display="2427. Aggregated half hourly units (MWh)"/>
    <hyperlink ref="B114" location="'Multi'!B393" display="2428. Aggregated half hourly pseudo timeband load coefficients"/>
    <hyperlink ref="B115" location="'Multi'!B402" display="2429. Aggregated half hourly timeband use"/>
    <hyperlink ref="B116" location="'Multi'!B412" display="2430. Aggregated half hourly tariff pseudo load coefficient"/>
    <hyperlink ref="B117" location="'Multi'!B426" display="2431. Average non half hourly tariff pseudo load coefficient"/>
    <hyperlink ref="B118" location="'Multi'!B440" display="2432. Average non half hourly timeband use"/>
    <hyperlink ref="B119" location="'Multi'!B450" display="2433. Aggregated half hourly tariff pseudo load coefficient using average non half hourly unit mix"/>
    <hyperlink ref="B120" location="'Multi'!B460" display="2434. Relative correction factor for aggregated half hourly tariff"/>
    <hyperlink ref="B121" location="'Multi'!B477" display="2435. Correction factor for non half hourly tariffs"/>
    <hyperlink ref="B122" location="'Multi'!B487" display="2436. Single rate non half hourly corrected pseudo timeband load coefficient"/>
    <hyperlink ref="B123" location="'Multi'!B497" display="2437. Multi rate non half hourly corrected pseudo timeband load coefficient"/>
    <hyperlink ref="B124" location="'Multi'!B507" display="2438. Off-peak non half hourly corrected pseudo timeband load coefficient"/>
    <hyperlink ref="B125" location="'Multi'!B518" display="2439. Aggregated half hourly corrected pseudo timeband load coefficient"/>
    <hyperlink ref="B126" location="'Multi'!B531" display="2440. Pseudo load coefficient by time band and network level (equalised)"/>
    <hyperlink ref="B127" location="'Multi'!B553" display="2441. Unit rate 1 pseudo load coefficient by network level"/>
    <hyperlink ref="B128" location="'Multi'!B575" display="2442. Unit rate 2 pseudo load coefficient by network level"/>
    <hyperlink ref="B129" location="'Multi'!B593" display="2443. Unit rate 3 pseudo load coefficient by network level"/>
    <hyperlink ref="B130" location="'Multi'!B612" display="2444. Adjust annual hours by special distribution time band to match days in year"/>
    <hyperlink ref="B131" location="'Multi'!B625" display="2445. Normalisation of split of rate 1 units by special time band"/>
    <hyperlink ref="B132" location="'Multi'!B637" display="2446. Split of rate 1 units between special distribution time bands"/>
    <hyperlink ref="B133" location="'Multi'!B646" display="2447. Split of rate 2 units between special distribution time bands (default)"/>
    <hyperlink ref="B134" location="'Multi'!B651" display="2448. Split of rate 3 units between special distribution time bands (default)"/>
    <hyperlink ref="B135" location="'Multi'!B666" display="2449. Calculation of implied special load coefficients for one-rate users"/>
    <hyperlink ref="B136" location="'Multi'!B688" display="2450. Calculation of implied special load coefficients for three-rate users"/>
    <hyperlink ref="B137" location="'Multi'!B702" display="2451. Estimated contributions to peak demand"/>
    <hyperlink ref="B138" location="'Multi'!B715" display="2452. Load coefficient correction factor for the group"/>
    <hyperlink ref="B139" location="'Multi'!B733" display="2453. Calculation of special peaking probabilities"/>
    <hyperlink ref="B140" location="'Multi'!B751" display="2454. Special peaking probabilities by network level"/>
    <hyperlink ref="B141" location="'Multi'!B767" display="2455. Special peaking probabilities by network level (reshaped)"/>
    <hyperlink ref="B142" location="'Multi'!B778" display="2456. Pseudo load coefficient by special time band and network level"/>
    <hyperlink ref="B143" location="'Multi'!B787" display="2457. Unit rate 1 pseudo load coefficient by network level (special)"/>
    <hyperlink ref="B144" location="'Multi'!B800" display="2458. Unit rate 2 pseudo load coefficient by network level (special)"/>
    <hyperlink ref="B145" location="'Multi'!B809" display="2459. Unit rate 3 pseudo load coefficient by network level (special)"/>
    <hyperlink ref="B146" location="'Multi'!B818" display="2460. Unit rate 1 pseudo load coefficient by network level (combined)"/>
    <hyperlink ref="B147" location="'Multi'!B845" display="2461. Unit rate 2 pseudo load coefficient by network level (combined)"/>
    <hyperlink ref="B148" location="'Multi'!B864" display="2462. Unit rate 3 pseudo load coefficient by network level (combined)"/>
    <hyperlink ref="B149" location="'SMD'!B11" display="2501. Contributions of users on one-rate multi tariffs to system simultaneous maximum load by network level (kW)"/>
    <hyperlink ref="B150" location="'SMD'!B31" display="2502. Contributions of users on two-rate multi tariffs to system simultaneous maximum load by network level (kW)"/>
    <hyperlink ref="B151" location="'SMD'!B47" display="2503. Contributions of users on three-rate multi tariffs to system simultaneous maximum load by network level (kW)"/>
    <hyperlink ref="B152" location="'SMD'!B66" display="2504. Estimated contributions of users on each tariff to system simultaneous maximum load by network level (kW)"/>
    <hyperlink ref="B153" location="'SMD'!B100" display="2505. Contributions of users on each tariff to system simultaneous maximum load by network level (kW)"/>
    <hyperlink ref="B154" location="'SMD'!B131" display="2506. Forecast system simultaneous maximum load (kW) from forecast units"/>
    <hyperlink ref="B155" location="'AMD'!B12" display="2601. Pre-processing of data for standing charge factors"/>
    <hyperlink ref="B156" location="'AMD'!B37" display="2602. Standing charges factors adapted to use 132kV/HV"/>
    <hyperlink ref="B157" location="'AMD'!B63" display="2603. Capacity-based contributions to chargeable aggregate maximum load by network level (kW)"/>
    <hyperlink ref="B158" location="'AMD'!B77" display="2604. Unit-based contributions to chargeable aggregate maximum load (kW)"/>
    <hyperlink ref="B159" location="'AMD'!B91" display="2605. Contributions to aggregate maximum load by network level (kW)"/>
    <hyperlink ref="B160" location="'AMD'!B107" display="2606. Forecast chargeable aggregate maximum load (kW)"/>
    <hyperlink ref="B161" location="'AMD'!B116" display="2607. Forecast simultaneous load subject to standing charge factors (kW)"/>
    <hyperlink ref="B162" location="'AMD'!B139" display="2608. Forecast simultaneous load replaced by standing charge (kW)"/>
    <hyperlink ref="B163" location="'AMD'!B148" display="2609. Calculated LV diversity allowance"/>
    <hyperlink ref="B164" location="'AMD'!B153" display="2610. Network level mapping for diversity allowances"/>
    <hyperlink ref="B165" location="'AMD'!B169" display="2611. Diversity allowances including 132kV/HV"/>
    <hyperlink ref="B166" location="'AMD'!B186" display="2612. Diversity allowances (including calculated LV value)"/>
    <hyperlink ref="B167" location="'AMD'!B197" display="2613. Forecast simultaneous maximum load (kW) adjusted for standing charges"/>
    <hyperlink ref="B168" location="'Otex'!B9" display="2701. Operating expenditure coded by network level (£/year)"/>
    <hyperlink ref="B169" location="'Otex'!B19" display="2702. Network model assets (£) scaled by load forecast"/>
    <hyperlink ref="B170" location="'Otex'!B27" display="2703. Annual consumption by tariff for unmetered users (MWh)"/>
    <hyperlink ref="B171" location="'Otex'!B39" display="2704. Total unmetered units"/>
    <hyperlink ref="B172" location="'Otex'!B55" display="2705. Service model asset data"/>
    <hyperlink ref="B173" location="'Otex'!B67" display="2706. Data for allocation of operating expenditure"/>
    <hyperlink ref="B174" location="'Otex'!B78" display="2707. Amount of expenditure to be allocated according to asset values (£/year)"/>
    <hyperlink ref="B175" location="'Otex'!B89" display="2708. Total operating expenditure by network level  (£/year)"/>
    <hyperlink ref="B176" location="'Otex'!B98" display="2709. Operating expenditure percentage by network level"/>
    <hyperlink ref="B177" location="'Otex'!B107" display="2710. Unit operating expenditure based on simultaneous maximum load (£/kW/year)"/>
    <hyperlink ref="B178" location="'Otex'!B120" display="2711. Operating expenditure for customer assets p/MPAN/day"/>
    <hyperlink ref="B179" location="'Otex'!B152" display="2712. Operating expenditure for unmetered customer assets (p/kWh)"/>
    <hyperlink ref="B180" location="'Contrib'!B6" display="2801. Network level of supply (for customer contributions) by tariff"/>
    <hyperlink ref="B181" location="'Contrib'!B38" display="2802. Contribution proportion of asset annuities, by customer type and network level of assets"/>
    <hyperlink ref="B182" location="'Contrib'!B54" display="2803. Proportion of assets annuities deemed to be covered by customer contributions"/>
    <hyperlink ref="B183" location="'Contrib'!B87" display="2804. Proportion of annual charge covered by contributions (for all charging levels)"/>
    <hyperlink ref="B184" location="'Yard'!B10" display="2901. Unit cost at each level, £/kW/year (relative to system simultaneous maximum load)"/>
    <hyperlink ref="B185" location="'Yard'!B22" display="2902. Pay-as-you-go yardstick unit costs by charging level (p/kWh)"/>
    <hyperlink ref="B186" location="'Yard'!B57" display="2903. Contributions to pay-as-you-go unit rate 1 (p/kWh)"/>
    <hyperlink ref="B187" location="'Yard'!B87" display="2904. Contributions to pay-as-you-go unit rate 2 (p/kWh)"/>
    <hyperlink ref="B188" location="'Yard'!B109" display="2905. Contributions to pay-as-you-go unit rate 3 (p/kWh)"/>
    <hyperlink ref="B189" location="'Standing'!B10" display="3001. Costs based on aggregate maximum load (£/kW/year)"/>
    <hyperlink ref="B190" location="'Standing'!B24" display="3002. Capacity elements p/kVA/day"/>
    <hyperlink ref="B191" location="'Standing'!B48" display="3003. Yardstick components p/kWh (taking account of standing charges)"/>
    <hyperlink ref="B192" location="'Standing'!B72" display="3004. Contributions to unit rate 1 p/kWh by network level (taking account of standing charges)"/>
    <hyperlink ref="B193" location="'Standing'!B96" display="3005. Contributions to unit rate 2 p/kWh by network level (taking account of standing charges)"/>
    <hyperlink ref="B194" location="'Standing'!B112" display="3006. Contributions to unit rate 3 p/kWh by network level (taking account of standing charges)"/>
    <hyperlink ref="B195" location="'AggCap'!B6" display="3101. Mapping of tariffs to tariff groups"/>
    <hyperlink ref="B196" location="'AggCap'!B23" display="3102. Capacity use for tariffs charged for capacity on an exit point basis"/>
    <hyperlink ref="B197" location="'AggCap'!B37" display="3103. Aggregate capacity (kW)"/>
    <hyperlink ref="B198" location="'AggCap'!B46" display="3104. Aggregate number of users charged for capacity on an exit point basis"/>
    <hyperlink ref="B199" location="'AggCap'!B56" display="3105. Average maximum kVA by exit point"/>
    <hyperlink ref="B200" location="'AggCap'!B65" display="3106. Deemed average maximum kVA for each tariff"/>
    <hyperlink ref="B201" location="'AggCap'!B79" display="3107. Capacity-driven fixed charge elements from standing charges factors p/MPAN/day"/>
    <hyperlink ref="B202" location="'Reactive'!B7" display="3201. Network use factors for generator reactive unit charges"/>
    <hyperlink ref="B203" location="'Reactive'!B20" display="3202. Standard components p/kWh for reactive power (absolute value)"/>
    <hyperlink ref="B204" location="'Reactive'!B32" display="3203. Standard reactive p/kVArh"/>
    <hyperlink ref="B205" location="'Reactive'!B42" display="3204. Absolute value of load coefficient (kW peak / average kW)"/>
    <hyperlink ref="B206" location="'Reactive'!B61" display="3205. Pay-as-you-go components p/kWh for reactive power (absolute value)"/>
    <hyperlink ref="B207" location="'Reactive'!B76" display="3206. Pay-as-you-go reactive p/kVArh"/>
    <hyperlink ref="B208" location="'Aggreg'!B14" display="3301. Unit rate 1 p/kWh (elements)"/>
    <hyperlink ref="B209" location="'Aggreg'!B49" display="3302. Unit rate 2 p/kWh (elements)"/>
    <hyperlink ref="B210" location="'Aggreg'!B84" display="3303. Unit rate 3 p/kWh (elements)"/>
    <hyperlink ref="B211" location="'Aggreg'!B119" display="3304. Fixed charge p/MPAN/day (elements)"/>
    <hyperlink ref="B212" location="'Aggreg'!B150" display="3305. Capacity charge p/kVA/day (elements)"/>
    <hyperlink ref="B213" location="'Aggreg'!B182" display="3306. Reactive power charge p/kVArh (elements)"/>
    <hyperlink ref="B214" location="'Aggreg'!B219" display="3307. Summary of charges before revenue matching"/>
    <hyperlink ref="B215" location="'Revenue'!B20" display="3401. Net revenues by tariff before matching (£)"/>
    <hyperlink ref="B216" location="'Revenue'!B54" display="3402. Target CDCM revenue"/>
    <hyperlink ref="B217" location="'Revenue'!B65" display="3403. Revenue surplus or shortfall"/>
    <hyperlink ref="B218" location="'Scaler'!B9" display="3501. Factor to scale to £1/kW at transmission exit level"/>
    <hyperlink ref="B219" location="'Scaler'!B18" display="3502. Applicability factor for £1/kW scaler"/>
    <hyperlink ref="B220" location="'Scaler'!B33" display="3503. Scalable elements of tariff components"/>
    <hyperlink ref="B221" location="'Scaler'!B78" display="3504. Marginal revenue effect of scaler"/>
    <hyperlink ref="B222" location="'Scaler'!B121" display="3505. Scaler value at which the minimum is breached"/>
    <hyperlink ref="B223" location="'Scaler'!B158" display="3506. Constraint-free solution"/>
    <hyperlink ref="B224" location="'Scaler'!B172" display="3507. Starting point"/>
    <hyperlink ref="B225" location="'Scaler'!B201" display="3508. Solve for General scaler rate"/>
    <hyperlink ref="B226" location="'Scaler'!B353" display="3509. General scaler rate"/>
    <hyperlink ref="B227" location="'Scaler'!B388" display="3510. Scaler"/>
    <hyperlink ref="B228" location="'Adjust'!B20" display="3601. Tariffs before rounding"/>
    <hyperlink ref="B229" location="'Adjust'!B48" display="3602. Decimal places"/>
    <hyperlink ref="B230" location="'Adjust'!B68" display="3603. Tariff rounding"/>
    <hyperlink ref="B231" location="'Adjust'!B111" display="3604. All the way tariffs"/>
    <hyperlink ref="B232" location="'Adjust'!B154" display="3605. Net revenues by tariff from rounding"/>
    <hyperlink ref="B233" location="'Adjust'!B193" display="3606. Revenue forecast summary"/>
    <hyperlink ref="B234" location="'Adjust'!B209" display="3607. Tariffs"/>
    <hyperlink ref="B235" location="'Tariffs'!B14" display="3701. Tariffs"/>
    <hyperlink ref="B236" location="'Summary'!B13" display="3801. Headline parameters"/>
    <hyperlink ref="B237" location="'Summary'!B44" display="3802. Revenue summary"/>
    <hyperlink ref="B238" location="'Summary'!B147" display="3803. Revenue summary by tariff component"/>
    <hyperlink ref="B239" location="'M-Rev'!B7" display="3901. Revenue matrix by tariff"/>
    <hyperlink ref="B240" location="'M-Rev'!B36" display="3902. Revenues by charging element and network level"/>
    <hyperlink ref="B241" location="'CData'!B22" display="4001. Revenues under current tariffs (£)"/>
    <hyperlink ref="B242" location="'CData'!B52" display="4002. All-the-way volumes"/>
    <hyperlink ref="B243" location="'CData'!B80" display="4003. Normalised to"/>
    <hyperlink ref="B244" location="'CData'!B132" display="4004. Normalised volumes for comparisons"/>
    <hyperlink ref="B245" location="'CData'!B228" display="4005. LDNO LV charges (normalised £)"/>
    <hyperlink ref="B246" location="'CData'!B259" display="4006. LDNO HV charges (normalised £)"/>
    <hyperlink ref="B247" location="'CTables'!B13" display="4101. Comparison with current all-the-way demand tariffs"/>
    <hyperlink ref="B248" location="'CTables'!B41" display="4102. LDNO margins in use of system charges"/>
    <hyperlink ref="B249" location="'M-ATW'!A0" display="Tariff matrices"/>
  </hyperlinks>
  <pageMargins left="0.7" right="0.7" top="0.75" bottom="0.75" header="0.3" footer="0.3"/>
  <pageSetup paperSize="9" scale="50" fitToHeight="0" orientation="portrait"/>
  <headerFooter>
    <oddHeader>&amp;L&amp;A&amp;C&amp;R&amp;P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3" ht="21" customHeight="1">
      <c r="A1" s="1">
        <f>"Other expenditure for "&amp;'Input'!B7&amp;" in "&amp;'Input'!C7&amp;" ("&amp;'Input'!D7&amp;")"</f>
        <v>0</v>
      </c>
    </row>
    <row r="3" spans="1:13" ht="21" customHeight="1">
      <c r="A3" s="1" t="s">
        <v>874</v>
      </c>
    </row>
    <row r="4" spans="1:13">
      <c r="A4" s="2" t="s">
        <v>351</v>
      </c>
    </row>
    <row r="5" spans="1:13">
      <c r="A5" s="33" t="s">
        <v>875</v>
      </c>
    </row>
    <row r="6" spans="1:13">
      <c r="A6" s="2" t="s">
        <v>876</v>
      </c>
    </row>
    <row r="7" spans="1:13">
      <c r="A7" s="2" t="s">
        <v>369</v>
      </c>
    </row>
    <row r="9" spans="1:13">
      <c r="B9" s="15" t="s">
        <v>294</v>
      </c>
      <c r="C9" s="15" t="s">
        <v>877</v>
      </c>
      <c r="D9" s="15" t="s">
        <v>878</v>
      </c>
      <c r="E9" s="15" t="s">
        <v>879</v>
      </c>
      <c r="F9" s="15" t="s">
        <v>880</v>
      </c>
      <c r="G9" s="15" t="s">
        <v>881</v>
      </c>
      <c r="H9" s="15" t="s">
        <v>882</v>
      </c>
      <c r="I9" s="15" t="s">
        <v>883</v>
      </c>
      <c r="J9" s="15" t="s">
        <v>884</v>
      </c>
      <c r="K9" s="15" t="s">
        <v>885</v>
      </c>
      <c r="L9" s="15" t="s">
        <v>886</v>
      </c>
    </row>
    <row r="10" spans="1:13">
      <c r="A10" s="4" t="s">
        <v>887</v>
      </c>
      <c r="B10" s="44">
        <f>'Input'!$B274</f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17"/>
    </row>
    <row r="12" spans="1:13" ht="21" customHeight="1">
      <c r="A12" s="1" t="s">
        <v>888</v>
      </c>
    </row>
    <row r="13" spans="1:13">
      <c r="A13" s="2" t="s">
        <v>351</v>
      </c>
    </row>
    <row r="14" spans="1:13">
      <c r="A14" s="33" t="s">
        <v>446</v>
      </c>
    </row>
    <row r="15" spans="1:13">
      <c r="A15" s="33" t="s">
        <v>889</v>
      </c>
    </row>
    <row r="16" spans="1:13">
      <c r="A16" s="33" t="s">
        <v>890</v>
      </c>
    </row>
    <row r="17" spans="1:10">
      <c r="A17" s="2" t="s">
        <v>891</v>
      </c>
    </row>
    <row r="19" spans="1:10">
      <c r="B19" s="15" t="s">
        <v>306</v>
      </c>
      <c r="C19" s="15" t="s">
        <v>307</v>
      </c>
      <c r="D19" s="15" t="s">
        <v>308</v>
      </c>
      <c r="E19" s="15" t="s">
        <v>309</v>
      </c>
      <c r="F19" s="15" t="s">
        <v>310</v>
      </c>
      <c r="G19" s="15" t="s">
        <v>311</v>
      </c>
      <c r="H19" s="15" t="s">
        <v>312</v>
      </c>
      <c r="I19" s="15" t="s">
        <v>313</v>
      </c>
    </row>
    <row r="20" spans="1:10">
      <c r="A20" s="4" t="s">
        <v>892</v>
      </c>
      <c r="B20" s="21">
        <f>IF('DRM'!$B$113,'AMD'!$C198*'Input'!$B$90/'DRM'!$B$113/1000,0)</f>
        <v>0</v>
      </c>
      <c r="C20" s="21">
        <f>IF('DRM'!$B$114,'AMD'!$D198*'Input'!$B$91/'DRM'!$B$114/1000,0)</f>
        <v>0</v>
      </c>
      <c r="D20" s="21">
        <f>IF('DRM'!$B$115,'AMD'!$E198*'Input'!$B$92/'DRM'!$B$115/1000,0)</f>
        <v>0</v>
      </c>
      <c r="E20" s="21">
        <f>IF('DRM'!$B$116,'AMD'!$F198*'Input'!$B$93/'DRM'!$B$116/1000,0)</f>
        <v>0</v>
      </c>
      <c r="F20" s="21">
        <f>IF('DRM'!$B$117,'AMD'!$G198*'Input'!$B$94/'DRM'!$B$117/1000,0)</f>
        <v>0</v>
      </c>
      <c r="G20" s="21">
        <f>IF('DRM'!$B$118,'AMD'!$H198*'Input'!$B$95/'DRM'!$B$118/1000,0)</f>
        <v>0</v>
      </c>
      <c r="H20" s="21">
        <f>IF('DRM'!$B$119,'AMD'!$I198*'Input'!$B$96/'DRM'!$B$119/1000,0)</f>
        <v>0</v>
      </c>
      <c r="I20" s="21">
        <f>IF('DRM'!$B$120,'AMD'!$J198*'Input'!$B$97/'DRM'!$B$120/1000,0)</f>
        <v>0</v>
      </c>
      <c r="J20" s="17"/>
    </row>
    <row r="22" spans="1:10" ht="21" customHeight="1">
      <c r="A22" s="1" t="s">
        <v>893</v>
      </c>
    </row>
    <row r="23" spans="1:10">
      <c r="A23" s="2" t="s">
        <v>351</v>
      </c>
    </row>
    <row r="24" spans="1:10">
      <c r="A24" s="33" t="s">
        <v>574</v>
      </c>
    </row>
    <row r="25" spans="1:10">
      <c r="A25" s="2" t="s">
        <v>633</v>
      </c>
    </row>
    <row r="27" spans="1:10">
      <c r="B27" s="15" t="s">
        <v>894</v>
      </c>
    </row>
    <row r="28" spans="1:10">
      <c r="A28" s="4" t="s">
        <v>213</v>
      </c>
      <c r="B28" s="44">
        <f>'Multi'!B$118</f>
        <v>0</v>
      </c>
      <c r="C28" s="17"/>
    </row>
    <row r="29" spans="1:10">
      <c r="A29" s="4" t="s">
        <v>214</v>
      </c>
      <c r="B29" s="44">
        <f>'Multi'!B$119</f>
        <v>0</v>
      </c>
      <c r="C29" s="17"/>
    </row>
    <row r="30" spans="1:10">
      <c r="A30" s="4" t="s">
        <v>215</v>
      </c>
      <c r="B30" s="44">
        <f>'Multi'!B$120</f>
        <v>0</v>
      </c>
      <c r="C30" s="17"/>
    </row>
    <row r="31" spans="1:10">
      <c r="A31" s="4" t="s">
        <v>216</v>
      </c>
      <c r="B31" s="44">
        <f>'Multi'!B$121</f>
        <v>0</v>
      </c>
      <c r="C31" s="17"/>
    </row>
    <row r="32" spans="1:10">
      <c r="A32" s="4" t="s">
        <v>217</v>
      </c>
      <c r="B32" s="44">
        <f>'Multi'!B$122</f>
        <v>0</v>
      </c>
      <c r="C32" s="17"/>
    </row>
    <row r="34" spans="1:3" ht="21" customHeight="1">
      <c r="A34" s="1" t="s">
        <v>895</v>
      </c>
    </row>
    <row r="35" spans="1:3">
      <c r="A35" s="2" t="s">
        <v>351</v>
      </c>
    </row>
    <row r="36" spans="1:3">
      <c r="A36" s="33" t="s">
        <v>896</v>
      </c>
    </row>
    <row r="37" spans="1:3">
      <c r="A37" s="2" t="s">
        <v>821</v>
      </c>
    </row>
    <row r="39" spans="1:3">
      <c r="B39" s="15" t="s">
        <v>897</v>
      </c>
    </row>
    <row r="40" spans="1:3">
      <c r="A40" s="4" t="s">
        <v>897</v>
      </c>
      <c r="B40" s="21">
        <f>SUM(B$28:B$32)</f>
        <v>0</v>
      </c>
      <c r="C40" s="17"/>
    </row>
    <row r="42" spans="1:3" ht="21" customHeight="1">
      <c r="A42" s="1" t="s">
        <v>898</v>
      </c>
    </row>
    <row r="43" spans="1:3">
      <c r="A43" s="2" t="s">
        <v>351</v>
      </c>
    </row>
    <row r="44" spans="1:3">
      <c r="A44" s="33" t="s">
        <v>899</v>
      </c>
    </row>
    <row r="45" spans="1:3">
      <c r="A45" s="33" t="s">
        <v>900</v>
      </c>
    </row>
    <row r="46" spans="1:3">
      <c r="A46" s="33" t="s">
        <v>901</v>
      </c>
    </row>
    <row r="47" spans="1:3">
      <c r="A47" s="33" t="s">
        <v>902</v>
      </c>
    </row>
    <row r="48" spans="1:3">
      <c r="A48" s="33" t="s">
        <v>903</v>
      </c>
    </row>
    <row r="49" spans="1:13">
      <c r="A49" s="33" t="s">
        <v>904</v>
      </c>
    </row>
    <row r="50" spans="1:13">
      <c r="A50" s="33" t="s">
        <v>905</v>
      </c>
    </row>
    <row r="51" spans="1:13">
      <c r="A51" s="34" t="s">
        <v>354</v>
      </c>
      <c r="B51" s="34" t="s">
        <v>356</v>
      </c>
      <c r="C51" s="34"/>
      <c r="D51" s="34" t="s">
        <v>484</v>
      </c>
      <c r="E51" s="34" t="s">
        <v>413</v>
      </c>
      <c r="F51" s="34"/>
      <c r="G51" s="34" t="s">
        <v>484</v>
      </c>
      <c r="H51" s="34"/>
    </row>
    <row r="52" spans="1:13">
      <c r="A52" s="34" t="s">
        <v>357</v>
      </c>
      <c r="B52" s="34" t="s">
        <v>359</v>
      </c>
      <c r="C52" s="34"/>
      <c r="D52" s="34" t="s">
        <v>906</v>
      </c>
      <c r="E52" s="34" t="s">
        <v>907</v>
      </c>
      <c r="F52" s="34"/>
      <c r="G52" s="34" t="s">
        <v>908</v>
      </c>
      <c r="H52" s="34"/>
    </row>
    <row r="54" spans="1:13">
      <c r="B54" s="31" t="s">
        <v>909</v>
      </c>
      <c r="C54" s="31"/>
      <c r="E54" s="31" t="s">
        <v>910</v>
      </c>
      <c r="F54" s="31"/>
      <c r="G54" s="31" t="s">
        <v>911</v>
      </c>
      <c r="H54" s="31"/>
    </row>
    <row r="55" spans="1:13">
      <c r="B55" s="15" t="s">
        <v>463</v>
      </c>
      <c r="C55" s="15" t="s">
        <v>475</v>
      </c>
      <c r="D55" s="15" t="s">
        <v>910</v>
      </c>
      <c r="E55" s="15" t="s">
        <v>463</v>
      </c>
      <c r="F55" s="15" t="s">
        <v>475</v>
      </c>
      <c r="G55" s="15" t="s">
        <v>463</v>
      </c>
      <c r="H55" s="15" t="s">
        <v>475</v>
      </c>
    </row>
    <row r="56" spans="1:13">
      <c r="A56" s="4" t="s">
        <v>912</v>
      </c>
      <c r="B56" s="21">
        <f>SUMPRODUCT('SM'!B$63:B$86,'Loads'!$E$280:$E$303)</f>
        <v>0</v>
      </c>
      <c r="C56" s="21">
        <f>SUMPRODUCT('SM'!C$63:C$86,'Loads'!$E$280:$E$303)</f>
        <v>0</v>
      </c>
      <c r="D56" s="21">
        <f>'SM'!B33*$B40</f>
        <v>0</v>
      </c>
      <c r="E56" s="44">
        <f>$D56</f>
        <v>0</v>
      </c>
      <c r="F56" s="10"/>
      <c r="G56" s="21">
        <f>B56+E56</f>
        <v>0</v>
      </c>
      <c r="H56" s="21">
        <f>C56+F56</f>
        <v>0</v>
      </c>
      <c r="I56" s="17"/>
    </row>
    <row r="58" spans="1:13" ht="21" customHeight="1">
      <c r="A58" s="1" t="s">
        <v>913</v>
      </c>
    </row>
    <row r="59" spans="1:13">
      <c r="A59" s="2" t="s">
        <v>351</v>
      </c>
    </row>
    <row r="60" spans="1:13">
      <c r="A60" s="33" t="s">
        <v>914</v>
      </c>
    </row>
    <row r="61" spans="1:13">
      <c r="A61" s="33" t="s">
        <v>915</v>
      </c>
    </row>
    <row r="62" spans="1:13">
      <c r="A62" s="33" t="s">
        <v>916</v>
      </c>
    </row>
    <row r="63" spans="1:13">
      <c r="A63" s="34" t="s">
        <v>354</v>
      </c>
      <c r="B63" s="35" t="s">
        <v>518</v>
      </c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4" t="s">
        <v>485</v>
      </c>
    </row>
    <row r="64" spans="1:13">
      <c r="A64" s="34" t="s">
        <v>357</v>
      </c>
      <c r="B64" s="35" t="s">
        <v>743</v>
      </c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4" t="s">
        <v>537</v>
      </c>
    </row>
    <row r="66" spans="1:14">
      <c r="B66" s="36" t="s">
        <v>917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</row>
    <row r="67" spans="1:14">
      <c r="B67" s="15" t="s">
        <v>142</v>
      </c>
      <c r="C67" s="15" t="s">
        <v>306</v>
      </c>
      <c r="D67" s="15" t="s">
        <v>307</v>
      </c>
      <c r="E67" s="15" t="s">
        <v>308</v>
      </c>
      <c r="F67" s="15" t="s">
        <v>309</v>
      </c>
      <c r="G67" s="15" t="s">
        <v>310</v>
      </c>
      <c r="H67" s="15" t="s">
        <v>311</v>
      </c>
      <c r="I67" s="15" t="s">
        <v>312</v>
      </c>
      <c r="J67" s="15" t="s">
        <v>313</v>
      </c>
      <c r="K67" s="15" t="s">
        <v>463</v>
      </c>
      <c r="L67" s="15" t="s">
        <v>475</v>
      </c>
      <c r="M67" s="15" t="s">
        <v>918</v>
      </c>
    </row>
    <row r="68" spans="1:14">
      <c r="A68" s="4" t="s">
        <v>919</v>
      </c>
      <c r="B68" s="10"/>
      <c r="C68" s="44">
        <f>$B20</f>
        <v>0</v>
      </c>
      <c r="D68" s="44">
        <f>$C20</f>
        <v>0</v>
      </c>
      <c r="E68" s="44">
        <f>$D20</f>
        <v>0</v>
      </c>
      <c r="F68" s="44">
        <f>$E20</f>
        <v>0</v>
      </c>
      <c r="G68" s="44">
        <f>$F20</f>
        <v>0</v>
      </c>
      <c r="H68" s="44">
        <f>$G20</f>
        <v>0</v>
      </c>
      <c r="I68" s="44">
        <f>$H20</f>
        <v>0</v>
      </c>
      <c r="J68" s="44">
        <f>$I20</f>
        <v>0</v>
      </c>
      <c r="K68" s="44">
        <f>$G56</f>
        <v>0</v>
      </c>
      <c r="L68" s="44">
        <f>$H56</f>
        <v>0</v>
      </c>
      <c r="M68" s="44">
        <f>SUM($B68:$L68)</f>
        <v>0</v>
      </c>
      <c r="N68" s="17"/>
    </row>
    <row r="70" spans="1:14" ht="21" customHeight="1">
      <c r="A70" s="1" t="s">
        <v>920</v>
      </c>
    </row>
    <row r="71" spans="1:14">
      <c r="A71" s="2" t="s">
        <v>351</v>
      </c>
    </row>
    <row r="72" spans="1:14">
      <c r="A72" s="33" t="s">
        <v>921</v>
      </c>
    </row>
    <row r="73" spans="1:14">
      <c r="A73" s="33" t="s">
        <v>922</v>
      </c>
    </row>
    <row r="74" spans="1:14">
      <c r="A74" s="33" t="s">
        <v>923</v>
      </c>
    </row>
    <row r="75" spans="1:14">
      <c r="A75" s="33" t="s">
        <v>924</v>
      </c>
    </row>
    <row r="76" spans="1:14">
      <c r="A76" s="2" t="s">
        <v>925</v>
      </c>
    </row>
    <row r="78" spans="1:14">
      <c r="B78" s="15" t="s">
        <v>926</v>
      </c>
    </row>
    <row r="79" spans="1:14">
      <c r="A79" s="4" t="s">
        <v>301</v>
      </c>
      <c r="B79" s="21">
        <f>'Input'!B279+'Input'!E279+'Input'!C279*'Input'!D279</f>
        <v>0</v>
      </c>
      <c r="C79" s="17"/>
    </row>
    <row r="81" spans="1:13" ht="21" customHeight="1">
      <c r="A81" s="1" t="s">
        <v>927</v>
      </c>
    </row>
    <row r="82" spans="1:13">
      <c r="A82" s="2" t="s">
        <v>351</v>
      </c>
    </row>
    <row r="83" spans="1:13">
      <c r="A83" s="33" t="s">
        <v>928</v>
      </c>
    </row>
    <row r="84" spans="1:13">
      <c r="A84" s="33" t="s">
        <v>929</v>
      </c>
    </row>
    <row r="85" spans="1:13">
      <c r="A85" s="33" t="s">
        <v>930</v>
      </c>
    </row>
    <row r="86" spans="1:13">
      <c r="A86" s="33" t="s">
        <v>931</v>
      </c>
    </row>
    <row r="87" spans="1:13">
      <c r="A87" s="2" t="s">
        <v>932</v>
      </c>
    </row>
    <row r="89" spans="1:13">
      <c r="B89" s="15" t="s">
        <v>294</v>
      </c>
      <c r="C89" s="15" t="s">
        <v>877</v>
      </c>
      <c r="D89" s="15" t="s">
        <v>878</v>
      </c>
      <c r="E89" s="15" t="s">
        <v>879</v>
      </c>
      <c r="F89" s="15" t="s">
        <v>880</v>
      </c>
      <c r="G89" s="15" t="s">
        <v>881</v>
      </c>
      <c r="H89" s="15" t="s">
        <v>882</v>
      </c>
      <c r="I89" s="15" t="s">
        <v>883</v>
      </c>
      <c r="J89" s="15" t="s">
        <v>884</v>
      </c>
      <c r="K89" s="15" t="s">
        <v>885</v>
      </c>
      <c r="L89" s="15" t="s">
        <v>886</v>
      </c>
    </row>
    <row r="90" spans="1:13">
      <c r="A90" s="4" t="s">
        <v>933</v>
      </c>
      <c r="B90" s="21">
        <f>B10+$B79/$M68*B68</f>
        <v>0</v>
      </c>
      <c r="C90" s="21">
        <f>C10+$B79/$M68*C68</f>
        <v>0</v>
      </c>
      <c r="D90" s="21">
        <f>D10+$B79/$M68*D68</f>
        <v>0</v>
      </c>
      <c r="E90" s="21">
        <f>E10+$B79/$M68*E68</f>
        <v>0</v>
      </c>
      <c r="F90" s="21">
        <f>F10+$B79/$M68*F68</f>
        <v>0</v>
      </c>
      <c r="G90" s="21">
        <f>G10+$B79/$M68*G68</f>
        <v>0</v>
      </c>
      <c r="H90" s="21">
        <f>H10+$B79/$M68*H68</f>
        <v>0</v>
      </c>
      <c r="I90" s="21">
        <f>I10+$B79/$M68*I68</f>
        <v>0</v>
      </c>
      <c r="J90" s="21">
        <f>J10+$B79/$M68*J68</f>
        <v>0</v>
      </c>
      <c r="K90" s="21">
        <f>K10+$B79/$M68*K68</f>
        <v>0</v>
      </c>
      <c r="L90" s="21">
        <f>L10+$B79/$M68*L68</f>
        <v>0</v>
      </c>
      <c r="M90" s="17"/>
    </row>
    <row r="92" spans="1:13" ht="21" customHeight="1">
      <c r="A92" s="1" t="s">
        <v>934</v>
      </c>
    </row>
    <row r="93" spans="1:13">
      <c r="A93" s="2" t="s">
        <v>351</v>
      </c>
    </row>
    <row r="94" spans="1:13">
      <c r="A94" s="33" t="s">
        <v>935</v>
      </c>
    </row>
    <row r="95" spans="1:13">
      <c r="A95" s="33" t="s">
        <v>936</v>
      </c>
    </row>
    <row r="96" spans="1:13">
      <c r="A96" s="2" t="s">
        <v>937</v>
      </c>
    </row>
    <row r="98" spans="1:13">
      <c r="B98" s="15" t="s">
        <v>294</v>
      </c>
      <c r="C98" s="15" t="s">
        <v>877</v>
      </c>
      <c r="D98" s="15" t="s">
        <v>878</v>
      </c>
      <c r="E98" s="15" t="s">
        <v>879</v>
      </c>
      <c r="F98" s="15" t="s">
        <v>880</v>
      </c>
      <c r="G98" s="15" t="s">
        <v>881</v>
      </c>
      <c r="H98" s="15" t="s">
        <v>882</v>
      </c>
      <c r="I98" s="15" t="s">
        <v>883</v>
      </c>
      <c r="J98" s="15" t="s">
        <v>884</v>
      </c>
      <c r="K98" s="15" t="s">
        <v>885</v>
      </c>
      <c r="L98" s="15" t="s">
        <v>886</v>
      </c>
    </row>
    <row r="99" spans="1:13">
      <c r="A99" s="4" t="s">
        <v>938</v>
      </c>
      <c r="B99" s="40">
        <f>IF(B68="","",IF(B68&gt;0,B90/B68,0))</f>
        <v>0</v>
      </c>
      <c r="C99" s="40">
        <f>IF(C68="","",IF(C68&gt;0,C90/C68,0))</f>
        <v>0</v>
      </c>
      <c r="D99" s="40">
        <f>IF(D68="","",IF(D68&gt;0,D90/D68,0))</f>
        <v>0</v>
      </c>
      <c r="E99" s="40">
        <f>IF(E68="","",IF(E68&gt;0,E90/E68,0))</f>
        <v>0</v>
      </c>
      <c r="F99" s="40">
        <f>IF(F68="","",IF(F68&gt;0,F90/F68,0))</f>
        <v>0</v>
      </c>
      <c r="G99" s="40">
        <f>IF(G68="","",IF(G68&gt;0,G90/G68,0))</f>
        <v>0</v>
      </c>
      <c r="H99" s="40">
        <f>IF(H68="","",IF(H68&gt;0,H90/H68,0))</f>
        <v>0</v>
      </c>
      <c r="I99" s="40">
        <f>IF(I68="","",IF(I68&gt;0,I90/I68,0))</f>
        <v>0</v>
      </c>
      <c r="J99" s="40">
        <f>IF(J68="","",IF(J68&gt;0,J90/J68,0))</f>
        <v>0</v>
      </c>
      <c r="K99" s="40">
        <f>IF(K68="","",IF(K68&gt;0,K90/K68,0))</f>
        <v>0</v>
      </c>
      <c r="L99" s="40">
        <f>IF(L68="","",IF(L68&gt;0,L90/L68,0))</f>
        <v>0</v>
      </c>
      <c r="M99" s="17"/>
    </row>
    <row r="101" spans="1:13" ht="21" customHeight="1">
      <c r="A101" s="1" t="s">
        <v>939</v>
      </c>
    </row>
    <row r="102" spans="1:13">
      <c r="A102" s="2" t="s">
        <v>351</v>
      </c>
    </row>
    <row r="103" spans="1:13">
      <c r="A103" s="33" t="s">
        <v>940</v>
      </c>
    </row>
    <row r="104" spans="1:13">
      <c r="A104" s="33" t="s">
        <v>936</v>
      </c>
    </row>
    <row r="105" spans="1:13">
      <c r="A105" s="2" t="s">
        <v>941</v>
      </c>
    </row>
    <row r="107" spans="1:13">
      <c r="B107" s="15" t="s">
        <v>294</v>
      </c>
      <c r="C107" s="15" t="s">
        <v>877</v>
      </c>
      <c r="D107" s="15" t="s">
        <v>878</v>
      </c>
      <c r="E107" s="15" t="s">
        <v>879</v>
      </c>
      <c r="F107" s="15" t="s">
        <v>880</v>
      </c>
      <c r="G107" s="15" t="s">
        <v>881</v>
      </c>
      <c r="H107" s="15" t="s">
        <v>882</v>
      </c>
      <c r="I107" s="15" t="s">
        <v>883</v>
      </c>
      <c r="J107" s="15" t="s">
        <v>884</v>
      </c>
    </row>
    <row r="108" spans="1:13">
      <c r="A108" s="4" t="s">
        <v>942</v>
      </c>
      <c r="B108" s="38">
        <f>IF('AMD'!B198&gt;0,$B90/'AMD'!B198,0)</f>
        <v>0</v>
      </c>
      <c r="C108" s="38">
        <f>IF('AMD'!C198&gt;0,$C90/'AMD'!C198,0)</f>
        <v>0</v>
      </c>
      <c r="D108" s="38">
        <f>IF('AMD'!D198&gt;0,$D90/'AMD'!D198,0)</f>
        <v>0</v>
      </c>
      <c r="E108" s="38">
        <f>IF('AMD'!E198&gt;0,$E90/'AMD'!E198,0)</f>
        <v>0</v>
      </c>
      <c r="F108" s="38">
        <f>IF('AMD'!F198&gt;0,$F90/'AMD'!F198,0)</f>
        <v>0</v>
      </c>
      <c r="G108" s="38">
        <f>IF('AMD'!G198&gt;0,$G90/'AMD'!G198,0)</f>
        <v>0</v>
      </c>
      <c r="H108" s="38">
        <f>IF('AMD'!H198&gt;0,$H90/'AMD'!H198,0)</f>
        <v>0</v>
      </c>
      <c r="I108" s="38">
        <f>IF('AMD'!I198&gt;0,$I90/'AMD'!I198,0)</f>
        <v>0</v>
      </c>
      <c r="J108" s="38">
        <f>IF('AMD'!J198&gt;0,$J90/'AMD'!J198,0)</f>
        <v>0</v>
      </c>
      <c r="K108" s="17"/>
    </row>
    <row r="110" spans="1:13" ht="21" customHeight="1">
      <c r="A110" s="1" t="s">
        <v>943</v>
      </c>
    </row>
    <row r="111" spans="1:13">
      <c r="A111" s="2" t="s">
        <v>351</v>
      </c>
    </row>
    <row r="112" spans="1:13">
      <c r="A112" s="33" t="s">
        <v>480</v>
      </c>
    </row>
    <row r="113" spans="1:5">
      <c r="A113" s="33" t="s">
        <v>944</v>
      </c>
    </row>
    <row r="114" spans="1:5">
      <c r="A114" s="33" t="s">
        <v>945</v>
      </c>
    </row>
    <row r="115" spans="1:5">
      <c r="A115" s="33" t="s">
        <v>946</v>
      </c>
    </row>
    <row r="116" spans="1:5">
      <c r="A116" s="34" t="s">
        <v>354</v>
      </c>
      <c r="B116" s="34" t="s">
        <v>484</v>
      </c>
      <c r="C116" s="34"/>
      <c r="D116" s="34" t="s">
        <v>485</v>
      </c>
    </row>
    <row r="117" spans="1:5">
      <c r="A117" s="34" t="s">
        <v>357</v>
      </c>
      <c r="B117" s="34" t="s">
        <v>947</v>
      </c>
      <c r="C117" s="34"/>
      <c r="D117" s="34" t="s">
        <v>538</v>
      </c>
    </row>
    <row r="119" spans="1:5">
      <c r="B119" s="31" t="s">
        <v>948</v>
      </c>
      <c r="C119" s="31"/>
    </row>
    <row r="120" spans="1:5">
      <c r="B120" s="15" t="s">
        <v>885</v>
      </c>
      <c r="C120" s="15" t="s">
        <v>886</v>
      </c>
      <c r="D120" s="15" t="s">
        <v>949</v>
      </c>
    </row>
    <row r="121" spans="1:5">
      <c r="A121" s="4" t="s">
        <v>174</v>
      </c>
      <c r="B121" s="38">
        <f>100/'Input'!$F$58*$K$99*'SM'!$B63</f>
        <v>0</v>
      </c>
      <c r="C121" s="38">
        <f>100/'Input'!$F$58*$L$99*'SM'!$C63</f>
        <v>0</v>
      </c>
      <c r="D121" s="38">
        <f>SUM($B121:$C121)</f>
        <v>0</v>
      </c>
      <c r="E121" s="17"/>
    </row>
    <row r="122" spans="1:5">
      <c r="A122" s="4" t="s">
        <v>175</v>
      </c>
      <c r="B122" s="38">
        <f>100/'Input'!$F$58*$K$99*'SM'!$B64</f>
        <v>0</v>
      </c>
      <c r="C122" s="38">
        <f>100/'Input'!$F$58*$L$99*'SM'!$C64</f>
        <v>0</v>
      </c>
      <c r="D122" s="38">
        <f>SUM($B122:$C122)</f>
        <v>0</v>
      </c>
      <c r="E122" s="17"/>
    </row>
    <row r="123" spans="1:5">
      <c r="A123" s="4" t="s">
        <v>211</v>
      </c>
      <c r="B123" s="38">
        <f>100/'Input'!$F$58*$K$99*'SM'!$B65</f>
        <v>0</v>
      </c>
      <c r="C123" s="38">
        <f>100/'Input'!$F$58*$L$99*'SM'!$C65</f>
        <v>0</v>
      </c>
      <c r="D123" s="38">
        <f>SUM($B123:$C123)</f>
        <v>0</v>
      </c>
      <c r="E123" s="17"/>
    </row>
    <row r="124" spans="1:5">
      <c r="A124" s="4" t="s">
        <v>176</v>
      </c>
      <c r="B124" s="38">
        <f>100/'Input'!$F$58*$K$99*'SM'!$B66</f>
        <v>0</v>
      </c>
      <c r="C124" s="38">
        <f>100/'Input'!$F$58*$L$99*'SM'!$C66</f>
        <v>0</v>
      </c>
      <c r="D124" s="38">
        <f>SUM($B124:$C124)</f>
        <v>0</v>
      </c>
      <c r="E124" s="17"/>
    </row>
    <row r="125" spans="1:5">
      <c r="A125" s="4" t="s">
        <v>177</v>
      </c>
      <c r="B125" s="38">
        <f>100/'Input'!$F$58*$K$99*'SM'!$B67</f>
        <v>0</v>
      </c>
      <c r="C125" s="38">
        <f>100/'Input'!$F$58*$L$99*'SM'!$C67</f>
        <v>0</v>
      </c>
      <c r="D125" s="38">
        <f>SUM($B125:$C125)</f>
        <v>0</v>
      </c>
      <c r="E125" s="17"/>
    </row>
    <row r="126" spans="1:5">
      <c r="A126" s="4" t="s">
        <v>212</v>
      </c>
      <c r="B126" s="38">
        <f>100/'Input'!$F$58*$K$99*'SM'!$B68</f>
        <v>0</v>
      </c>
      <c r="C126" s="38">
        <f>100/'Input'!$F$58*$L$99*'SM'!$C68</f>
        <v>0</v>
      </c>
      <c r="D126" s="38">
        <f>SUM($B126:$C126)</f>
        <v>0</v>
      </c>
      <c r="E126" s="17"/>
    </row>
    <row r="127" spans="1:5">
      <c r="A127" s="4" t="s">
        <v>178</v>
      </c>
      <c r="B127" s="38">
        <f>100/'Input'!$F$58*$K$99*'SM'!$B69</f>
        <v>0</v>
      </c>
      <c r="C127" s="38">
        <f>100/'Input'!$F$58*$L$99*'SM'!$C69</f>
        <v>0</v>
      </c>
      <c r="D127" s="38">
        <f>SUM($B127:$C127)</f>
        <v>0</v>
      </c>
      <c r="E127" s="17"/>
    </row>
    <row r="128" spans="1:5">
      <c r="A128" s="4" t="s">
        <v>179</v>
      </c>
      <c r="B128" s="38">
        <f>100/'Input'!$F$58*$K$99*'SM'!$B70</f>
        <v>0</v>
      </c>
      <c r="C128" s="38">
        <f>100/'Input'!$F$58*$L$99*'SM'!$C70</f>
        <v>0</v>
      </c>
      <c r="D128" s="38">
        <f>SUM($B128:$C128)</f>
        <v>0</v>
      </c>
      <c r="E128" s="17"/>
    </row>
    <row r="129" spans="1:5">
      <c r="A129" s="4" t="s">
        <v>180</v>
      </c>
      <c r="B129" s="38">
        <f>100/'Input'!$F$58*$K$99*'SM'!$B71</f>
        <v>0</v>
      </c>
      <c r="C129" s="38">
        <f>100/'Input'!$F$58*$L$99*'SM'!$C71</f>
        <v>0</v>
      </c>
      <c r="D129" s="38">
        <f>SUM($B129:$C129)</f>
        <v>0</v>
      </c>
      <c r="E129" s="17"/>
    </row>
    <row r="130" spans="1:5">
      <c r="A130" s="4" t="s">
        <v>181</v>
      </c>
      <c r="B130" s="38">
        <f>100/'Input'!$F$58*$K$99*'SM'!$B72</f>
        <v>0</v>
      </c>
      <c r="C130" s="38">
        <f>100/'Input'!$F$58*$L$99*'SM'!$C72</f>
        <v>0</v>
      </c>
      <c r="D130" s="38">
        <f>SUM($B130:$C130)</f>
        <v>0</v>
      </c>
      <c r="E130" s="17"/>
    </row>
    <row r="131" spans="1:5">
      <c r="A131" s="4" t="s">
        <v>193</v>
      </c>
      <c r="B131" s="38">
        <f>100/'Input'!$F$58*$K$99*'SM'!$B73</f>
        <v>0</v>
      </c>
      <c r="C131" s="38">
        <f>100/'Input'!$F$58*$L$99*'SM'!$C73</f>
        <v>0</v>
      </c>
      <c r="D131" s="38">
        <f>SUM($B131:$C131)</f>
        <v>0</v>
      </c>
      <c r="E131" s="17"/>
    </row>
    <row r="132" spans="1:5">
      <c r="A132" s="4" t="s">
        <v>213</v>
      </c>
      <c r="B132" s="38">
        <f>100/'Input'!$F$58*$K$99*'SM'!$B74</f>
        <v>0</v>
      </c>
      <c r="C132" s="38">
        <f>100/'Input'!$F$58*$L$99*'SM'!$C74</f>
        <v>0</v>
      </c>
      <c r="D132" s="38">
        <f>SUM($B132:$C132)</f>
        <v>0</v>
      </c>
      <c r="E132" s="17"/>
    </row>
    <row r="133" spans="1:5">
      <c r="A133" s="4" t="s">
        <v>214</v>
      </c>
      <c r="B133" s="38">
        <f>100/'Input'!$F$58*$K$99*'SM'!$B75</f>
        <v>0</v>
      </c>
      <c r="C133" s="38">
        <f>100/'Input'!$F$58*$L$99*'SM'!$C75</f>
        <v>0</v>
      </c>
      <c r="D133" s="38">
        <f>SUM($B133:$C133)</f>
        <v>0</v>
      </c>
      <c r="E133" s="17"/>
    </row>
    <row r="134" spans="1:5">
      <c r="A134" s="4" t="s">
        <v>215</v>
      </c>
      <c r="B134" s="38">
        <f>100/'Input'!$F$58*$K$99*'SM'!$B76</f>
        <v>0</v>
      </c>
      <c r="C134" s="38">
        <f>100/'Input'!$F$58*$L$99*'SM'!$C76</f>
        <v>0</v>
      </c>
      <c r="D134" s="38">
        <f>SUM($B134:$C134)</f>
        <v>0</v>
      </c>
      <c r="E134" s="17"/>
    </row>
    <row r="135" spans="1:5">
      <c r="A135" s="4" t="s">
        <v>216</v>
      </c>
      <c r="B135" s="38">
        <f>100/'Input'!$F$58*$K$99*'SM'!$B77</f>
        <v>0</v>
      </c>
      <c r="C135" s="38">
        <f>100/'Input'!$F$58*$L$99*'SM'!$C77</f>
        <v>0</v>
      </c>
      <c r="D135" s="38">
        <f>SUM($B135:$C135)</f>
        <v>0</v>
      </c>
      <c r="E135" s="17"/>
    </row>
    <row r="136" spans="1:5">
      <c r="A136" s="4" t="s">
        <v>217</v>
      </c>
      <c r="B136" s="38">
        <f>100/'Input'!$F$58*$K$99*'SM'!$B78</f>
        <v>0</v>
      </c>
      <c r="C136" s="38">
        <f>100/'Input'!$F$58*$L$99*'SM'!$C78</f>
        <v>0</v>
      </c>
      <c r="D136" s="38">
        <f>SUM($B136:$C136)</f>
        <v>0</v>
      </c>
      <c r="E136" s="17"/>
    </row>
    <row r="137" spans="1:5">
      <c r="A137" s="4" t="s">
        <v>182</v>
      </c>
      <c r="B137" s="38">
        <f>100/'Input'!$F$58*$K$99*'SM'!$B79</f>
        <v>0</v>
      </c>
      <c r="C137" s="38">
        <f>100/'Input'!$F$58*$L$99*'SM'!$C79</f>
        <v>0</v>
      </c>
      <c r="D137" s="38">
        <f>SUM($B137:$C137)</f>
        <v>0</v>
      </c>
      <c r="E137" s="17"/>
    </row>
    <row r="138" spans="1:5">
      <c r="A138" s="4" t="s">
        <v>183</v>
      </c>
      <c r="B138" s="38">
        <f>100/'Input'!$F$58*$K$99*'SM'!$B80</f>
        <v>0</v>
      </c>
      <c r="C138" s="38">
        <f>100/'Input'!$F$58*$L$99*'SM'!$C80</f>
        <v>0</v>
      </c>
      <c r="D138" s="38">
        <f>SUM($B138:$C138)</f>
        <v>0</v>
      </c>
      <c r="E138" s="17"/>
    </row>
    <row r="139" spans="1:5">
      <c r="A139" s="4" t="s">
        <v>184</v>
      </c>
      <c r="B139" s="38">
        <f>100/'Input'!$F$58*$K$99*'SM'!$B81</f>
        <v>0</v>
      </c>
      <c r="C139" s="38">
        <f>100/'Input'!$F$58*$L$99*'SM'!$C81</f>
        <v>0</v>
      </c>
      <c r="D139" s="38">
        <f>SUM($B139:$C139)</f>
        <v>0</v>
      </c>
      <c r="E139" s="17"/>
    </row>
    <row r="140" spans="1:5">
      <c r="A140" s="4" t="s">
        <v>185</v>
      </c>
      <c r="B140" s="38">
        <f>100/'Input'!$F$58*$K$99*'SM'!$B82</f>
        <v>0</v>
      </c>
      <c r="C140" s="38">
        <f>100/'Input'!$F$58*$L$99*'SM'!$C82</f>
        <v>0</v>
      </c>
      <c r="D140" s="38">
        <f>SUM($B140:$C140)</f>
        <v>0</v>
      </c>
      <c r="E140" s="17"/>
    </row>
    <row r="141" spans="1:5">
      <c r="A141" s="4" t="s">
        <v>186</v>
      </c>
      <c r="B141" s="38">
        <f>100/'Input'!$F$58*$K$99*'SM'!$B83</f>
        <v>0</v>
      </c>
      <c r="C141" s="38">
        <f>100/'Input'!$F$58*$L$99*'SM'!$C83</f>
        <v>0</v>
      </c>
      <c r="D141" s="38">
        <f>SUM($B141:$C141)</f>
        <v>0</v>
      </c>
      <c r="E141" s="17"/>
    </row>
    <row r="142" spans="1:5">
      <c r="A142" s="4" t="s">
        <v>187</v>
      </c>
      <c r="B142" s="38">
        <f>100/'Input'!$F$58*$K$99*'SM'!$B84</f>
        <v>0</v>
      </c>
      <c r="C142" s="38">
        <f>100/'Input'!$F$58*$L$99*'SM'!$C84</f>
        <v>0</v>
      </c>
      <c r="D142" s="38">
        <f>SUM($B142:$C142)</f>
        <v>0</v>
      </c>
      <c r="E142" s="17"/>
    </row>
    <row r="143" spans="1:5">
      <c r="A143" s="4" t="s">
        <v>194</v>
      </c>
      <c r="B143" s="38">
        <f>100/'Input'!$F$58*$K$99*'SM'!$B85</f>
        <v>0</v>
      </c>
      <c r="C143" s="38">
        <f>100/'Input'!$F$58*$L$99*'SM'!$C85</f>
        <v>0</v>
      </c>
      <c r="D143" s="38">
        <f>SUM($B143:$C143)</f>
        <v>0</v>
      </c>
      <c r="E143" s="17"/>
    </row>
    <row r="144" spans="1:5">
      <c r="A144" s="4" t="s">
        <v>195</v>
      </c>
      <c r="B144" s="38">
        <f>100/'Input'!$F$58*$K$99*'SM'!$B86</f>
        <v>0</v>
      </c>
      <c r="C144" s="38">
        <f>100/'Input'!$F$58*$L$99*'SM'!$C86</f>
        <v>0</v>
      </c>
      <c r="D144" s="38">
        <f>SUM($B144:$C144)</f>
        <v>0</v>
      </c>
      <c r="E144" s="17"/>
    </row>
    <row r="146" spans="1:3" ht="21" customHeight="1">
      <c r="A146" s="1" t="s">
        <v>950</v>
      </c>
    </row>
    <row r="147" spans="1:3">
      <c r="A147" s="2" t="s">
        <v>351</v>
      </c>
    </row>
    <row r="148" spans="1:3">
      <c r="A148" s="33" t="s">
        <v>951</v>
      </c>
    </row>
    <row r="149" spans="1:3">
      <c r="A149" s="33" t="s">
        <v>469</v>
      </c>
    </row>
    <row r="150" spans="1:3">
      <c r="A150" s="2" t="s">
        <v>952</v>
      </c>
    </row>
    <row r="152" spans="1:3">
      <c r="B152" s="15" t="s">
        <v>885</v>
      </c>
    </row>
    <row r="153" spans="1:3">
      <c r="A153" s="4" t="s">
        <v>213</v>
      </c>
      <c r="B153" s="38">
        <f>0.1*$K$99*'SM'!$B$33</f>
        <v>0</v>
      </c>
      <c r="C153" s="17"/>
    </row>
    <row r="154" spans="1:3">
      <c r="A154" s="4" t="s">
        <v>214</v>
      </c>
      <c r="B154" s="38">
        <f>0.1*$K$99*'SM'!$B$33</f>
        <v>0</v>
      </c>
      <c r="C154" s="17"/>
    </row>
    <row r="155" spans="1:3">
      <c r="A155" s="4" t="s">
        <v>215</v>
      </c>
      <c r="B155" s="38">
        <f>0.1*$K$99*'SM'!$B$33</f>
        <v>0</v>
      </c>
      <c r="C155" s="17"/>
    </row>
    <row r="156" spans="1:3">
      <c r="A156" s="4" t="s">
        <v>216</v>
      </c>
      <c r="B156" s="38">
        <f>0.1*$K$99*'SM'!$B$33</f>
        <v>0</v>
      </c>
      <c r="C156" s="17"/>
    </row>
    <row r="157" spans="1:3">
      <c r="A157" s="4" t="s">
        <v>217</v>
      </c>
      <c r="B157" s="38">
        <f>0.1*$K$99*'SM'!$B$33</f>
        <v>0</v>
      </c>
      <c r="C157" s="17"/>
    </row>
  </sheetData>
  <sheetProtection sheet="1" objects="1" scenarios="1"/>
  <hyperlinks>
    <hyperlink ref="A5" location="'Input'!B273" display="x1 = 1055. Transmission exit charges (£/year)"/>
    <hyperlink ref="A14" location="'DRM'!B112" display="x1 = 2108. GSP simultaneous maximum load assumed through each network level (MW)"/>
    <hyperlink ref="A15" location="'AMD'!B197" display="x2 = 2613. Forecast simultaneous maximum load (kW) adjusted for standing charges"/>
    <hyperlink ref="A16" location="'Input'!B89" display="x3 = 1020. Gross asset cost by network level (£)"/>
    <hyperlink ref="A24" location="'Multi'!B106" display="x1 = 2407. All units (MWh)"/>
    <hyperlink ref="A36" location="'Otex'!B27" display="x1 = 2703. Annual consumption by tariff for unmetered users (MWh)"/>
    <hyperlink ref="A44" location="'SM'!B62" display="x1 = 2205. Service model assets by tariff (£)"/>
    <hyperlink ref="A45" location="'Loads'!E279" display="x2 = 2305. MPANs (in Equivalent volume for each end user)"/>
    <hyperlink ref="A46" location="'SM'!B32" display="x3 = 2202. LV unmetered service model assets £/(MWh/year)"/>
    <hyperlink ref="A47" location="'Otex'!B39" display="x4 = 2704. Total unmetered units"/>
    <hyperlink ref="A48" location="'Otex'!D55" display="x5 = Service model assets (£) scaled by annual MWh (in Service model asset data)"/>
    <hyperlink ref="A49" location="'Otex'!B55" display="x6 = Service model assets (£) scaled by user count (in Service model asset data)"/>
    <hyperlink ref="A50" location="'Otex'!E55" display="x7 = Service model assets (£) scaled by annual MWh (in Service model asset data)"/>
    <hyperlink ref="A60" location="'Otex'!B19" display="x1 = 2702. Network model assets (£) scaled by load forecast"/>
    <hyperlink ref="A61" location="'Otex'!G55" display="x2 = 2705. Service model assets (£) (in Service model asset data)"/>
    <hyperlink ref="A62" location="'Otex'!B67" display="x3 = Model assets (£) scaled by demand forecast (in Data for allocation of operating expenditure)"/>
    <hyperlink ref="A72" location="'Input'!B278" display="x1 = 1059. Direct cost (£/year) (in Other expenditure)"/>
    <hyperlink ref="A73" location="'Input'!E278" display="x2 = 1059. Network rates (£/year) (in Other expenditure)"/>
    <hyperlink ref="A74" location="'Input'!C278" display="x3 = 1059. Indirect cost (£/year) (in Other expenditure)"/>
    <hyperlink ref="A75" location="'Input'!D278" display="x4 = 1059. Indirect cost proportion (in Other expenditure)"/>
    <hyperlink ref="A83" location="'Otex'!B9" display="x1 = 2701. Operating expenditure coded by network level (£/year)"/>
    <hyperlink ref="A84" location="'Otex'!B78" display="x2 = 2707. Amount of expenditure to be allocated according to asset values (£/year)"/>
    <hyperlink ref="A85" location="'Otex'!M67" display="x3 = 2706. Denominator for allocation of operating expenditure (in Data for allocation of operating expenditure)"/>
    <hyperlink ref="A86" location="'Otex'!B67" display="x4 = 2706. Model assets (£) scaled by demand forecast (in Data for allocation of operating expenditure)"/>
    <hyperlink ref="A94" location="'Otex'!B67" display="x1 = 2706. Model assets (£) scaled by demand forecast (in Data for allocation of operating expenditure)"/>
    <hyperlink ref="A95" location="'Otex'!B89" display="x2 = 2708. Total operating expenditure by network level  (£/year)"/>
    <hyperlink ref="A103" location="'AMD'!B197" display="x1 = 2613. Forecast simultaneous maximum load (kW) adjusted for standing charges"/>
    <hyperlink ref="A104" location="'Otex'!B89" display="x2 = 2708. Total operating expenditure by network level  (£/year)"/>
    <hyperlink ref="A112" location="'Input'!F57" display="x1 = 1010. Days in the charging year (in Financial and general assumptions)"/>
    <hyperlink ref="A113" location="'Otex'!B98" display="x2 = 2709. Operating expenditure percentage by network level"/>
    <hyperlink ref="A114" location="'SM'!B62" display="x3 = 2205. Service model assets by tariff (£)"/>
    <hyperlink ref="A115" location="'Otex'!B120" display="x4 = Operating expenditure p/MPAN/day by level (in Operating expenditure for customer assets p/MPAN/day)"/>
    <hyperlink ref="A148" location="'Otex'!B98" display="x1 = 2709. Operating expenditure percentage by network level"/>
    <hyperlink ref="A149" location="'SM'!B32" display="x2 = 2202. LV unmetered service model assets £/(MWh/year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4.7109375" customWidth="1"/>
  </cols>
  <sheetData>
    <row r="1" spans="1:6" ht="21" customHeight="1">
      <c r="A1" s="1">
        <f>"Customer contributions for "&amp;'Input'!B7&amp;" in "&amp;'Input'!C7&amp;" ("&amp;'Input'!D7&amp;")"</f>
        <v>0</v>
      </c>
    </row>
    <row r="2" spans="1:6">
      <c r="A2" s="2" t="s">
        <v>953</v>
      </c>
    </row>
    <row r="4" spans="1:6" ht="21" customHeight="1">
      <c r="A4" s="1" t="s">
        <v>954</v>
      </c>
    </row>
    <row r="6" spans="1:6">
      <c r="B6" s="15" t="s">
        <v>314</v>
      </c>
      <c r="C6" s="15" t="s">
        <v>315</v>
      </c>
      <c r="D6" s="15" t="s">
        <v>316</v>
      </c>
      <c r="E6" s="15" t="s">
        <v>317</v>
      </c>
    </row>
    <row r="7" spans="1:6">
      <c r="A7" s="4" t="s">
        <v>174</v>
      </c>
      <c r="B7" s="41">
        <v>1</v>
      </c>
      <c r="C7" s="41">
        <v>0</v>
      </c>
      <c r="D7" s="41">
        <v>0</v>
      </c>
      <c r="E7" s="41">
        <v>0</v>
      </c>
      <c r="F7" s="17"/>
    </row>
    <row r="8" spans="1:6">
      <c r="A8" s="4" t="s">
        <v>175</v>
      </c>
      <c r="B8" s="41">
        <v>1</v>
      </c>
      <c r="C8" s="41">
        <v>0</v>
      </c>
      <c r="D8" s="41">
        <v>0</v>
      </c>
      <c r="E8" s="41">
        <v>0</v>
      </c>
      <c r="F8" s="17"/>
    </row>
    <row r="9" spans="1:6">
      <c r="A9" s="4" t="s">
        <v>211</v>
      </c>
      <c r="B9" s="41">
        <v>1</v>
      </c>
      <c r="C9" s="41">
        <v>0</v>
      </c>
      <c r="D9" s="41">
        <v>0</v>
      </c>
      <c r="E9" s="41">
        <v>0</v>
      </c>
      <c r="F9" s="17"/>
    </row>
    <row r="10" spans="1:6">
      <c r="A10" s="4" t="s">
        <v>176</v>
      </c>
      <c r="B10" s="41">
        <v>1</v>
      </c>
      <c r="C10" s="41">
        <v>0</v>
      </c>
      <c r="D10" s="41">
        <v>0</v>
      </c>
      <c r="E10" s="41">
        <v>0</v>
      </c>
      <c r="F10" s="17"/>
    </row>
    <row r="11" spans="1:6">
      <c r="A11" s="4" t="s">
        <v>177</v>
      </c>
      <c r="B11" s="41">
        <v>1</v>
      </c>
      <c r="C11" s="41">
        <v>0</v>
      </c>
      <c r="D11" s="41">
        <v>0</v>
      </c>
      <c r="E11" s="41">
        <v>0</v>
      </c>
      <c r="F11" s="17"/>
    </row>
    <row r="12" spans="1:6">
      <c r="A12" s="4" t="s">
        <v>212</v>
      </c>
      <c r="B12" s="41">
        <v>1</v>
      </c>
      <c r="C12" s="41">
        <v>0</v>
      </c>
      <c r="D12" s="41">
        <v>0</v>
      </c>
      <c r="E12" s="41">
        <v>0</v>
      </c>
      <c r="F12" s="17"/>
    </row>
    <row r="13" spans="1:6">
      <c r="A13" s="4" t="s">
        <v>178</v>
      </c>
      <c r="B13" s="41">
        <v>1</v>
      </c>
      <c r="C13" s="41">
        <v>0</v>
      </c>
      <c r="D13" s="41">
        <v>0</v>
      </c>
      <c r="E13" s="41">
        <v>0</v>
      </c>
      <c r="F13" s="17"/>
    </row>
    <row r="14" spans="1:6">
      <c r="A14" s="4" t="s">
        <v>179</v>
      </c>
      <c r="B14" s="41">
        <v>1</v>
      </c>
      <c r="C14" s="41">
        <v>0</v>
      </c>
      <c r="D14" s="41">
        <v>0</v>
      </c>
      <c r="E14" s="41">
        <v>0</v>
      </c>
      <c r="F14" s="17"/>
    </row>
    <row r="15" spans="1:6">
      <c r="A15" s="4" t="s">
        <v>180</v>
      </c>
      <c r="B15" s="41">
        <v>1</v>
      </c>
      <c r="C15" s="41">
        <v>0</v>
      </c>
      <c r="D15" s="41">
        <v>0</v>
      </c>
      <c r="E15" s="41">
        <v>0</v>
      </c>
      <c r="F15" s="17"/>
    </row>
    <row r="16" spans="1:6">
      <c r="A16" s="4" t="s">
        <v>181</v>
      </c>
      <c r="B16" s="41">
        <v>0</v>
      </c>
      <c r="C16" s="41">
        <v>1</v>
      </c>
      <c r="D16" s="41">
        <v>0</v>
      </c>
      <c r="E16" s="41">
        <v>0</v>
      </c>
      <c r="F16" s="17"/>
    </row>
    <row r="17" spans="1:6">
      <c r="A17" s="4" t="s">
        <v>193</v>
      </c>
      <c r="B17" s="41">
        <v>0</v>
      </c>
      <c r="C17" s="41">
        <v>0</v>
      </c>
      <c r="D17" s="41">
        <v>1</v>
      </c>
      <c r="E17" s="41">
        <v>0</v>
      </c>
      <c r="F17" s="17"/>
    </row>
    <row r="18" spans="1:6">
      <c r="A18" s="4" t="s">
        <v>213</v>
      </c>
      <c r="B18" s="41">
        <v>1</v>
      </c>
      <c r="C18" s="41">
        <v>0</v>
      </c>
      <c r="D18" s="41">
        <v>0</v>
      </c>
      <c r="E18" s="41">
        <v>0</v>
      </c>
      <c r="F18" s="17"/>
    </row>
    <row r="19" spans="1:6">
      <c r="A19" s="4" t="s">
        <v>214</v>
      </c>
      <c r="B19" s="41">
        <v>1</v>
      </c>
      <c r="C19" s="41">
        <v>0</v>
      </c>
      <c r="D19" s="41">
        <v>0</v>
      </c>
      <c r="E19" s="41">
        <v>0</v>
      </c>
      <c r="F19" s="17"/>
    </row>
    <row r="20" spans="1:6">
      <c r="A20" s="4" t="s">
        <v>215</v>
      </c>
      <c r="B20" s="41">
        <v>1</v>
      </c>
      <c r="C20" s="41">
        <v>0</v>
      </c>
      <c r="D20" s="41">
        <v>0</v>
      </c>
      <c r="E20" s="41">
        <v>0</v>
      </c>
      <c r="F20" s="17"/>
    </row>
    <row r="21" spans="1:6">
      <c r="A21" s="4" t="s">
        <v>216</v>
      </c>
      <c r="B21" s="41">
        <v>1</v>
      </c>
      <c r="C21" s="41">
        <v>0</v>
      </c>
      <c r="D21" s="41">
        <v>0</v>
      </c>
      <c r="E21" s="41">
        <v>0</v>
      </c>
      <c r="F21" s="17"/>
    </row>
    <row r="22" spans="1:6">
      <c r="A22" s="4" t="s">
        <v>217</v>
      </c>
      <c r="B22" s="41">
        <v>1</v>
      </c>
      <c r="C22" s="41">
        <v>0</v>
      </c>
      <c r="D22" s="41">
        <v>0</v>
      </c>
      <c r="E22" s="41">
        <v>0</v>
      </c>
      <c r="F22" s="17"/>
    </row>
    <row r="23" spans="1:6">
      <c r="A23" s="4" t="s">
        <v>182</v>
      </c>
      <c r="B23" s="41">
        <v>1</v>
      </c>
      <c r="C23" s="41">
        <v>0</v>
      </c>
      <c r="D23" s="41">
        <v>0</v>
      </c>
      <c r="E23" s="41">
        <v>0</v>
      </c>
      <c r="F23" s="17"/>
    </row>
    <row r="24" spans="1:6">
      <c r="A24" s="4" t="s">
        <v>183</v>
      </c>
      <c r="B24" s="41">
        <v>0</v>
      </c>
      <c r="C24" s="41">
        <v>1</v>
      </c>
      <c r="D24" s="41">
        <v>0</v>
      </c>
      <c r="E24" s="41">
        <v>0</v>
      </c>
      <c r="F24" s="17"/>
    </row>
    <row r="25" spans="1:6">
      <c r="A25" s="4" t="s">
        <v>184</v>
      </c>
      <c r="B25" s="41">
        <v>1</v>
      </c>
      <c r="C25" s="41">
        <v>0</v>
      </c>
      <c r="D25" s="41">
        <v>0</v>
      </c>
      <c r="E25" s="41">
        <v>0</v>
      </c>
      <c r="F25" s="17"/>
    </row>
    <row r="26" spans="1:6">
      <c r="A26" s="4" t="s">
        <v>185</v>
      </c>
      <c r="B26" s="41">
        <v>1</v>
      </c>
      <c r="C26" s="41">
        <v>0</v>
      </c>
      <c r="D26" s="41">
        <v>0</v>
      </c>
      <c r="E26" s="41">
        <v>0</v>
      </c>
      <c r="F26" s="17"/>
    </row>
    <row r="27" spans="1:6">
      <c r="A27" s="4" t="s">
        <v>186</v>
      </c>
      <c r="B27" s="41">
        <v>0</v>
      </c>
      <c r="C27" s="41">
        <v>1</v>
      </c>
      <c r="D27" s="41">
        <v>0</v>
      </c>
      <c r="E27" s="41">
        <v>0</v>
      </c>
      <c r="F27" s="17"/>
    </row>
    <row r="28" spans="1:6">
      <c r="A28" s="4" t="s">
        <v>187</v>
      </c>
      <c r="B28" s="41">
        <v>0</v>
      </c>
      <c r="C28" s="41">
        <v>1</v>
      </c>
      <c r="D28" s="41">
        <v>0</v>
      </c>
      <c r="E28" s="41">
        <v>0</v>
      </c>
      <c r="F28" s="17"/>
    </row>
    <row r="29" spans="1:6">
      <c r="A29" s="4" t="s">
        <v>194</v>
      </c>
      <c r="B29" s="41">
        <v>0</v>
      </c>
      <c r="C29" s="41">
        <v>0</v>
      </c>
      <c r="D29" s="41">
        <v>1</v>
      </c>
      <c r="E29" s="41">
        <v>0</v>
      </c>
      <c r="F29" s="17"/>
    </row>
    <row r="30" spans="1:6">
      <c r="A30" s="4" t="s">
        <v>195</v>
      </c>
      <c r="B30" s="41">
        <v>0</v>
      </c>
      <c r="C30" s="41">
        <v>0</v>
      </c>
      <c r="D30" s="41">
        <v>1</v>
      </c>
      <c r="E30" s="41">
        <v>0</v>
      </c>
      <c r="F30" s="17"/>
    </row>
    <row r="32" spans="1:6" ht="21" customHeight="1">
      <c r="A32" s="1" t="s">
        <v>955</v>
      </c>
    </row>
    <row r="33" spans="1:6">
      <c r="A33" s="2" t="s">
        <v>351</v>
      </c>
    </row>
    <row r="34" spans="1:6">
      <c r="A34" s="33" t="s">
        <v>956</v>
      </c>
    </row>
    <row r="35" spans="1:6">
      <c r="A35" s="33" t="s">
        <v>957</v>
      </c>
    </row>
    <row r="36" spans="1:6">
      <c r="A36" s="2" t="s">
        <v>958</v>
      </c>
    </row>
    <row r="38" spans="1:6">
      <c r="B38" s="15" t="s">
        <v>314</v>
      </c>
      <c r="C38" s="15" t="s">
        <v>315</v>
      </c>
      <c r="D38" s="15" t="s">
        <v>316</v>
      </c>
      <c r="E38" s="15" t="s">
        <v>317</v>
      </c>
    </row>
    <row r="39" spans="1:6">
      <c r="A39" s="4" t="s">
        <v>451</v>
      </c>
      <c r="B39" s="40">
        <f>'Input'!$B$287*(1-'Input'!$D$58)</f>
        <v>0</v>
      </c>
      <c r="C39" s="40">
        <f>'Input'!$B$288*(1-'Input'!$D$58)</f>
        <v>0</v>
      </c>
      <c r="D39" s="40">
        <f>'Input'!$B$289*(1-'Input'!$D$58)</f>
        <v>0</v>
      </c>
      <c r="E39" s="40">
        <f>'Input'!$B$290*(1-'Input'!$D$58)</f>
        <v>0</v>
      </c>
      <c r="F39" s="17"/>
    </row>
    <row r="40" spans="1:6">
      <c r="A40" s="4" t="s">
        <v>452</v>
      </c>
      <c r="B40" s="40">
        <f>'Input'!$C$287*(1-'Input'!$D$58)</f>
        <v>0</v>
      </c>
      <c r="C40" s="40">
        <f>'Input'!$C$288*(1-'Input'!$D$58)</f>
        <v>0</v>
      </c>
      <c r="D40" s="40">
        <f>'Input'!$C$289*(1-'Input'!$D$58)</f>
        <v>0</v>
      </c>
      <c r="E40" s="40">
        <f>'Input'!$C$290*(1-'Input'!$D$58)</f>
        <v>0</v>
      </c>
      <c r="F40" s="17"/>
    </row>
    <row r="41" spans="1:6">
      <c r="A41" s="4" t="s">
        <v>453</v>
      </c>
      <c r="B41" s="40">
        <f>'Input'!$D$287*(1-'Input'!$D$58)</f>
        <v>0</v>
      </c>
      <c r="C41" s="40">
        <f>'Input'!$D$288*(1-'Input'!$D$58)</f>
        <v>0</v>
      </c>
      <c r="D41" s="40">
        <f>'Input'!$D$289*(1-'Input'!$D$58)</f>
        <v>0</v>
      </c>
      <c r="E41" s="40">
        <f>'Input'!$D$290*(1-'Input'!$D$58)</f>
        <v>0</v>
      </c>
      <c r="F41" s="17"/>
    </row>
    <row r="42" spans="1:6">
      <c r="A42" s="4" t="s">
        <v>454</v>
      </c>
      <c r="B42" s="40">
        <f>'Input'!$E$287*(1-'Input'!$D$58)</f>
        <v>0</v>
      </c>
      <c r="C42" s="40">
        <f>'Input'!$E$288*(1-'Input'!$D$58)</f>
        <v>0</v>
      </c>
      <c r="D42" s="40">
        <f>'Input'!$E$289*(1-'Input'!$D$58)</f>
        <v>0</v>
      </c>
      <c r="E42" s="40">
        <f>'Input'!$E$290*(1-'Input'!$D$58)</f>
        <v>0</v>
      </c>
      <c r="F42" s="17"/>
    </row>
    <row r="43" spans="1:6">
      <c r="A43" s="4" t="s">
        <v>455</v>
      </c>
      <c r="B43" s="40">
        <f>'Input'!$F$287*(1-'Input'!$D$58)</f>
        <v>0</v>
      </c>
      <c r="C43" s="40">
        <f>'Input'!$F$288*(1-'Input'!$D$58)</f>
        <v>0</v>
      </c>
      <c r="D43" s="40">
        <f>'Input'!$F$289*(1-'Input'!$D$58)</f>
        <v>0</v>
      </c>
      <c r="E43" s="40">
        <f>'Input'!$F$290*(1-'Input'!$D$58)</f>
        <v>0</v>
      </c>
      <c r="F43" s="17"/>
    </row>
    <row r="44" spans="1:6">
      <c r="A44" s="4" t="s">
        <v>456</v>
      </c>
      <c r="B44" s="40">
        <f>'Input'!$G$287*(1-'Input'!$D$58)</f>
        <v>0</v>
      </c>
      <c r="C44" s="40">
        <f>'Input'!$G$288*(1-'Input'!$D$58)</f>
        <v>0</v>
      </c>
      <c r="D44" s="40">
        <f>'Input'!$G$289*(1-'Input'!$D$58)</f>
        <v>0</v>
      </c>
      <c r="E44" s="40">
        <f>'Input'!$G$290*(1-'Input'!$D$58)</f>
        <v>0</v>
      </c>
      <c r="F44" s="17"/>
    </row>
    <row r="45" spans="1:6">
      <c r="A45" s="4" t="s">
        <v>457</v>
      </c>
      <c r="B45" s="40">
        <f>'Input'!$H$287*(1-'Input'!$D$58)</f>
        <v>0</v>
      </c>
      <c r="C45" s="40">
        <f>'Input'!$H$288*(1-'Input'!$D$58)</f>
        <v>0</v>
      </c>
      <c r="D45" s="40">
        <f>'Input'!$H$289*(1-'Input'!$D$58)</f>
        <v>0</v>
      </c>
      <c r="E45" s="40">
        <f>'Input'!$H$290*(1-'Input'!$D$58)</f>
        <v>0</v>
      </c>
      <c r="F45" s="17"/>
    </row>
    <row r="46" spans="1:6">
      <c r="A46" s="4" t="s">
        <v>458</v>
      </c>
      <c r="B46" s="40">
        <f>'Input'!$I$287*(1-'Input'!$D$58)</f>
        <v>0</v>
      </c>
      <c r="C46" s="40">
        <f>'Input'!$I$288*(1-'Input'!$D$58)</f>
        <v>0</v>
      </c>
      <c r="D46" s="40">
        <f>'Input'!$I$289*(1-'Input'!$D$58)</f>
        <v>0</v>
      </c>
      <c r="E46" s="40">
        <f>'Input'!$I$290*(1-'Input'!$D$58)</f>
        <v>0</v>
      </c>
      <c r="F46" s="17"/>
    </row>
    <row r="48" spans="1:6" ht="21" customHeight="1">
      <c r="A48" s="1" t="s">
        <v>959</v>
      </c>
    </row>
    <row r="49" spans="1:10">
      <c r="A49" s="2" t="s">
        <v>351</v>
      </c>
    </row>
    <row r="50" spans="1:10">
      <c r="A50" s="33" t="s">
        <v>960</v>
      </c>
    </row>
    <row r="51" spans="1:10">
      <c r="A51" s="33" t="s">
        <v>961</v>
      </c>
    </row>
    <row r="52" spans="1:10">
      <c r="A52" s="2" t="s">
        <v>364</v>
      </c>
    </row>
    <row r="54" spans="1:10">
      <c r="B54" s="15" t="s">
        <v>306</v>
      </c>
      <c r="C54" s="15" t="s">
        <v>307</v>
      </c>
      <c r="D54" s="15" t="s">
        <v>308</v>
      </c>
      <c r="E54" s="15" t="s">
        <v>309</v>
      </c>
      <c r="F54" s="15" t="s">
        <v>310</v>
      </c>
      <c r="G54" s="15" t="s">
        <v>311</v>
      </c>
      <c r="H54" s="15" t="s">
        <v>312</v>
      </c>
      <c r="I54" s="15" t="s">
        <v>313</v>
      </c>
    </row>
    <row r="55" spans="1:10">
      <c r="A55" s="4" t="s">
        <v>174</v>
      </c>
      <c r="B55" s="40">
        <f>SUMPRODUCT($B7:$E7,$B$39:$E$39)</f>
        <v>0</v>
      </c>
      <c r="C55" s="40">
        <f>SUMPRODUCT($B7:$E7,$B$40:$E$40)</f>
        <v>0</v>
      </c>
      <c r="D55" s="40">
        <f>SUMPRODUCT($B7:$E7,$B$41:$E$41)</f>
        <v>0</v>
      </c>
      <c r="E55" s="40">
        <f>SUMPRODUCT($B7:$E7,$B$42:$E$42)</f>
        <v>0</v>
      </c>
      <c r="F55" s="40">
        <f>SUMPRODUCT($B7:$E7,$B$43:$E$43)</f>
        <v>0</v>
      </c>
      <c r="G55" s="40">
        <f>SUMPRODUCT($B7:$E7,$B$44:$E$44)</f>
        <v>0</v>
      </c>
      <c r="H55" s="40">
        <f>SUMPRODUCT($B7:$E7,$B$45:$E$45)</f>
        <v>0</v>
      </c>
      <c r="I55" s="40">
        <f>SUMPRODUCT($B7:$E7,$B$46:$E$46)</f>
        <v>0</v>
      </c>
      <c r="J55" s="17"/>
    </row>
    <row r="56" spans="1:10">
      <c r="A56" s="4" t="s">
        <v>175</v>
      </c>
      <c r="B56" s="40">
        <f>SUMPRODUCT($B8:$E8,$B$39:$E$39)</f>
        <v>0</v>
      </c>
      <c r="C56" s="40">
        <f>SUMPRODUCT($B8:$E8,$B$40:$E$40)</f>
        <v>0</v>
      </c>
      <c r="D56" s="40">
        <f>SUMPRODUCT($B8:$E8,$B$41:$E$41)</f>
        <v>0</v>
      </c>
      <c r="E56" s="40">
        <f>SUMPRODUCT($B8:$E8,$B$42:$E$42)</f>
        <v>0</v>
      </c>
      <c r="F56" s="40">
        <f>SUMPRODUCT($B8:$E8,$B$43:$E$43)</f>
        <v>0</v>
      </c>
      <c r="G56" s="40">
        <f>SUMPRODUCT($B8:$E8,$B$44:$E$44)</f>
        <v>0</v>
      </c>
      <c r="H56" s="40">
        <f>SUMPRODUCT($B8:$E8,$B$45:$E$45)</f>
        <v>0</v>
      </c>
      <c r="I56" s="40">
        <f>SUMPRODUCT($B8:$E8,$B$46:$E$46)</f>
        <v>0</v>
      </c>
      <c r="J56" s="17"/>
    </row>
    <row r="57" spans="1:10">
      <c r="A57" s="4" t="s">
        <v>211</v>
      </c>
      <c r="B57" s="40">
        <f>SUMPRODUCT($B9:$E9,$B$39:$E$39)</f>
        <v>0</v>
      </c>
      <c r="C57" s="40">
        <f>SUMPRODUCT($B9:$E9,$B$40:$E$40)</f>
        <v>0</v>
      </c>
      <c r="D57" s="40">
        <f>SUMPRODUCT($B9:$E9,$B$41:$E$41)</f>
        <v>0</v>
      </c>
      <c r="E57" s="40">
        <f>SUMPRODUCT($B9:$E9,$B$42:$E$42)</f>
        <v>0</v>
      </c>
      <c r="F57" s="40">
        <f>SUMPRODUCT($B9:$E9,$B$43:$E$43)</f>
        <v>0</v>
      </c>
      <c r="G57" s="40">
        <f>SUMPRODUCT($B9:$E9,$B$44:$E$44)</f>
        <v>0</v>
      </c>
      <c r="H57" s="40">
        <f>SUMPRODUCT($B9:$E9,$B$45:$E$45)</f>
        <v>0</v>
      </c>
      <c r="I57" s="40">
        <f>SUMPRODUCT($B9:$E9,$B$46:$E$46)</f>
        <v>0</v>
      </c>
      <c r="J57" s="17"/>
    </row>
    <row r="58" spans="1:10">
      <c r="A58" s="4" t="s">
        <v>176</v>
      </c>
      <c r="B58" s="40">
        <f>SUMPRODUCT($B10:$E10,$B$39:$E$39)</f>
        <v>0</v>
      </c>
      <c r="C58" s="40">
        <f>SUMPRODUCT($B10:$E10,$B$40:$E$40)</f>
        <v>0</v>
      </c>
      <c r="D58" s="40">
        <f>SUMPRODUCT($B10:$E10,$B$41:$E$41)</f>
        <v>0</v>
      </c>
      <c r="E58" s="40">
        <f>SUMPRODUCT($B10:$E10,$B$42:$E$42)</f>
        <v>0</v>
      </c>
      <c r="F58" s="40">
        <f>SUMPRODUCT($B10:$E10,$B$43:$E$43)</f>
        <v>0</v>
      </c>
      <c r="G58" s="40">
        <f>SUMPRODUCT($B10:$E10,$B$44:$E$44)</f>
        <v>0</v>
      </c>
      <c r="H58" s="40">
        <f>SUMPRODUCT($B10:$E10,$B$45:$E$45)</f>
        <v>0</v>
      </c>
      <c r="I58" s="40">
        <f>SUMPRODUCT($B10:$E10,$B$46:$E$46)</f>
        <v>0</v>
      </c>
      <c r="J58" s="17"/>
    </row>
    <row r="59" spans="1:10">
      <c r="A59" s="4" t="s">
        <v>177</v>
      </c>
      <c r="B59" s="40">
        <f>SUMPRODUCT($B11:$E11,$B$39:$E$39)</f>
        <v>0</v>
      </c>
      <c r="C59" s="40">
        <f>SUMPRODUCT($B11:$E11,$B$40:$E$40)</f>
        <v>0</v>
      </c>
      <c r="D59" s="40">
        <f>SUMPRODUCT($B11:$E11,$B$41:$E$41)</f>
        <v>0</v>
      </c>
      <c r="E59" s="40">
        <f>SUMPRODUCT($B11:$E11,$B$42:$E$42)</f>
        <v>0</v>
      </c>
      <c r="F59" s="40">
        <f>SUMPRODUCT($B11:$E11,$B$43:$E$43)</f>
        <v>0</v>
      </c>
      <c r="G59" s="40">
        <f>SUMPRODUCT($B11:$E11,$B$44:$E$44)</f>
        <v>0</v>
      </c>
      <c r="H59" s="40">
        <f>SUMPRODUCT($B11:$E11,$B$45:$E$45)</f>
        <v>0</v>
      </c>
      <c r="I59" s="40">
        <f>SUMPRODUCT($B11:$E11,$B$46:$E$46)</f>
        <v>0</v>
      </c>
      <c r="J59" s="17"/>
    </row>
    <row r="60" spans="1:10">
      <c r="A60" s="4" t="s">
        <v>212</v>
      </c>
      <c r="B60" s="40">
        <f>SUMPRODUCT($B12:$E12,$B$39:$E$39)</f>
        <v>0</v>
      </c>
      <c r="C60" s="40">
        <f>SUMPRODUCT($B12:$E12,$B$40:$E$40)</f>
        <v>0</v>
      </c>
      <c r="D60" s="40">
        <f>SUMPRODUCT($B12:$E12,$B$41:$E$41)</f>
        <v>0</v>
      </c>
      <c r="E60" s="40">
        <f>SUMPRODUCT($B12:$E12,$B$42:$E$42)</f>
        <v>0</v>
      </c>
      <c r="F60" s="40">
        <f>SUMPRODUCT($B12:$E12,$B$43:$E$43)</f>
        <v>0</v>
      </c>
      <c r="G60" s="40">
        <f>SUMPRODUCT($B12:$E12,$B$44:$E$44)</f>
        <v>0</v>
      </c>
      <c r="H60" s="40">
        <f>SUMPRODUCT($B12:$E12,$B$45:$E$45)</f>
        <v>0</v>
      </c>
      <c r="I60" s="40">
        <f>SUMPRODUCT($B12:$E12,$B$46:$E$46)</f>
        <v>0</v>
      </c>
      <c r="J60" s="17"/>
    </row>
    <row r="61" spans="1:10">
      <c r="A61" s="4" t="s">
        <v>178</v>
      </c>
      <c r="B61" s="40">
        <f>SUMPRODUCT($B13:$E13,$B$39:$E$39)</f>
        <v>0</v>
      </c>
      <c r="C61" s="40">
        <f>SUMPRODUCT($B13:$E13,$B$40:$E$40)</f>
        <v>0</v>
      </c>
      <c r="D61" s="40">
        <f>SUMPRODUCT($B13:$E13,$B$41:$E$41)</f>
        <v>0</v>
      </c>
      <c r="E61" s="40">
        <f>SUMPRODUCT($B13:$E13,$B$42:$E$42)</f>
        <v>0</v>
      </c>
      <c r="F61" s="40">
        <f>SUMPRODUCT($B13:$E13,$B$43:$E$43)</f>
        <v>0</v>
      </c>
      <c r="G61" s="40">
        <f>SUMPRODUCT($B13:$E13,$B$44:$E$44)</f>
        <v>0</v>
      </c>
      <c r="H61" s="40">
        <f>SUMPRODUCT($B13:$E13,$B$45:$E$45)</f>
        <v>0</v>
      </c>
      <c r="I61" s="40">
        <f>SUMPRODUCT($B13:$E13,$B$46:$E$46)</f>
        <v>0</v>
      </c>
      <c r="J61" s="17"/>
    </row>
    <row r="62" spans="1:10">
      <c r="A62" s="4" t="s">
        <v>179</v>
      </c>
      <c r="B62" s="40">
        <f>SUMPRODUCT($B14:$E14,$B$39:$E$39)</f>
        <v>0</v>
      </c>
      <c r="C62" s="40">
        <f>SUMPRODUCT($B14:$E14,$B$40:$E$40)</f>
        <v>0</v>
      </c>
      <c r="D62" s="40">
        <f>SUMPRODUCT($B14:$E14,$B$41:$E$41)</f>
        <v>0</v>
      </c>
      <c r="E62" s="40">
        <f>SUMPRODUCT($B14:$E14,$B$42:$E$42)</f>
        <v>0</v>
      </c>
      <c r="F62" s="40">
        <f>SUMPRODUCT($B14:$E14,$B$43:$E$43)</f>
        <v>0</v>
      </c>
      <c r="G62" s="40">
        <f>SUMPRODUCT($B14:$E14,$B$44:$E$44)</f>
        <v>0</v>
      </c>
      <c r="H62" s="40">
        <f>SUMPRODUCT($B14:$E14,$B$45:$E$45)</f>
        <v>0</v>
      </c>
      <c r="I62" s="40">
        <f>SUMPRODUCT($B14:$E14,$B$46:$E$46)</f>
        <v>0</v>
      </c>
      <c r="J62" s="17"/>
    </row>
    <row r="63" spans="1:10">
      <c r="A63" s="4" t="s">
        <v>180</v>
      </c>
      <c r="B63" s="40">
        <f>SUMPRODUCT($B15:$E15,$B$39:$E$39)</f>
        <v>0</v>
      </c>
      <c r="C63" s="40">
        <f>SUMPRODUCT($B15:$E15,$B$40:$E$40)</f>
        <v>0</v>
      </c>
      <c r="D63" s="40">
        <f>SUMPRODUCT($B15:$E15,$B$41:$E$41)</f>
        <v>0</v>
      </c>
      <c r="E63" s="40">
        <f>SUMPRODUCT($B15:$E15,$B$42:$E$42)</f>
        <v>0</v>
      </c>
      <c r="F63" s="40">
        <f>SUMPRODUCT($B15:$E15,$B$43:$E$43)</f>
        <v>0</v>
      </c>
      <c r="G63" s="40">
        <f>SUMPRODUCT($B15:$E15,$B$44:$E$44)</f>
        <v>0</v>
      </c>
      <c r="H63" s="40">
        <f>SUMPRODUCT($B15:$E15,$B$45:$E$45)</f>
        <v>0</v>
      </c>
      <c r="I63" s="40">
        <f>SUMPRODUCT($B15:$E15,$B$46:$E$46)</f>
        <v>0</v>
      </c>
      <c r="J63" s="17"/>
    </row>
    <row r="64" spans="1:10">
      <c r="A64" s="4" t="s">
        <v>181</v>
      </c>
      <c r="B64" s="40">
        <f>SUMPRODUCT($B16:$E16,$B$39:$E$39)</f>
        <v>0</v>
      </c>
      <c r="C64" s="40">
        <f>SUMPRODUCT($B16:$E16,$B$40:$E$40)</f>
        <v>0</v>
      </c>
      <c r="D64" s="40">
        <f>SUMPRODUCT($B16:$E16,$B$41:$E$41)</f>
        <v>0</v>
      </c>
      <c r="E64" s="40">
        <f>SUMPRODUCT($B16:$E16,$B$42:$E$42)</f>
        <v>0</v>
      </c>
      <c r="F64" s="40">
        <f>SUMPRODUCT($B16:$E16,$B$43:$E$43)</f>
        <v>0</v>
      </c>
      <c r="G64" s="40">
        <f>SUMPRODUCT($B16:$E16,$B$44:$E$44)</f>
        <v>0</v>
      </c>
      <c r="H64" s="40">
        <f>SUMPRODUCT($B16:$E16,$B$45:$E$45)</f>
        <v>0</v>
      </c>
      <c r="I64" s="40">
        <f>SUMPRODUCT($B16:$E16,$B$46:$E$46)</f>
        <v>0</v>
      </c>
      <c r="J64" s="17"/>
    </row>
    <row r="65" spans="1:10">
      <c r="A65" s="4" t="s">
        <v>193</v>
      </c>
      <c r="B65" s="40">
        <f>SUMPRODUCT($B17:$E17,$B$39:$E$39)</f>
        <v>0</v>
      </c>
      <c r="C65" s="40">
        <f>SUMPRODUCT($B17:$E17,$B$40:$E$40)</f>
        <v>0</v>
      </c>
      <c r="D65" s="40">
        <f>SUMPRODUCT($B17:$E17,$B$41:$E$41)</f>
        <v>0</v>
      </c>
      <c r="E65" s="40">
        <f>SUMPRODUCT($B17:$E17,$B$42:$E$42)</f>
        <v>0</v>
      </c>
      <c r="F65" s="40">
        <f>SUMPRODUCT($B17:$E17,$B$43:$E$43)</f>
        <v>0</v>
      </c>
      <c r="G65" s="40">
        <f>SUMPRODUCT($B17:$E17,$B$44:$E$44)</f>
        <v>0</v>
      </c>
      <c r="H65" s="40">
        <f>SUMPRODUCT($B17:$E17,$B$45:$E$45)</f>
        <v>0</v>
      </c>
      <c r="I65" s="40">
        <f>SUMPRODUCT($B17:$E17,$B$46:$E$46)</f>
        <v>0</v>
      </c>
      <c r="J65" s="17"/>
    </row>
    <row r="66" spans="1:10">
      <c r="A66" s="4" t="s">
        <v>213</v>
      </c>
      <c r="B66" s="40">
        <f>SUMPRODUCT($B18:$E18,$B$39:$E$39)</f>
        <v>0</v>
      </c>
      <c r="C66" s="40">
        <f>SUMPRODUCT($B18:$E18,$B$40:$E$40)</f>
        <v>0</v>
      </c>
      <c r="D66" s="40">
        <f>SUMPRODUCT($B18:$E18,$B$41:$E$41)</f>
        <v>0</v>
      </c>
      <c r="E66" s="40">
        <f>SUMPRODUCT($B18:$E18,$B$42:$E$42)</f>
        <v>0</v>
      </c>
      <c r="F66" s="40">
        <f>SUMPRODUCT($B18:$E18,$B$43:$E$43)</f>
        <v>0</v>
      </c>
      <c r="G66" s="40">
        <f>SUMPRODUCT($B18:$E18,$B$44:$E$44)</f>
        <v>0</v>
      </c>
      <c r="H66" s="40">
        <f>SUMPRODUCT($B18:$E18,$B$45:$E$45)</f>
        <v>0</v>
      </c>
      <c r="I66" s="40">
        <f>SUMPRODUCT($B18:$E18,$B$46:$E$46)</f>
        <v>0</v>
      </c>
      <c r="J66" s="17"/>
    </row>
    <row r="67" spans="1:10">
      <c r="A67" s="4" t="s">
        <v>214</v>
      </c>
      <c r="B67" s="40">
        <f>SUMPRODUCT($B19:$E19,$B$39:$E$39)</f>
        <v>0</v>
      </c>
      <c r="C67" s="40">
        <f>SUMPRODUCT($B19:$E19,$B$40:$E$40)</f>
        <v>0</v>
      </c>
      <c r="D67" s="40">
        <f>SUMPRODUCT($B19:$E19,$B$41:$E$41)</f>
        <v>0</v>
      </c>
      <c r="E67" s="40">
        <f>SUMPRODUCT($B19:$E19,$B$42:$E$42)</f>
        <v>0</v>
      </c>
      <c r="F67" s="40">
        <f>SUMPRODUCT($B19:$E19,$B$43:$E$43)</f>
        <v>0</v>
      </c>
      <c r="G67" s="40">
        <f>SUMPRODUCT($B19:$E19,$B$44:$E$44)</f>
        <v>0</v>
      </c>
      <c r="H67" s="40">
        <f>SUMPRODUCT($B19:$E19,$B$45:$E$45)</f>
        <v>0</v>
      </c>
      <c r="I67" s="40">
        <f>SUMPRODUCT($B19:$E19,$B$46:$E$46)</f>
        <v>0</v>
      </c>
      <c r="J67" s="17"/>
    </row>
    <row r="68" spans="1:10">
      <c r="A68" s="4" t="s">
        <v>215</v>
      </c>
      <c r="B68" s="40">
        <f>SUMPRODUCT($B20:$E20,$B$39:$E$39)</f>
        <v>0</v>
      </c>
      <c r="C68" s="40">
        <f>SUMPRODUCT($B20:$E20,$B$40:$E$40)</f>
        <v>0</v>
      </c>
      <c r="D68" s="40">
        <f>SUMPRODUCT($B20:$E20,$B$41:$E$41)</f>
        <v>0</v>
      </c>
      <c r="E68" s="40">
        <f>SUMPRODUCT($B20:$E20,$B$42:$E$42)</f>
        <v>0</v>
      </c>
      <c r="F68" s="40">
        <f>SUMPRODUCT($B20:$E20,$B$43:$E$43)</f>
        <v>0</v>
      </c>
      <c r="G68" s="40">
        <f>SUMPRODUCT($B20:$E20,$B$44:$E$44)</f>
        <v>0</v>
      </c>
      <c r="H68" s="40">
        <f>SUMPRODUCT($B20:$E20,$B$45:$E$45)</f>
        <v>0</v>
      </c>
      <c r="I68" s="40">
        <f>SUMPRODUCT($B20:$E20,$B$46:$E$46)</f>
        <v>0</v>
      </c>
      <c r="J68" s="17"/>
    </row>
    <row r="69" spans="1:10">
      <c r="A69" s="4" t="s">
        <v>216</v>
      </c>
      <c r="B69" s="40">
        <f>SUMPRODUCT($B21:$E21,$B$39:$E$39)</f>
        <v>0</v>
      </c>
      <c r="C69" s="40">
        <f>SUMPRODUCT($B21:$E21,$B$40:$E$40)</f>
        <v>0</v>
      </c>
      <c r="D69" s="40">
        <f>SUMPRODUCT($B21:$E21,$B$41:$E$41)</f>
        <v>0</v>
      </c>
      <c r="E69" s="40">
        <f>SUMPRODUCT($B21:$E21,$B$42:$E$42)</f>
        <v>0</v>
      </c>
      <c r="F69" s="40">
        <f>SUMPRODUCT($B21:$E21,$B$43:$E$43)</f>
        <v>0</v>
      </c>
      <c r="G69" s="40">
        <f>SUMPRODUCT($B21:$E21,$B$44:$E$44)</f>
        <v>0</v>
      </c>
      <c r="H69" s="40">
        <f>SUMPRODUCT($B21:$E21,$B$45:$E$45)</f>
        <v>0</v>
      </c>
      <c r="I69" s="40">
        <f>SUMPRODUCT($B21:$E21,$B$46:$E$46)</f>
        <v>0</v>
      </c>
      <c r="J69" s="17"/>
    </row>
    <row r="70" spans="1:10">
      <c r="A70" s="4" t="s">
        <v>217</v>
      </c>
      <c r="B70" s="40">
        <f>SUMPRODUCT($B22:$E22,$B$39:$E$39)</f>
        <v>0</v>
      </c>
      <c r="C70" s="40">
        <f>SUMPRODUCT($B22:$E22,$B$40:$E$40)</f>
        <v>0</v>
      </c>
      <c r="D70" s="40">
        <f>SUMPRODUCT($B22:$E22,$B$41:$E$41)</f>
        <v>0</v>
      </c>
      <c r="E70" s="40">
        <f>SUMPRODUCT($B22:$E22,$B$42:$E$42)</f>
        <v>0</v>
      </c>
      <c r="F70" s="40">
        <f>SUMPRODUCT($B22:$E22,$B$43:$E$43)</f>
        <v>0</v>
      </c>
      <c r="G70" s="40">
        <f>SUMPRODUCT($B22:$E22,$B$44:$E$44)</f>
        <v>0</v>
      </c>
      <c r="H70" s="40">
        <f>SUMPRODUCT($B22:$E22,$B$45:$E$45)</f>
        <v>0</v>
      </c>
      <c r="I70" s="40">
        <f>SUMPRODUCT($B22:$E22,$B$46:$E$46)</f>
        <v>0</v>
      </c>
      <c r="J70" s="17"/>
    </row>
    <row r="71" spans="1:10">
      <c r="A71" s="4" t="s">
        <v>182</v>
      </c>
      <c r="B71" s="40">
        <f>SUMPRODUCT($B23:$E23,$B$39:$E$39)</f>
        <v>0</v>
      </c>
      <c r="C71" s="40">
        <f>SUMPRODUCT($B23:$E23,$B$40:$E$40)</f>
        <v>0</v>
      </c>
      <c r="D71" s="40">
        <f>SUMPRODUCT($B23:$E23,$B$41:$E$41)</f>
        <v>0</v>
      </c>
      <c r="E71" s="40">
        <f>SUMPRODUCT($B23:$E23,$B$42:$E$42)</f>
        <v>0</v>
      </c>
      <c r="F71" s="40">
        <f>SUMPRODUCT($B23:$E23,$B$43:$E$43)</f>
        <v>0</v>
      </c>
      <c r="G71" s="40">
        <f>SUMPRODUCT($B23:$E23,$B$44:$E$44)</f>
        <v>0</v>
      </c>
      <c r="H71" s="40">
        <f>SUMPRODUCT($B23:$E23,$B$45:$E$45)</f>
        <v>0</v>
      </c>
      <c r="I71" s="40">
        <f>SUMPRODUCT($B23:$E23,$B$46:$E$46)</f>
        <v>0</v>
      </c>
      <c r="J71" s="17"/>
    </row>
    <row r="72" spans="1:10">
      <c r="A72" s="4" t="s">
        <v>183</v>
      </c>
      <c r="B72" s="40">
        <f>SUMPRODUCT($B24:$E24,$B$39:$E$39)</f>
        <v>0</v>
      </c>
      <c r="C72" s="40">
        <f>SUMPRODUCT($B24:$E24,$B$40:$E$40)</f>
        <v>0</v>
      </c>
      <c r="D72" s="40">
        <f>SUMPRODUCT($B24:$E24,$B$41:$E$41)</f>
        <v>0</v>
      </c>
      <c r="E72" s="40">
        <f>SUMPRODUCT($B24:$E24,$B$42:$E$42)</f>
        <v>0</v>
      </c>
      <c r="F72" s="40">
        <f>SUMPRODUCT($B24:$E24,$B$43:$E$43)</f>
        <v>0</v>
      </c>
      <c r="G72" s="40">
        <f>SUMPRODUCT($B24:$E24,$B$44:$E$44)</f>
        <v>0</v>
      </c>
      <c r="H72" s="40">
        <f>SUMPRODUCT($B24:$E24,$B$45:$E$45)</f>
        <v>0</v>
      </c>
      <c r="I72" s="40">
        <f>SUMPRODUCT($B24:$E24,$B$46:$E$46)</f>
        <v>0</v>
      </c>
      <c r="J72" s="17"/>
    </row>
    <row r="73" spans="1:10">
      <c r="A73" s="4" t="s">
        <v>184</v>
      </c>
      <c r="B73" s="40">
        <f>SUMPRODUCT($B25:$E25,$B$39:$E$39)</f>
        <v>0</v>
      </c>
      <c r="C73" s="40">
        <f>SUMPRODUCT($B25:$E25,$B$40:$E$40)</f>
        <v>0</v>
      </c>
      <c r="D73" s="40">
        <f>SUMPRODUCT($B25:$E25,$B$41:$E$41)</f>
        <v>0</v>
      </c>
      <c r="E73" s="40">
        <f>SUMPRODUCT($B25:$E25,$B$42:$E$42)</f>
        <v>0</v>
      </c>
      <c r="F73" s="40">
        <f>SUMPRODUCT($B25:$E25,$B$43:$E$43)</f>
        <v>0</v>
      </c>
      <c r="G73" s="40">
        <f>SUMPRODUCT($B25:$E25,$B$44:$E$44)</f>
        <v>0</v>
      </c>
      <c r="H73" s="40">
        <f>SUMPRODUCT($B25:$E25,$B$45:$E$45)</f>
        <v>0</v>
      </c>
      <c r="I73" s="40">
        <f>SUMPRODUCT($B25:$E25,$B$46:$E$46)</f>
        <v>0</v>
      </c>
      <c r="J73" s="17"/>
    </row>
    <row r="74" spans="1:10">
      <c r="A74" s="4" t="s">
        <v>185</v>
      </c>
      <c r="B74" s="40">
        <f>SUMPRODUCT($B26:$E26,$B$39:$E$39)</f>
        <v>0</v>
      </c>
      <c r="C74" s="40">
        <f>SUMPRODUCT($B26:$E26,$B$40:$E$40)</f>
        <v>0</v>
      </c>
      <c r="D74" s="40">
        <f>SUMPRODUCT($B26:$E26,$B$41:$E$41)</f>
        <v>0</v>
      </c>
      <c r="E74" s="40">
        <f>SUMPRODUCT($B26:$E26,$B$42:$E$42)</f>
        <v>0</v>
      </c>
      <c r="F74" s="40">
        <f>SUMPRODUCT($B26:$E26,$B$43:$E$43)</f>
        <v>0</v>
      </c>
      <c r="G74" s="40">
        <f>SUMPRODUCT($B26:$E26,$B$44:$E$44)</f>
        <v>0</v>
      </c>
      <c r="H74" s="40">
        <f>SUMPRODUCT($B26:$E26,$B$45:$E$45)</f>
        <v>0</v>
      </c>
      <c r="I74" s="40">
        <f>SUMPRODUCT($B26:$E26,$B$46:$E$46)</f>
        <v>0</v>
      </c>
      <c r="J74" s="17"/>
    </row>
    <row r="75" spans="1:10">
      <c r="A75" s="4" t="s">
        <v>186</v>
      </c>
      <c r="B75" s="40">
        <f>SUMPRODUCT($B27:$E27,$B$39:$E$39)</f>
        <v>0</v>
      </c>
      <c r="C75" s="40">
        <f>SUMPRODUCT($B27:$E27,$B$40:$E$40)</f>
        <v>0</v>
      </c>
      <c r="D75" s="40">
        <f>SUMPRODUCT($B27:$E27,$B$41:$E$41)</f>
        <v>0</v>
      </c>
      <c r="E75" s="40">
        <f>SUMPRODUCT($B27:$E27,$B$42:$E$42)</f>
        <v>0</v>
      </c>
      <c r="F75" s="40">
        <f>SUMPRODUCT($B27:$E27,$B$43:$E$43)</f>
        <v>0</v>
      </c>
      <c r="G75" s="40">
        <f>SUMPRODUCT($B27:$E27,$B$44:$E$44)</f>
        <v>0</v>
      </c>
      <c r="H75" s="40">
        <f>SUMPRODUCT($B27:$E27,$B$45:$E$45)</f>
        <v>0</v>
      </c>
      <c r="I75" s="40">
        <f>SUMPRODUCT($B27:$E27,$B$46:$E$46)</f>
        <v>0</v>
      </c>
      <c r="J75" s="17"/>
    </row>
    <row r="76" spans="1:10">
      <c r="A76" s="4" t="s">
        <v>187</v>
      </c>
      <c r="B76" s="40">
        <f>SUMPRODUCT($B28:$E28,$B$39:$E$39)</f>
        <v>0</v>
      </c>
      <c r="C76" s="40">
        <f>SUMPRODUCT($B28:$E28,$B$40:$E$40)</f>
        <v>0</v>
      </c>
      <c r="D76" s="40">
        <f>SUMPRODUCT($B28:$E28,$B$41:$E$41)</f>
        <v>0</v>
      </c>
      <c r="E76" s="40">
        <f>SUMPRODUCT($B28:$E28,$B$42:$E$42)</f>
        <v>0</v>
      </c>
      <c r="F76" s="40">
        <f>SUMPRODUCT($B28:$E28,$B$43:$E$43)</f>
        <v>0</v>
      </c>
      <c r="G76" s="40">
        <f>SUMPRODUCT($B28:$E28,$B$44:$E$44)</f>
        <v>0</v>
      </c>
      <c r="H76" s="40">
        <f>SUMPRODUCT($B28:$E28,$B$45:$E$45)</f>
        <v>0</v>
      </c>
      <c r="I76" s="40">
        <f>SUMPRODUCT($B28:$E28,$B$46:$E$46)</f>
        <v>0</v>
      </c>
      <c r="J76" s="17"/>
    </row>
    <row r="77" spans="1:10">
      <c r="A77" s="4" t="s">
        <v>194</v>
      </c>
      <c r="B77" s="40">
        <f>SUMPRODUCT($B29:$E29,$B$39:$E$39)</f>
        <v>0</v>
      </c>
      <c r="C77" s="40">
        <f>SUMPRODUCT($B29:$E29,$B$40:$E$40)</f>
        <v>0</v>
      </c>
      <c r="D77" s="40">
        <f>SUMPRODUCT($B29:$E29,$B$41:$E$41)</f>
        <v>0</v>
      </c>
      <c r="E77" s="40">
        <f>SUMPRODUCT($B29:$E29,$B$42:$E$42)</f>
        <v>0</v>
      </c>
      <c r="F77" s="40">
        <f>SUMPRODUCT($B29:$E29,$B$43:$E$43)</f>
        <v>0</v>
      </c>
      <c r="G77" s="40">
        <f>SUMPRODUCT($B29:$E29,$B$44:$E$44)</f>
        <v>0</v>
      </c>
      <c r="H77" s="40">
        <f>SUMPRODUCT($B29:$E29,$B$45:$E$45)</f>
        <v>0</v>
      </c>
      <c r="I77" s="40">
        <f>SUMPRODUCT($B29:$E29,$B$46:$E$46)</f>
        <v>0</v>
      </c>
      <c r="J77" s="17"/>
    </row>
    <row r="78" spans="1:10">
      <c r="A78" s="4" t="s">
        <v>195</v>
      </c>
      <c r="B78" s="40">
        <f>SUMPRODUCT($B30:$E30,$B$39:$E$39)</f>
        <v>0</v>
      </c>
      <c r="C78" s="40">
        <f>SUMPRODUCT($B30:$E30,$B$40:$E$40)</f>
        <v>0</v>
      </c>
      <c r="D78" s="40">
        <f>SUMPRODUCT($B30:$E30,$B$41:$E$41)</f>
        <v>0</v>
      </c>
      <c r="E78" s="40">
        <f>SUMPRODUCT($B30:$E30,$B$42:$E$42)</f>
        <v>0</v>
      </c>
      <c r="F78" s="40">
        <f>SUMPRODUCT($B30:$E30,$B$43:$E$43)</f>
        <v>0</v>
      </c>
      <c r="G78" s="40">
        <f>SUMPRODUCT($B30:$E30,$B$44:$E$44)</f>
        <v>0</v>
      </c>
      <c r="H78" s="40">
        <f>SUMPRODUCT($B30:$E30,$B$45:$E$45)</f>
        <v>0</v>
      </c>
      <c r="I78" s="40">
        <f>SUMPRODUCT($B30:$E30,$B$46:$E$46)</f>
        <v>0</v>
      </c>
      <c r="J78" s="17"/>
    </row>
    <row r="80" spans="1:10" ht="21" customHeight="1">
      <c r="A80" s="1" t="s">
        <v>962</v>
      </c>
    </row>
    <row r="81" spans="1:20">
      <c r="A81" s="2" t="s">
        <v>351</v>
      </c>
    </row>
    <row r="82" spans="1:20">
      <c r="A82" s="2" t="s">
        <v>963</v>
      </c>
    </row>
    <row r="83" spans="1:20">
      <c r="A83" s="2" t="s">
        <v>964</v>
      </c>
    </row>
    <row r="84" spans="1:20">
      <c r="A84" s="33" t="s">
        <v>965</v>
      </c>
    </row>
    <row r="85" spans="1:20">
      <c r="A85" s="2" t="s">
        <v>394</v>
      </c>
    </row>
    <row r="87" spans="1:20">
      <c r="B87" s="15" t="s">
        <v>142</v>
      </c>
      <c r="C87" s="15" t="s">
        <v>306</v>
      </c>
      <c r="D87" s="15" t="s">
        <v>307</v>
      </c>
      <c r="E87" s="15" t="s">
        <v>308</v>
      </c>
      <c r="F87" s="15" t="s">
        <v>309</v>
      </c>
      <c r="G87" s="15" t="s">
        <v>310</v>
      </c>
      <c r="H87" s="15" t="s">
        <v>311</v>
      </c>
      <c r="I87" s="15" t="s">
        <v>312</v>
      </c>
      <c r="J87" s="15" t="s">
        <v>313</v>
      </c>
      <c r="K87" s="15" t="s">
        <v>294</v>
      </c>
      <c r="L87" s="15" t="s">
        <v>877</v>
      </c>
      <c r="M87" s="15" t="s">
        <v>878</v>
      </c>
      <c r="N87" s="15" t="s">
        <v>879</v>
      </c>
      <c r="O87" s="15" t="s">
        <v>880</v>
      </c>
      <c r="P87" s="15" t="s">
        <v>881</v>
      </c>
      <c r="Q87" s="15" t="s">
        <v>882</v>
      </c>
      <c r="R87" s="15" t="s">
        <v>883</v>
      </c>
      <c r="S87" s="15" t="s">
        <v>884</v>
      </c>
    </row>
    <row r="88" spans="1:20">
      <c r="A88" s="4" t="s">
        <v>174</v>
      </c>
      <c r="B88" s="41">
        <v>0</v>
      </c>
      <c r="C88" s="42">
        <f>$B55</f>
        <v>0</v>
      </c>
      <c r="D88" s="42">
        <f>$C55</f>
        <v>0</v>
      </c>
      <c r="E88" s="42">
        <f>$D55</f>
        <v>0</v>
      </c>
      <c r="F88" s="42">
        <f>$E55</f>
        <v>0</v>
      </c>
      <c r="G88" s="42">
        <f>$F55</f>
        <v>0</v>
      </c>
      <c r="H88" s="42">
        <f>$G55</f>
        <v>0</v>
      </c>
      <c r="I88" s="42">
        <f>$H55</f>
        <v>0</v>
      </c>
      <c r="J88" s="42">
        <f>$I55</f>
        <v>0</v>
      </c>
      <c r="K88" s="41">
        <v>0</v>
      </c>
      <c r="L88" s="41">
        <v>0</v>
      </c>
      <c r="M88" s="41">
        <v>0</v>
      </c>
      <c r="N88" s="41">
        <v>0</v>
      </c>
      <c r="O88" s="41">
        <v>0</v>
      </c>
      <c r="P88" s="41">
        <v>0</v>
      </c>
      <c r="Q88" s="41">
        <v>0</v>
      </c>
      <c r="R88" s="41">
        <v>0</v>
      </c>
      <c r="S88" s="41">
        <v>0</v>
      </c>
      <c r="T88" s="17"/>
    </row>
    <row r="89" spans="1:20">
      <c r="A89" s="4" t="s">
        <v>175</v>
      </c>
      <c r="B89" s="41">
        <v>0</v>
      </c>
      <c r="C89" s="42">
        <f>$B56</f>
        <v>0</v>
      </c>
      <c r="D89" s="42">
        <f>$C56</f>
        <v>0</v>
      </c>
      <c r="E89" s="42">
        <f>$D56</f>
        <v>0</v>
      </c>
      <c r="F89" s="42">
        <f>$E56</f>
        <v>0</v>
      </c>
      <c r="G89" s="42">
        <f>$F56</f>
        <v>0</v>
      </c>
      <c r="H89" s="42">
        <f>$G56</f>
        <v>0</v>
      </c>
      <c r="I89" s="42">
        <f>$H56</f>
        <v>0</v>
      </c>
      <c r="J89" s="42">
        <f>$I56</f>
        <v>0</v>
      </c>
      <c r="K89" s="41">
        <v>0</v>
      </c>
      <c r="L89" s="41">
        <v>0</v>
      </c>
      <c r="M89" s="41">
        <v>0</v>
      </c>
      <c r="N89" s="41">
        <v>0</v>
      </c>
      <c r="O89" s="41">
        <v>0</v>
      </c>
      <c r="P89" s="41">
        <v>0</v>
      </c>
      <c r="Q89" s="41">
        <v>0</v>
      </c>
      <c r="R89" s="41">
        <v>0</v>
      </c>
      <c r="S89" s="41">
        <v>0</v>
      </c>
      <c r="T89" s="17"/>
    </row>
    <row r="90" spans="1:20">
      <c r="A90" s="4" t="s">
        <v>211</v>
      </c>
      <c r="B90" s="41">
        <v>0</v>
      </c>
      <c r="C90" s="42">
        <f>$B57</f>
        <v>0</v>
      </c>
      <c r="D90" s="42">
        <f>$C57</f>
        <v>0</v>
      </c>
      <c r="E90" s="42">
        <f>$D57</f>
        <v>0</v>
      </c>
      <c r="F90" s="42">
        <f>$E57</f>
        <v>0</v>
      </c>
      <c r="G90" s="42">
        <f>$F57</f>
        <v>0</v>
      </c>
      <c r="H90" s="42">
        <f>$G57</f>
        <v>0</v>
      </c>
      <c r="I90" s="42">
        <f>$H57</f>
        <v>0</v>
      </c>
      <c r="J90" s="42">
        <f>$I57</f>
        <v>0</v>
      </c>
      <c r="K90" s="41">
        <v>0</v>
      </c>
      <c r="L90" s="41">
        <v>0</v>
      </c>
      <c r="M90" s="41">
        <v>0</v>
      </c>
      <c r="N90" s="41">
        <v>0</v>
      </c>
      <c r="O90" s="41">
        <v>0</v>
      </c>
      <c r="P90" s="41">
        <v>0</v>
      </c>
      <c r="Q90" s="41">
        <v>0</v>
      </c>
      <c r="R90" s="41">
        <v>0</v>
      </c>
      <c r="S90" s="41">
        <v>0</v>
      </c>
      <c r="T90" s="17"/>
    </row>
    <row r="91" spans="1:20">
      <c r="A91" s="4" t="s">
        <v>176</v>
      </c>
      <c r="B91" s="41">
        <v>0</v>
      </c>
      <c r="C91" s="42">
        <f>$B58</f>
        <v>0</v>
      </c>
      <c r="D91" s="42">
        <f>$C58</f>
        <v>0</v>
      </c>
      <c r="E91" s="42">
        <f>$D58</f>
        <v>0</v>
      </c>
      <c r="F91" s="42">
        <f>$E58</f>
        <v>0</v>
      </c>
      <c r="G91" s="42">
        <f>$F58</f>
        <v>0</v>
      </c>
      <c r="H91" s="42">
        <f>$G58</f>
        <v>0</v>
      </c>
      <c r="I91" s="42">
        <f>$H58</f>
        <v>0</v>
      </c>
      <c r="J91" s="42">
        <f>$I58</f>
        <v>0</v>
      </c>
      <c r="K91" s="41">
        <v>0</v>
      </c>
      <c r="L91" s="41">
        <v>0</v>
      </c>
      <c r="M91" s="41">
        <v>0</v>
      </c>
      <c r="N91" s="41">
        <v>0</v>
      </c>
      <c r="O91" s="41">
        <v>0</v>
      </c>
      <c r="P91" s="41">
        <v>0</v>
      </c>
      <c r="Q91" s="41">
        <v>0</v>
      </c>
      <c r="R91" s="41">
        <v>0</v>
      </c>
      <c r="S91" s="41">
        <v>0</v>
      </c>
      <c r="T91" s="17"/>
    </row>
    <row r="92" spans="1:20">
      <c r="A92" s="4" t="s">
        <v>177</v>
      </c>
      <c r="B92" s="41">
        <v>0</v>
      </c>
      <c r="C92" s="42">
        <f>$B59</f>
        <v>0</v>
      </c>
      <c r="D92" s="42">
        <f>$C59</f>
        <v>0</v>
      </c>
      <c r="E92" s="42">
        <f>$D59</f>
        <v>0</v>
      </c>
      <c r="F92" s="42">
        <f>$E59</f>
        <v>0</v>
      </c>
      <c r="G92" s="42">
        <f>$F59</f>
        <v>0</v>
      </c>
      <c r="H92" s="42">
        <f>$G59</f>
        <v>0</v>
      </c>
      <c r="I92" s="42">
        <f>$H59</f>
        <v>0</v>
      </c>
      <c r="J92" s="42">
        <f>$I59</f>
        <v>0</v>
      </c>
      <c r="K92" s="41">
        <v>0</v>
      </c>
      <c r="L92" s="41">
        <v>0</v>
      </c>
      <c r="M92" s="41">
        <v>0</v>
      </c>
      <c r="N92" s="41">
        <v>0</v>
      </c>
      <c r="O92" s="41">
        <v>0</v>
      </c>
      <c r="P92" s="41">
        <v>0</v>
      </c>
      <c r="Q92" s="41">
        <v>0</v>
      </c>
      <c r="R92" s="41">
        <v>0</v>
      </c>
      <c r="S92" s="41">
        <v>0</v>
      </c>
      <c r="T92" s="17"/>
    </row>
    <row r="93" spans="1:20">
      <c r="A93" s="4" t="s">
        <v>212</v>
      </c>
      <c r="B93" s="41">
        <v>0</v>
      </c>
      <c r="C93" s="42">
        <f>$B60</f>
        <v>0</v>
      </c>
      <c r="D93" s="42">
        <f>$C60</f>
        <v>0</v>
      </c>
      <c r="E93" s="42">
        <f>$D60</f>
        <v>0</v>
      </c>
      <c r="F93" s="42">
        <f>$E60</f>
        <v>0</v>
      </c>
      <c r="G93" s="42">
        <f>$F60</f>
        <v>0</v>
      </c>
      <c r="H93" s="42">
        <f>$G60</f>
        <v>0</v>
      </c>
      <c r="I93" s="42">
        <f>$H60</f>
        <v>0</v>
      </c>
      <c r="J93" s="42">
        <f>$I60</f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  <c r="Q93" s="41">
        <v>0</v>
      </c>
      <c r="R93" s="41">
        <v>0</v>
      </c>
      <c r="S93" s="41">
        <v>0</v>
      </c>
      <c r="T93" s="17"/>
    </row>
    <row r="94" spans="1:20">
      <c r="A94" s="4" t="s">
        <v>178</v>
      </c>
      <c r="B94" s="41">
        <v>0</v>
      </c>
      <c r="C94" s="42">
        <f>$B61</f>
        <v>0</v>
      </c>
      <c r="D94" s="42">
        <f>$C61</f>
        <v>0</v>
      </c>
      <c r="E94" s="42">
        <f>$D61</f>
        <v>0</v>
      </c>
      <c r="F94" s="42">
        <f>$E61</f>
        <v>0</v>
      </c>
      <c r="G94" s="42">
        <f>$F61</f>
        <v>0</v>
      </c>
      <c r="H94" s="42">
        <f>$G61</f>
        <v>0</v>
      </c>
      <c r="I94" s="42">
        <f>$H61</f>
        <v>0</v>
      </c>
      <c r="J94" s="42">
        <f>$I61</f>
        <v>0</v>
      </c>
      <c r="K94" s="41">
        <v>0</v>
      </c>
      <c r="L94" s="41">
        <v>0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  <c r="R94" s="41">
        <v>0</v>
      </c>
      <c r="S94" s="41">
        <v>0</v>
      </c>
      <c r="T94" s="17"/>
    </row>
    <row r="95" spans="1:20">
      <c r="A95" s="4" t="s">
        <v>179</v>
      </c>
      <c r="B95" s="41">
        <v>0</v>
      </c>
      <c r="C95" s="42">
        <f>$B62</f>
        <v>0</v>
      </c>
      <c r="D95" s="42">
        <f>$C62</f>
        <v>0</v>
      </c>
      <c r="E95" s="42">
        <f>$D62</f>
        <v>0</v>
      </c>
      <c r="F95" s="42">
        <f>$E62</f>
        <v>0</v>
      </c>
      <c r="G95" s="42">
        <f>$F62</f>
        <v>0</v>
      </c>
      <c r="H95" s="42">
        <f>$G62</f>
        <v>0</v>
      </c>
      <c r="I95" s="42">
        <f>$H62</f>
        <v>0</v>
      </c>
      <c r="J95" s="42">
        <f>$I62</f>
        <v>0</v>
      </c>
      <c r="K95" s="41">
        <v>0</v>
      </c>
      <c r="L95" s="41">
        <v>0</v>
      </c>
      <c r="M95" s="41">
        <v>0</v>
      </c>
      <c r="N95" s="41">
        <v>0</v>
      </c>
      <c r="O95" s="41">
        <v>0</v>
      </c>
      <c r="P95" s="41">
        <v>0</v>
      </c>
      <c r="Q95" s="41">
        <v>0</v>
      </c>
      <c r="R95" s="41">
        <v>0</v>
      </c>
      <c r="S95" s="41">
        <v>0</v>
      </c>
      <c r="T95" s="17"/>
    </row>
    <row r="96" spans="1:20">
      <c r="A96" s="4" t="s">
        <v>180</v>
      </c>
      <c r="B96" s="41">
        <v>0</v>
      </c>
      <c r="C96" s="42">
        <f>$B63</f>
        <v>0</v>
      </c>
      <c r="D96" s="42">
        <f>$C63</f>
        <v>0</v>
      </c>
      <c r="E96" s="42">
        <f>$D63</f>
        <v>0</v>
      </c>
      <c r="F96" s="42">
        <f>$E63</f>
        <v>0</v>
      </c>
      <c r="G96" s="42">
        <f>$F63</f>
        <v>0</v>
      </c>
      <c r="H96" s="42">
        <f>$G63</f>
        <v>0</v>
      </c>
      <c r="I96" s="42">
        <f>$H63</f>
        <v>0</v>
      </c>
      <c r="J96" s="42">
        <f>$I63</f>
        <v>0</v>
      </c>
      <c r="K96" s="41">
        <v>0</v>
      </c>
      <c r="L96" s="41">
        <v>0</v>
      </c>
      <c r="M96" s="41">
        <v>0</v>
      </c>
      <c r="N96" s="41">
        <v>0</v>
      </c>
      <c r="O96" s="41">
        <v>0</v>
      </c>
      <c r="P96" s="41">
        <v>0</v>
      </c>
      <c r="Q96" s="41">
        <v>0</v>
      </c>
      <c r="R96" s="41">
        <v>0</v>
      </c>
      <c r="S96" s="41">
        <v>0</v>
      </c>
      <c r="T96" s="17"/>
    </row>
    <row r="97" spans="1:20">
      <c r="A97" s="4" t="s">
        <v>181</v>
      </c>
      <c r="B97" s="41">
        <v>0</v>
      </c>
      <c r="C97" s="42">
        <f>$B64</f>
        <v>0</v>
      </c>
      <c r="D97" s="42">
        <f>$C64</f>
        <v>0</v>
      </c>
      <c r="E97" s="42">
        <f>$D64</f>
        <v>0</v>
      </c>
      <c r="F97" s="42">
        <f>$E64</f>
        <v>0</v>
      </c>
      <c r="G97" s="42">
        <f>$F64</f>
        <v>0</v>
      </c>
      <c r="H97" s="42">
        <f>$G64</f>
        <v>0</v>
      </c>
      <c r="I97" s="42">
        <f>$H64</f>
        <v>0</v>
      </c>
      <c r="J97" s="42">
        <f>$I64</f>
        <v>0</v>
      </c>
      <c r="K97" s="41">
        <v>0</v>
      </c>
      <c r="L97" s="41">
        <v>0</v>
      </c>
      <c r="M97" s="41">
        <v>0</v>
      </c>
      <c r="N97" s="41">
        <v>0</v>
      </c>
      <c r="O97" s="41">
        <v>0</v>
      </c>
      <c r="P97" s="41">
        <v>0</v>
      </c>
      <c r="Q97" s="41">
        <v>0</v>
      </c>
      <c r="R97" s="41">
        <v>0</v>
      </c>
      <c r="S97" s="41">
        <v>0</v>
      </c>
      <c r="T97" s="17"/>
    </row>
    <row r="98" spans="1:20">
      <c r="A98" s="4" t="s">
        <v>193</v>
      </c>
      <c r="B98" s="41">
        <v>0</v>
      </c>
      <c r="C98" s="42">
        <f>$B65</f>
        <v>0</v>
      </c>
      <c r="D98" s="42">
        <f>$C65</f>
        <v>0</v>
      </c>
      <c r="E98" s="42">
        <f>$D65</f>
        <v>0</v>
      </c>
      <c r="F98" s="42">
        <f>$E65</f>
        <v>0</v>
      </c>
      <c r="G98" s="42">
        <f>$F65</f>
        <v>0</v>
      </c>
      <c r="H98" s="42">
        <f>$G65</f>
        <v>0</v>
      </c>
      <c r="I98" s="42">
        <f>$H65</f>
        <v>0</v>
      </c>
      <c r="J98" s="42">
        <f>$I65</f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  <c r="Q98" s="41">
        <v>0</v>
      </c>
      <c r="R98" s="41">
        <v>0</v>
      </c>
      <c r="S98" s="41">
        <v>0</v>
      </c>
      <c r="T98" s="17"/>
    </row>
    <row r="99" spans="1:20">
      <c r="A99" s="4" t="s">
        <v>213</v>
      </c>
      <c r="B99" s="41">
        <v>0</v>
      </c>
      <c r="C99" s="42">
        <f>$B66</f>
        <v>0</v>
      </c>
      <c r="D99" s="42">
        <f>$C66</f>
        <v>0</v>
      </c>
      <c r="E99" s="42">
        <f>$D66</f>
        <v>0</v>
      </c>
      <c r="F99" s="42">
        <f>$E66</f>
        <v>0</v>
      </c>
      <c r="G99" s="42">
        <f>$F66</f>
        <v>0</v>
      </c>
      <c r="H99" s="42">
        <f>$G66</f>
        <v>0</v>
      </c>
      <c r="I99" s="42">
        <f>$H66</f>
        <v>0</v>
      </c>
      <c r="J99" s="42">
        <f>$I66</f>
        <v>0</v>
      </c>
      <c r="K99" s="41">
        <v>0</v>
      </c>
      <c r="L99" s="41">
        <v>0</v>
      </c>
      <c r="M99" s="41">
        <v>0</v>
      </c>
      <c r="N99" s="41">
        <v>0</v>
      </c>
      <c r="O99" s="41">
        <v>0</v>
      </c>
      <c r="P99" s="41">
        <v>0</v>
      </c>
      <c r="Q99" s="41">
        <v>0</v>
      </c>
      <c r="R99" s="41">
        <v>0</v>
      </c>
      <c r="S99" s="41">
        <v>0</v>
      </c>
      <c r="T99" s="17"/>
    </row>
    <row r="100" spans="1:20">
      <c r="A100" s="4" t="s">
        <v>214</v>
      </c>
      <c r="B100" s="41">
        <v>0</v>
      </c>
      <c r="C100" s="42">
        <f>$B67</f>
        <v>0</v>
      </c>
      <c r="D100" s="42">
        <f>$C67</f>
        <v>0</v>
      </c>
      <c r="E100" s="42">
        <f>$D67</f>
        <v>0</v>
      </c>
      <c r="F100" s="42">
        <f>$E67</f>
        <v>0</v>
      </c>
      <c r="G100" s="42">
        <f>$F67</f>
        <v>0</v>
      </c>
      <c r="H100" s="42">
        <f>$G67</f>
        <v>0</v>
      </c>
      <c r="I100" s="42">
        <f>$H67</f>
        <v>0</v>
      </c>
      <c r="J100" s="42">
        <f>$I67</f>
        <v>0</v>
      </c>
      <c r="K100" s="41">
        <v>0</v>
      </c>
      <c r="L100" s="41">
        <v>0</v>
      </c>
      <c r="M100" s="41">
        <v>0</v>
      </c>
      <c r="N100" s="41">
        <v>0</v>
      </c>
      <c r="O100" s="41">
        <v>0</v>
      </c>
      <c r="P100" s="41">
        <v>0</v>
      </c>
      <c r="Q100" s="41">
        <v>0</v>
      </c>
      <c r="R100" s="41">
        <v>0</v>
      </c>
      <c r="S100" s="41">
        <v>0</v>
      </c>
      <c r="T100" s="17"/>
    </row>
    <row r="101" spans="1:20">
      <c r="A101" s="4" t="s">
        <v>215</v>
      </c>
      <c r="B101" s="41">
        <v>0</v>
      </c>
      <c r="C101" s="42">
        <f>$B68</f>
        <v>0</v>
      </c>
      <c r="D101" s="42">
        <f>$C68</f>
        <v>0</v>
      </c>
      <c r="E101" s="42">
        <f>$D68</f>
        <v>0</v>
      </c>
      <c r="F101" s="42">
        <f>$E68</f>
        <v>0</v>
      </c>
      <c r="G101" s="42">
        <f>$F68</f>
        <v>0</v>
      </c>
      <c r="H101" s="42">
        <f>$G68</f>
        <v>0</v>
      </c>
      <c r="I101" s="42">
        <f>$H68</f>
        <v>0</v>
      </c>
      <c r="J101" s="42">
        <f>$I68</f>
        <v>0</v>
      </c>
      <c r="K101" s="41">
        <v>0</v>
      </c>
      <c r="L101" s="41">
        <v>0</v>
      </c>
      <c r="M101" s="41">
        <v>0</v>
      </c>
      <c r="N101" s="41">
        <v>0</v>
      </c>
      <c r="O101" s="41">
        <v>0</v>
      </c>
      <c r="P101" s="41">
        <v>0</v>
      </c>
      <c r="Q101" s="41">
        <v>0</v>
      </c>
      <c r="R101" s="41">
        <v>0</v>
      </c>
      <c r="S101" s="41">
        <v>0</v>
      </c>
      <c r="T101" s="17"/>
    </row>
    <row r="102" spans="1:20">
      <c r="A102" s="4" t="s">
        <v>216</v>
      </c>
      <c r="B102" s="41">
        <v>0</v>
      </c>
      <c r="C102" s="42">
        <f>$B69</f>
        <v>0</v>
      </c>
      <c r="D102" s="42">
        <f>$C69</f>
        <v>0</v>
      </c>
      <c r="E102" s="42">
        <f>$D69</f>
        <v>0</v>
      </c>
      <c r="F102" s="42">
        <f>$E69</f>
        <v>0</v>
      </c>
      <c r="G102" s="42">
        <f>$F69</f>
        <v>0</v>
      </c>
      <c r="H102" s="42">
        <f>$G69</f>
        <v>0</v>
      </c>
      <c r="I102" s="42">
        <f>$H69</f>
        <v>0</v>
      </c>
      <c r="J102" s="42">
        <f>$I69</f>
        <v>0</v>
      </c>
      <c r="K102" s="41">
        <v>0</v>
      </c>
      <c r="L102" s="41">
        <v>0</v>
      </c>
      <c r="M102" s="41">
        <v>0</v>
      </c>
      <c r="N102" s="41">
        <v>0</v>
      </c>
      <c r="O102" s="41">
        <v>0</v>
      </c>
      <c r="P102" s="41">
        <v>0</v>
      </c>
      <c r="Q102" s="41">
        <v>0</v>
      </c>
      <c r="R102" s="41">
        <v>0</v>
      </c>
      <c r="S102" s="41">
        <v>0</v>
      </c>
      <c r="T102" s="17"/>
    </row>
    <row r="103" spans="1:20">
      <c r="A103" s="4" t="s">
        <v>217</v>
      </c>
      <c r="B103" s="41">
        <v>0</v>
      </c>
      <c r="C103" s="42">
        <f>$B70</f>
        <v>0</v>
      </c>
      <c r="D103" s="42">
        <f>$C70</f>
        <v>0</v>
      </c>
      <c r="E103" s="42">
        <f>$D70</f>
        <v>0</v>
      </c>
      <c r="F103" s="42">
        <f>$E70</f>
        <v>0</v>
      </c>
      <c r="G103" s="42">
        <f>$F70</f>
        <v>0</v>
      </c>
      <c r="H103" s="42">
        <f>$G70</f>
        <v>0</v>
      </c>
      <c r="I103" s="42">
        <f>$H70</f>
        <v>0</v>
      </c>
      <c r="J103" s="42">
        <f>$I70</f>
        <v>0</v>
      </c>
      <c r="K103" s="41">
        <v>0</v>
      </c>
      <c r="L103" s="41">
        <v>0</v>
      </c>
      <c r="M103" s="41">
        <v>0</v>
      </c>
      <c r="N103" s="41">
        <v>0</v>
      </c>
      <c r="O103" s="41">
        <v>0</v>
      </c>
      <c r="P103" s="41">
        <v>0</v>
      </c>
      <c r="Q103" s="41">
        <v>0</v>
      </c>
      <c r="R103" s="41">
        <v>0</v>
      </c>
      <c r="S103" s="41">
        <v>0</v>
      </c>
      <c r="T103" s="17"/>
    </row>
    <row r="104" spans="1:20">
      <c r="A104" s="4" t="s">
        <v>182</v>
      </c>
      <c r="B104" s="41">
        <v>0</v>
      </c>
      <c r="C104" s="42">
        <f>$B71</f>
        <v>0</v>
      </c>
      <c r="D104" s="42">
        <f>$C71</f>
        <v>0</v>
      </c>
      <c r="E104" s="42">
        <f>$D71</f>
        <v>0</v>
      </c>
      <c r="F104" s="42">
        <f>$E71</f>
        <v>0</v>
      </c>
      <c r="G104" s="42">
        <f>$F71</f>
        <v>0</v>
      </c>
      <c r="H104" s="42">
        <f>$G71</f>
        <v>0</v>
      </c>
      <c r="I104" s="42">
        <f>$H71</f>
        <v>0</v>
      </c>
      <c r="J104" s="42">
        <f>$I71</f>
        <v>0</v>
      </c>
      <c r="K104" s="41">
        <v>0</v>
      </c>
      <c r="L104" s="41">
        <v>0</v>
      </c>
      <c r="M104" s="41">
        <v>0</v>
      </c>
      <c r="N104" s="41">
        <v>0</v>
      </c>
      <c r="O104" s="41">
        <v>0</v>
      </c>
      <c r="P104" s="41">
        <v>0</v>
      </c>
      <c r="Q104" s="41">
        <v>0</v>
      </c>
      <c r="R104" s="41">
        <v>0</v>
      </c>
      <c r="S104" s="41">
        <v>0</v>
      </c>
      <c r="T104" s="17"/>
    </row>
    <row r="105" spans="1:20">
      <c r="A105" s="4" t="s">
        <v>183</v>
      </c>
      <c r="B105" s="41">
        <v>0</v>
      </c>
      <c r="C105" s="42">
        <f>$B72</f>
        <v>0</v>
      </c>
      <c r="D105" s="42">
        <f>$C72</f>
        <v>0</v>
      </c>
      <c r="E105" s="42">
        <f>$D72</f>
        <v>0</v>
      </c>
      <c r="F105" s="42">
        <f>$E72</f>
        <v>0</v>
      </c>
      <c r="G105" s="42">
        <f>$F72</f>
        <v>0</v>
      </c>
      <c r="H105" s="42">
        <f>$G72</f>
        <v>0</v>
      </c>
      <c r="I105" s="42">
        <f>$H72</f>
        <v>0</v>
      </c>
      <c r="J105" s="42">
        <f>$I72</f>
        <v>0</v>
      </c>
      <c r="K105" s="41">
        <v>0</v>
      </c>
      <c r="L105" s="41">
        <v>0</v>
      </c>
      <c r="M105" s="41">
        <v>0</v>
      </c>
      <c r="N105" s="41">
        <v>0</v>
      </c>
      <c r="O105" s="41">
        <v>0</v>
      </c>
      <c r="P105" s="41">
        <v>0</v>
      </c>
      <c r="Q105" s="41">
        <v>0</v>
      </c>
      <c r="R105" s="41">
        <v>0</v>
      </c>
      <c r="S105" s="41">
        <v>0</v>
      </c>
      <c r="T105" s="17"/>
    </row>
    <row r="106" spans="1:20">
      <c r="A106" s="4" t="s">
        <v>184</v>
      </c>
      <c r="B106" s="41">
        <v>0</v>
      </c>
      <c r="C106" s="42">
        <f>$B73</f>
        <v>0</v>
      </c>
      <c r="D106" s="42">
        <f>$C73</f>
        <v>0</v>
      </c>
      <c r="E106" s="42">
        <f>$D73</f>
        <v>0</v>
      </c>
      <c r="F106" s="42">
        <f>$E73</f>
        <v>0</v>
      </c>
      <c r="G106" s="42">
        <f>$F73</f>
        <v>0</v>
      </c>
      <c r="H106" s="42">
        <f>$G73</f>
        <v>0</v>
      </c>
      <c r="I106" s="42">
        <f>$H73</f>
        <v>0</v>
      </c>
      <c r="J106" s="42">
        <f>$I73</f>
        <v>0</v>
      </c>
      <c r="K106" s="41">
        <v>0</v>
      </c>
      <c r="L106" s="41">
        <v>0</v>
      </c>
      <c r="M106" s="41">
        <v>0</v>
      </c>
      <c r="N106" s="41">
        <v>0</v>
      </c>
      <c r="O106" s="41">
        <v>0</v>
      </c>
      <c r="P106" s="41">
        <v>0</v>
      </c>
      <c r="Q106" s="41">
        <v>0</v>
      </c>
      <c r="R106" s="41">
        <v>0</v>
      </c>
      <c r="S106" s="41">
        <v>0</v>
      </c>
      <c r="T106" s="17"/>
    </row>
    <row r="107" spans="1:20">
      <c r="A107" s="4" t="s">
        <v>185</v>
      </c>
      <c r="B107" s="41">
        <v>0</v>
      </c>
      <c r="C107" s="42">
        <f>$B74</f>
        <v>0</v>
      </c>
      <c r="D107" s="42">
        <f>$C74</f>
        <v>0</v>
      </c>
      <c r="E107" s="42">
        <f>$D74</f>
        <v>0</v>
      </c>
      <c r="F107" s="42">
        <f>$E74</f>
        <v>0</v>
      </c>
      <c r="G107" s="42">
        <f>$F74</f>
        <v>0</v>
      </c>
      <c r="H107" s="42">
        <f>$G74</f>
        <v>0</v>
      </c>
      <c r="I107" s="42">
        <f>$H74</f>
        <v>0</v>
      </c>
      <c r="J107" s="42">
        <f>$I74</f>
        <v>0</v>
      </c>
      <c r="K107" s="41">
        <v>0</v>
      </c>
      <c r="L107" s="41">
        <v>0</v>
      </c>
      <c r="M107" s="41">
        <v>0</v>
      </c>
      <c r="N107" s="41">
        <v>0</v>
      </c>
      <c r="O107" s="41">
        <v>0</v>
      </c>
      <c r="P107" s="41">
        <v>0</v>
      </c>
      <c r="Q107" s="41">
        <v>0</v>
      </c>
      <c r="R107" s="41">
        <v>0</v>
      </c>
      <c r="S107" s="41">
        <v>0</v>
      </c>
      <c r="T107" s="17"/>
    </row>
    <row r="108" spans="1:20">
      <c r="A108" s="4" t="s">
        <v>186</v>
      </c>
      <c r="B108" s="41">
        <v>0</v>
      </c>
      <c r="C108" s="42">
        <f>$B75</f>
        <v>0</v>
      </c>
      <c r="D108" s="42">
        <f>$C75</f>
        <v>0</v>
      </c>
      <c r="E108" s="42">
        <f>$D75</f>
        <v>0</v>
      </c>
      <c r="F108" s="42">
        <f>$E75</f>
        <v>0</v>
      </c>
      <c r="G108" s="42">
        <f>$F75</f>
        <v>0</v>
      </c>
      <c r="H108" s="42">
        <f>$G75</f>
        <v>0</v>
      </c>
      <c r="I108" s="42">
        <f>$H75</f>
        <v>0</v>
      </c>
      <c r="J108" s="42">
        <f>$I75</f>
        <v>0</v>
      </c>
      <c r="K108" s="41">
        <v>0</v>
      </c>
      <c r="L108" s="41">
        <v>0</v>
      </c>
      <c r="M108" s="41">
        <v>0</v>
      </c>
      <c r="N108" s="41">
        <v>0</v>
      </c>
      <c r="O108" s="41">
        <v>0</v>
      </c>
      <c r="P108" s="41">
        <v>0</v>
      </c>
      <c r="Q108" s="41">
        <v>0</v>
      </c>
      <c r="R108" s="41">
        <v>0</v>
      </c>
      <c r="S108" s="41">
        <v>0</v>
      </c>
      <c r="T108" s="17"/>
    </row>
    <row r="109" spans="1:20">
      <c r="A109" s="4" t="s">
        <v>187</v>
      </c>
      <c r="B109" s="41">
        <v>0</v>
      </c>
      <c r="C109" s="42">
        <f>$B76</f>
        <v>0</v>
      </c>
      <c r="D109" s="42">
        <f>$C76</f>
        <v>0</v>
      </c>
      <c r="E109" s="42">
        <f>$D76</f>
        <v>0</v>
      </c>
      <c r="F109" s="42">
        <f>$E76</f>
        <v>0</v>
      </c>
      <c r="G109" s="42">
        <f>$F76</f>
        <v>0</v>
      </c>
      <c r="H109" s="42">
        <f>$G76</f>
        <v>0</v>
      </c>
      <c r="I109" s="42">
        <f>$H76</f>
        <v>0</v>
      </c>
      <c r="J109" s="42">
        <f>$I76</f>
        <v>0</v>
      </c>
      <c r="K109" s="41">
        <v>0</v>
      </c>
      <c r="L109" s="41">
        <v>0</v>
      </c>
      <c r="M109" s="41">
        <v>0</v>
      </c>
      <c r="N109" s="41">
        <v>0</v>
      </c>
      <c r="O109" s="41">
        <v>0</v>
      </c>
      <c r="P109" s="41">
        <v>0</v>
      </c>
      <c r="Q109" s="41">
        <v>0</v>
      </c>
      <c r="R109" s="41">
        <v>0</v>
      </c>
      <c r="S109" s="41">
        <v>0</v>
      </c>
      <c r="T109" s="17"/>
    </row>
    <row r="110" spans="1:20">
      <c r="A110" s="4" t="s">
        <v>194</v>
      </c>
      <c r="B110" s="41">
        <v>0</v>
      </c>
      <c r="C110" s="42">
        <f>$B77</f>
        <v>0</v>
      </c>
      <c r="D110" s="42">
        <f>$C77</f>
        <v>0</v>
      </c>
      <c r="E110" s="42">
        <f>$D77</f>
        <v>0</v>
      </c>
      <c r="F110" s="42">
        <f>$E77</f>
        <v>0</v>
      </c>
      <c r="G110" s="42">
        <f>$F77</f>
        <v>0</v>
      </c>
      <c r="H110" s="42">
        <f>$G77</f>
        <v>0</v>
      </c>
      <c r="I110" s="42">
        <f>$H77</f>
        <v>0</v>
      </c>
      <c r="J110" s="42">
        <f>$I77</f>
        <v>0</v>
      </c>
      <c r="K110" s="41">
        <v>0</v>
      </c>
      <c r="L110" s="41">
        <v>0</v>
      </c>
      <c r="M110" s="41">
        <v>0</v>
      </c>
      <c r="N110" s="41">
        <v>0</v>
      </c>
      <c r="O110" s="41">
        <v>0</v>
      </c>
      <c r="P110" s="41">
        <v>0</v>
      </c>
      <c r="Q110" s="41">
        <v>0</v>
      </c>
      <c r="R110" s="41">
        <v>0</v>
      </c>
      <c r="S110" s="41">
        <v>0</v>
      </c>
      <c r="T110" s="17"/>
    </row>
    <row r="111" spans="1:20">
      <c r="A111" s="4" t="s">
        <v>195</v>
      </c>
      <c r="B111" s="41">
        <v>0</v>
      </c>
      <c r="C111" s="42">
        <f>$B78</f>
        <v>0</v>
      </c>
      <c r="D111" s="42">
        <f>$C78</f>
        <v>0</v>
      </c>
      <c r="E111" s="42">
        <f>$D78</f>
        <v>0</v>
      </c>
      <c r="F111" s="42">
        <f>$E78</f>
        <v>0</v>
      </c>
      <c r="G111" s="42">
        <f>$F78</f>
        <v>0</v>
      </c>
      <c r="H111" s="42">
        <f>$G78</f>
        <v>0</v>
      </c>
      <c r="I111" s="42">
        <f>$H78</f>
        <v>0</v>
      </c>
      <c r="J111" s="42">
        <f>$I78</f>
        <v>0</v>
      </c>
      <c r="K111" s="41">
        <v>0</v>
      </c>
      <c r="L111" s="41">
        <v>0</v>
      </c>
      <c r="M111" s="41">
        <v>0</v>
      </c>
      <c r="N111" s="41">
        <v>0</v>
      </c>
      <c r="O111" s="41">
        <v>0</v>
      </c>
      <c r="P111" s="41">
        <v>0</v>
      </c>
      <c r="Q111" s="41">
        <v>0</v>
      </c>
      <c r="R111" s="41">
        <v>0</v>
      </c>
      <c r="S111" s="41">
        <v>0</v>
      </c>
      <c r="T111" s="17"/>
    </row>
  </sheetData>
  <sheetProtection sheet="1" objects="1" scenarios="1"/>
  <hyperlinks>
    <hyperlink ref="A34" location="'Input'!B286" display="x1 = 1060. Customer contributions under current connection charging policy"/>
    <hyperlink ref="A35" location="'Input'!D57" display="x2 = 1010. Annuity proportion for customer-contributed assets (in Financial and general assumptions)"/>
    <hyperlink ref="A50" location="'Contrib'!B6" display="x1 = 2801. Network level of supply (for customer contributions) by tariff"/>
    <hyperlink ref="A51" location="'Contrib'!B38" display="x2 = 2802. Contribution proportion of asset annuities, by customer type and network level of assets"/>
    <hyperlink ref="A84" location="'Contrib'!B54" display="x3 = 2803. Proportion of assets annuities deemed to be covered by customer contributions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"Yardsticks for "&amp;'Input'!B7&amp;" in "&amp;'Input'!C7&amp;" ("&amp;'Input'!D7&amp;")"</f>
        <v>0</v>
      </c>
    </row>
    <row r="2" spans="1:20">
      <c r="A2" s="2" t="s">
        <v>966</v>
      </c>
    </row>
    <row r="4" spans="1:20" ht="21" customHeight="1">
      <c r="A4" s="1" t="s">
        <v>967</v>
      </c>
    </row>
    <row r="5" spans="1:20">
      <c r="A5" s="2" t="s">
        <v>351</v>
      </c>
    </row>
    <row r="6" spans="1:20">
      <c r="A6" s="33" t="s">
        <v>968</v>
      </c>
    </row>
    <row r="7" spans="1:20">
      <c r="A7" s="33" t="s">
        <v>969</v>
      </c>
    </row>
    <row r="8" spans="1:20">
      <c r="A8" s="2" t="s">
        <v>369</v>
      </c>
    </row>
    <row r="10" spans="1:20">
      <c r="B10" s="15" t="s">
        <v>142</v>
      </c>
      <c r="C10" s="15" t="s">
        <v>306</v>
      </c>
      <c r="D10" s="15" t="s">
        <v>307</v>
      </c>
      <c r="E10" s="15" t="s">
        <v>308</v>
      </c>
      <c r="F10" s="15" t="s">
        <v>309</v>
      </c>
      <c r="G10" s="15" t="s">
        <v>310</v>
      </c>
      <c r="H10" s="15" t="s">
        <v>311</v>
      </c>
      <c r="I10" s="15" t="s">
        <v>312</v>
      </c>
      <c r="J10" s="15" t="s">
        <v>313</v>
      </c>
      <c r="K10" s="15" t="s">
        <v>294</v>
      </c>
      <c r="L10" s="15" t="s">
        <v>877</v>
      </c>
      <c r="M10" s="15" t="s">
        <v>878</v>
      </c>
      <c r="N10" s="15" t="s">
        <v>879</v>
      </c>
      <c r="O10" s="15" t="s">
        <v>880</v>
      </c>
      <c r="P10" s="15" t="s">
        <v>881</v>
      </c>
      <c r="Q10" s="15" t="s">
        <v>882</v>
      </c>
      <c r="R10" s="15" t="s">
        <v>883</v>
      </c>
      <c r="S10" s="15" t="s">
        <v>884</v>
      </c>
    </row>
    <row r="11" spans="1:20">
      <c r="A11" s="4" t="s">
        <v>970</v>
      </c>
      <c r="B11" s="10"/>
      <c r="C11" s="39">
        <f>'DRM'!$B$130</f>
        <v>0</v>
      </c>
      <c r="D11" s="39">
        <f>'DRM'!$B$131</f>
        <v>0</v>
      </c>
      <c r="E11" s="39">
        <f>'DRM'!$B$132</f>
        <v>0</v>
      </c>
      <c r="F11" s="39">
        <f>'DRM'!$B$133</f>
        <v>0</v>
      </c>
      <c r="G11" s="39">
        <f>'DRM'!$B$134</f>
        <v>0</v>
      </c>
      <c r="H11" s="39">
        <f>'DRM'!$B$135</f>
        <v>0</v>
      </c>
      <c r="I11" s="39">
        <f>'DRM'!$B$136</f>
        <v>0</v>
      </c>
      <c r="J11" s="39">
        <f>'DRM'!$B$137</f>
        <v>0</v>
      </c>
      <c r="K11" s="39">
        <f>'Otex'!$B108</f>
        <v>0</v>
      </c>
      <c r="L11" s="39">
        <f>'Otex'!$C108</f>
        <v>0</v>
      </c>
      <c r="M11" s="39">
        <f>'Otex'!$D108</f>
        <v>0</v>
      </c>
      <c r="N11" s="39">
        <f>'Otex'!$E108</f>
        <v>0</v>
      </c>
      <c r="O11" s="39">
        <f>'Otex'!$F108</f>
        <v>0</v>
      </c>
      <c r="P11" s="39">
        <f>'Otex'!$G108</f>
        <v>0</v>
      </c>
      <c r="Q11" s="39">
        <f>'Otex'!$H108</f>
        <v>0</v>
      </c>
      <c r="R11" s="39">
        <f>'Otex'!$I108</f>
        <v>0</v>
      </c>
      <c r="S11" s="39">
        <f>'Otex'!$J108</f>
        <v>0</v>
      </c>
      <c r="T11" s="17"/>
    </row>
    <row r="13" spans="1:20" ht="21" customHeight="1">
      <c r="A13" s="1" t="s">
        <v>971</v>
      </c>
    </row>
    <row r="14" spans="1:20">
      <c r="A14" s="2" t="s">
        <v>351</v>
      </c>
    </row>
    <row r="15" spans="1:20">
      <c r="A15" s="33" t="s">
        <v>972</v>
      </c>
    </row>
    <row r="16" spans="1:20">
      <c r="A16" s="33" t="s">
        <v>811</v>
      </c>
    </row>
    <row r="17" spans="1:20">
      <c r="A17" s="33" t="s">
        <v>798</v>
      </c>
    </row>
    <row r="18" spans="1:20">
      <c r="A18" s="33" t="s">
        <v>973</v>
      </c>
    </row>
    <row r="19" spans="1:20">
      <c r="A19" s="33" t="s">
        <v>741</v>
      </c>
    </row>
    <row r="20" spans="1:20">
      <c r="A20" s="2" t="s">
        <v>974</v>
      </c>
    </row>
    <row r="22" spans="1:20">
      <c r="B22" s="15" t="s">
        <v>142</v>
      </c>
      <c r="C22" s="15" t="s">
        <v>306</v>
      </c>
      <c r="D22" s="15" t="s">
        <v>307</v>
      </c>
      <c r="E22" s="15" t="s">
        <v>308</v>
      </c>
      <c r="F22" s="15" t="s">
        <v>309</v>
      </c>
      <c r="G22" s="15" t="s">
        <v>310</v>
      </c>
      <c r="H22" s="15" t="s">
        <v>311</v>
      </c>
      <c r="I22" s="15" t="s">
        <v>312</v>
      </c>
      <c r="J22" s="15" t="s">
        <v>313</v>
      </c>
      <c r="K22" s="15" t="s">
        <v>294</v>
      </c>
      <c r="L22" s="15" t="s">
        <v>877</v>
      </c>
      <c r="M22" s="15" t="s">
        <v>878</v>
      </c>
      <c r="N22" s="15" t="s">
        <v>879</v>
      </c>
      <c r="O22" s="15" t="s">
        <v>880</v>
      </c>
      <c r="P22" s="15" t="s">
        <v>881</v>
      </c>
      <c r="Q22" s="15" t="s">
        <v>882</v>
      </c>
      <c r="R22" s="15" t="s">
        <v>883</v>
      </c>
      <c r="S22" s="15" t="s">
        <v>884</v>
      </c>
    </row>
    <row r="23" spans="1:20">
      <c r="A23" s="4" t="s">
        <v>174</v>
      </c>
      <c r="B23" s="38">
        <f>B$11*'Loads'!$B43*'LAFs'!B225*(1-'Contrib'!B88)/(24*'Input'!$F$58)*100</f>
        <v>0</v>
      </c>
      <c r="C23" s="38">
        <f>C$11*'Loads'!$B43*'LAFs'!C225*(1-'Contrib'!C88)/(24*'Input'!$F$58)*100</f>
        <v>0</v>
      </c>
      <c r="D23" s="38">
        <f>D$11*'Loads'!$B43*'LAFs'!D225*(1-'Contrib'!D88)/(24*'Input'!$F$58)*100</f>
        <v>0</v>
      </c>
      <c r="E23" s="38">
        <f>E$11*'Loads'!$B43*'LAFs'!E225*(1-'Contrib'!E88)/(24*'Input'!$F$58)*100</f>
        <v>0</v>
      </c>
      <c r="F23" s="38">
        <f>F$11*'Loads'!$B43*'LAFs'!F225*(1-'Contrib'!F88)/(24*'Input'!$F$58)*100</f>
        <v>0</v>
      </c>
      <c r="G23" s="38">
        <f>G$11*'Loads'!$B43*'LAFs'!G225*(1-'Contrib'!G88)/(24*'Input'!$F$58)*100</f>
        <v>0</v>
      </c>
      <c r="H23" s="38">
        <f>H$11*'Loads'!$B43*'LAFs'!H225*(1-'Contrib'!H88)/(24*'Input'!$F$58)*100</f>
        <v>0</v>
      </c>
      <c r="I23" s="38">
        <f>I$11*'Loads'!$B43*'LAFs'!I225*(1-'Contrib'!I88)/(24*'Input'!$F$58)*100</f>
        <v>0</v>
      </c>
      <c r="J23" s="38">
        <f>J$11*'Loads'!$B43*'LAFs'!J225*(1-'Contrib'!J88)/(24*'Input'!$F$58)*100</f>
        <v>0</v>
      </c>
      <c r="K23" s="38">
        <f>K$11*'Loads'!$B43*'LAFs'!B225*(1-'Contrib'!K88)/(24*'Input'!$F$58)*100</f>
        <v>0</v>
      </c>
      <c r="L23" s="38">
        <f>L$11*'Loads'!$B43*'LAFs'!C225*(1-'Contrib'!L88)/(24*'Input'!$F$58)*100</f>
        <v>0</v>
      </c>
      <c r="M23" s="38">
        <f>M$11*'Loads'!$B43*'LAFs'!D225*(1-'Contrib'!M88)/(24*'Input'!$F$58)*100</f>
        <v>0</v>
      </c>
      <c r="N23" s="38">
        <f>N$11*'Loads'!$B43*'LAFs'!E225*(1-'Contrib'!N88)/(24*'Input'!$F$58)*100</f>
        <v>0</v>
      </c>
      <c r="O23" s="38">
        <f>O$11*'Loads'!$B43*'LAFs'!F225*(1-'Contrib'!O88)/(24*'Input'!$F$58)*100</f>
        <v>0</v>
      </c>
      <c r="P23" s="38">
        <f>P$11*'Loads'!$B43*'LAFs'!G225*(1-'Contrib'!P88)/(24*'Input'!$F$58)*100</f>
        <v>0</v>
      </c>
      <c r="Q23" s="38">
        <f>Q$11*'Loads'!$B43*'LAFs'!H225*(1-'Contrib'!Q88)/(24*'Input'!$F$58)*100</f>
        <v>0</v>
      </c>
      <c r="R23" s="38">
        <f>R$11*'Loads'!$B43*'LAFs'!I225*(1-'Contrib'!R88)/(24*'Input'!$F$58)*100</f>
        <v>0</v>
      </c>
      <c r="S23" s="38">
        <f>S$11*'Loads'!$B43*'LAFs'!J225*(1-'Contrib'!S88)/(24*'Input'!$F$58)*100</f>
        <v>0</v>
      </c>
      <c r="T23" s="17"/>
    </row>
    <row r="24" spans="1:20">
      <c r="A24" s="4" t="s">
        <v>175</v>
      </c>
      <c r="B24" s="38">
        <f>B$11*'Loads'!$B44*'LAFs'!B226*(1-'Contrib'!B89)/(24*'Input'!$F$58)*100</f>
        <v>0</v>
      </c>
      <c r="C24" s="38">
        <f>C$11*'Loads'!$B44*'LAFs'!C226*(1-'Contrib'!C89)/(24*'Input'!$F$58)*100</f>
        <v>0</v>
      </c>
      <c r="D24" s="38">
        <f>D$11*'Loads'!$B44*'LAFs'!D226*(1-'Contrib'!D89)/(24*'Input'!$F$58)*100</f>
        <v>0</v>
      </c>
      <c r="E24" s="38">
        <f>E$11*'Loads'!$B44*'LAFs'!E226*(1-'Contrib'!E89)/(24*'Input'!$F$58)*100</f>
        <v>0</v>
      </c>
      <c r="F24" s="38">
        <f>F$11*'Loads'!$B44*'LAFs'!F226*(1-'Contrib'!F89)/(24*'Input'!$F$58)*100</f>
        <v>0</v>
      </c>
      <c r="G24" s="38">
        <f>G$11*'Loads'!$B44*'LAFs'!G226*(1-'Contrib'!G89)/(24*'Input'!$F$58)*100</f>
        <v>0</v>
      </c>
      <c r="H24" s="38">
        <f>H$11*'Loads'!$B44*'LAFs'!H226*(1-'Contrib'!H89)/(24*'Input'!$F$58)*100</f>
        <v>0</v>
      </c>
      <c r="I24" s="38">
        <f>I$11*'Loads'!$B44*'LAFs'!I226*(1-'Contrib'!I89)/(24*'Input'!$F$58)*100</f>
        <v>0</v>
      </c>
      <c r="J24" s="38">
        <f>J$11*'Loads'!$B44*'LAFs'!J226*(1-'Contrib'!J89)/(24*'Input'!$F$58)*100</f>
        <v>0</v>
      </c>
      <c r="K24" s="38">
        <f>K$11*'Loads'!$B44*'LAFs'!B226*(1-'Contrib'!K89)/(24*'Input'!$F$58)*100</f>
        <v>0</v>
      </c>
      <c r="L24" s="38">
        <f>L$11*'Loads'!$B44*'LAFs'!C226*(1-'Contrib'!L89)/(24*'Input'!$F$58)*100</f>
        <v>0</v>
      </c>
      <c r="M24" s="38">
        <f>M$11*'Loads'!$B44*'LAFs'!D226*(1-'Contrib'!M89)/(24*'Input'!$F$58)*100</f>
        <v>0</v>
      </c>
      <c r="N24" s="38">
        <f>N$11*'Loads'!$B44*'LAFs'!E226*(1-'Contrib'!N89)/(24*'Input'!$F$58)*100</f>
        <v>0</v>
      </c>
      <c r="O24" s="38">
        <f>O$11*'Loads'!$B44*'LAFs'!F226*(1-'Contrib'!O89)/(24*'Input'!$F$58)*100</f>
        <v>0</v>
      </c>
      <c r="P24" s="38">
        <f>P$11*'Loads'!$B44*'LAFs'!G226*(1-'Contrib'!P89)/(24*'Input'!$F$58)*100</f>
        <v>0</v>
      </c>
      <c r="Q24" s="38">
        <f>Q$11*'Loads'!$B44*'LAFs'!H226*(1-'Contrib'!Q89)/(24*'Input'!$F$58)*100</f>
        <v>0</v>
      </c>
      <c r="R24" s="38">
        <f>R$11*'Loads'!$B44*'LAFs'!I226*(1-'Contrib'!R89)/(24*'Input'!$F$58)*100</f>
        <v>0</v>
      </c>
      <c r="S24" s="38">
        <f>S$11*'Loads'!$B44*'LAFs'!J226*(1-'Contrib'!S89)/(24*'Input'!$F$58)*100</f>
        <v>0</v>
      </c>
      <c r="T24" s="17"/>
    </row>
    <row r="25" spans="1:20">
      <c r="A25" s="4" t="s">
        <v>211</v>
      </c>
      <c r="B25" s="38">
        <f>B$11*'Loads'!$B45*'LAFs'!B227*(1-'Contrib'!B90)/(24*'Input'!$F$58)*100</f>
        <v>0</v>
      </c>
      <c r="C25" s="38">
        <f>C$11*'Loads'!$B45*'LAFs'!C227*(1-'Contrib'!C90)/(24*'Input'!$F$58)*100</f>
        <v>0</v>
      </c>
      <c r="D25" s="38">
        <f>D$11*'Loads'!$B45*'LAFs'!D227*(1-'Contrib'!D90)/(24*'Input'!$F$58)*100</f>
        <v>0</v>
      </c>
      <c r="E25" s="38">
        <f>E$11*'Loads'!$B45*'LAFs'!E227*(1-'Contrib'!E90)/(24*'Input'!$F$58)*100</f>
        <v>0</v>
      </c>
      <c r="F25" s="38">
        <f>F$11*'Loads'!$B45*'LAFs'!F227*(1-'Contrib'!F90)/(24*'Input'!$F$58)*100</f>
        <v>0</v>
      </c>
      <c r="G25" s="38">
        <f>G$11*'Loads'!$B45*'LAFs'!G227*(1-'Contrib'!G90)/(24*'Input'!$F$58)*100</f>
        <v>0</v>
      </c>
      <c r="H25" s="38">
        <f>H$11*'Loads'!$B45*'LAFs'!H227*(1-'Contrib'!H90)/(24*'Input'!$F$58)*100</f>
        <v>0</v>
      </c>
      <c r="I25" s="38">
        <f>I$11*'Loads'!$B45*'LAFs'!I227*(1-'Contrib'!I90)/(24*'Input'!$F$58)*100</f>
        <v>0</v>
      </c>
      <c r="J25" s="38">
        <f>J$11*'Loads'!$B45*'LAFs'!J227*(1-'Contrib'!J90)/(24*'Input'!$F$58)*100</f>
        <v>0</v>
      </c>
      <c r="K25" s="38">
        <f>K$11*'Loads'!$B45*'LAFs'!B227*(1-'Contrib'!K90)/(24*'Input'!$F$58)*100</f>
        <v>0</v>
      </c>
      <c r="L25" s="38">
        <f>L$11*'Loads'!$B45*'LAFs'!C227*(1-'Contrib'!L90)/(24*'Input'!$F$58)*100</f>
        <v>0</v>
      </c>
      <c r="M25" s="38">
        <f>M$11*'Loads'!$B45*'LAFs'!D227*(1-'Contrib'!M90)/(24*'Input'!$F$58)*100</f>
        <v>0</v>
      </c>
      <c r="N25" s="38">
        <f>N$11*'Loads'!$B45*'LAFs'!E227*(1-'Contrib'!N90)/(24*'Input'!$F$58)*100</f>
        <v>0</v>
      </c>
      <c r="O25" s="38">
        <f>O$11*'Loads'!$B45*'LAFs'!F227*(1-'Contrib'!O90)/(24*'Input'!$F$58)*100</f>
        <v>0</v>
      </c>
      <c r="P25" s="38">
        <f>P$11*'Loads'!$B45*'LAFs'!G227*(1-'Contrib'!P90)/(24*'Input'!$F$58)*100</f>
        <v>0</v>
      </c>
      <c r="Q25" s="38">
        <f>Q$11*'Loads'!$B45*'LAFs'!H227*(1-'Contrib'!Q90)/(24*'Input'!$F$58)*100</f>
        <v>0</v>
      </c>
      <c r="R25" s="38">
        <f>R$11*'Loads'!$B45*'LAFs'!I227*(1-'Contrib'!R90)/(24*'Input'!$F$58)*100</f>
        <v>0</v>
      </c>
      <c r="S25" s="38">
        <f>S$11*'Loads'!$B45*'LAFs'!J227*(1-'Contrib'!S90)/(24*'Input'!$F$58)*100</f>
        <v>0</v>
      </c>
      <c r="T25" s="17"/>
    </row>
    <row r="26" spans="1:20">
      <c r="A26" s="4" t="s">
        <v>176</v>
      </c>
      <c r="B26" s="38">
        <f>B$11*'Loads'!$B46*'LAFs'!B228*(1-'Contrib'!B91)/(24*'Input'!$F$58)*100</f>
        <v>0</v>
      </c>
      <c r="C26" s="38">
        <f>C$11*'Loads'!$B46*'LAFs'!C228*(1-'Contrib'!C91)/(24*'Input'!$F$58)*100</f>
        <v>0</v>
      </c>
      <c r="D26" s="38">
        <f>D$11*'Loads'!$B46*'LAFs'!D228*(1-'Contrib'!D91)/(24*'Input'!$F$58)*100</f>
        <v>0</v>
      </c>
      <c r="E26" s="38">
        <f>E$11*'Loads'!$B46*'LAFs'!E228*(1-'Contrib'!E91)/(24*'Input'!$F$58)*100</f>
        <v>0</v>
      </c>
      <c r="F26" s="38">
        <f>F$11*'Loads'!$B46*'LAFs'!F228*(1-'Contrib'!F91)/(24*'Input'!$F$58)*100</f>
        <v>0</v>
      </c>
      <c r="G26" s="38">
        <f>G$11*'Loads'!$B46*'LAFs'!G228*(1-'Contrib'!G91)/(24*'Input'!$F$58)*100</f>
        <v>0</v>
      </c>
      <c r="H26" s="38">
        <f>H$11*'Loads'!$B46*'LAFs'!H228*(1-'Contrib'!H91)/(24*'Input'!$F$58)*100</f>
        <v>0</v>
      </c>
      <c r="I26" s="38">
        <f>I$11*'Loads'!$B46*'LAFs'!I228*(1-'Contrib'!I91)/(24*'Input'!$F$58)*100</f>
        <v>0</v>
      </c>
      <c r="J26" s="38">
        <f>J$11*'Loads'!$B46*'LAFs'!J228*(1-'Contrib'!J91)/(24*'Input'!$F$58)*100</f>
        <v>0</v>
      </c>
      <c r="K26" s="38">
        <f>K$11*'Loads'!$B46*'LAFs'!B228*(1-'Contrib'!K91)/(24*'Input'!$F$58)*100</f>
        <v>0</v>
      </c>
      <c r="L26" s="38">
        <f>L$11*'Loads'!$B46*'LAFs'!C228*(1-'Contrib'!L91)/(24*'Input'!$F$58)*100</f>
        <v>0</v>
      </c>
      <c r="M26" s="38">
        <f>M$11*'Loads'!$B46*'LAFs'!D228*(1-'Contrib'!M91)/(24*'Input'!$F$58)*100</f>
        <v>0</v>
      </c>
      <c r="N26" s="38">
        <f>N$11*'Loads'!$B46*'LAFs'!E228*(1-'Contrib'!N91)/(24*'Input'!$F$58)*100</f>
        <v>0</v>
      </c>
      <c r="O26" s="38">
        <f>O$11*'Loads'!$B46*'LAFs'!F228*(1-'Contrib'!O91)/(24*'Input'!$F$58)*100</f>
        <v>0</v>
      </c>
      <c r="P26" s="38">
        <f>P$11*'Loads'!$B46*'LAFs'!G228*(1-'Contrib'!P91)/(24*'Input'!$F$58)*100</f>
        <v>0</v>
      </c>
      <c r="Q26" s="38">
        <f>Q$11*'Loads'!$B46*'LAFs'!H228*(1-'Contrib'!Q91)/(24*'Input'!$F$58)*100</f>
        <v>0</v>
      </c>
      <c r="R26" s="38">
        <f>R$11*'Loads'!$B46*'LAFs'!I228*(1-'Contrib'!R91)/(24*'Input'!$F$58)*100</f>
        <v>0</v>
      </c>
      <c r="S26" s="38">
        <f>S$11*'Loads'!$B46*'LAFs'!J228*(1-'Contrib'!S91)/(24*'Input'!$F$58)*100</f>
        <v>0</v>
      </c>
      <c r="T26" s="17"/>
    </row>
    <row r="27" spans="1:20">
      <c r="A27" s="4" t="s">
        <v>177</v>
      </c>
      <c r="B27" s="38">
        <f>B$11*'Loads'!$B47*'LAFs'!B229*(1-'Contrib'!B92)/(24*'Input'!$F$58)*100</f>
        <v>0</v>
      </c>
      <c r="C27" s="38">
        <f>C$11*'Loads'!$B47*'LAFs'!C229*(1-'Contrib'!C92)/(24*'Input'!$F$58)*100</f>
        <v>0</v>
      </c>
      <c r="D27" s="38">
        <f>D$11*'Loads'!$B47*'LAFs'!D229*(1-'Contrib'!D92)/(24*'Input'!$F$58)*100</f>
        <v>0</v>
      </c>
      <c r="E27" s="38">
        <f>E$11*'Loads'!$B47*'LAFs'!E229*(1-'Contrib'!E92)/(24*'Input'!$F$58)*100</f>
        <v>0</v>
      </c>
      <c r="F27" s="38">
        <f>F$11*'Loads'!$B47*'LAFs'!F229*(1-'Contrib'!F92)/(24*'Input'!$F$58)*100</f>
        <v>0</v>
      </c>
      <c r="G27" s="38">
        <f>G$11*'Loads'!$B47*'LAFs'!G229*(1-'Contrib'!G92)/(24*'Input'!$F$58)*100</f>
        <v>0</v>
      </c>
      <c r="H27" s="38">
        <f>H$11*'Loads'!$B47*'LAFs'!H229*(1-'Contrib'!H92)/(24*'Input'!$F$58)*100</f>
        <v>0</v>
      </c>
      <c r="I27" s="38">
        <f>I$11*'Loads'!$B47*'LAFs'!I229*(1-'Contrib'!I92)/(24*'Input'!$F$58)*100</f>
        <v>0</v>
      </c>
      <c r="J27" s="38">
        <f>J$11*'Loads'!$B47*'LAFs'!J229*(1-'Contrib'!J92)/(24*'Input'!$F$58)*100</f>
        <v>0</v>
      </c>
      <c r="K27" s="38">
        <f>K$11*'Loads'!$B47*'LAFs'!B229*(1-'Contrib'!K92)/(24*'Input'!$F$58)*100</f>
        <v>0</v>
      </c>
      <c r="L27" s="38">
        <f>L$11*'Loads'!$B47*'LAFs'!C229*(1-'Contrib'!L92)/(24*'Input'!$F$58)*100</f>
        <v>0</v>
      </c>
      <c r="M27" s="38">
        <f>M$11*'Loads'!$B47*'LAFs'!D229*(1-'Contrib'!M92)/(24*'Input'!$F$58)*100</f>
        <v>0</v>
      </c>
      <c r="N27" s="38">
        <f>N$11*'Loads'!$B47*'LAFs'!E229*(1-'Contrib'!N92)/(24*'Input'!$F$58)*100</f>
        <v>0</v>
      </c>
      <c r="O27" s="38">
        <f>O$11*'Loads'!$B47*'LAFs'!F229*(1-'Contrib'!O92)/(24*'Input'!$F$58)*100</f>
        <v>0</v>
      </c>
      <c r="P27" s="38">
        <f>P$11*'Loads'!$B47*'LAFs'!G229*(1-'Contrib'!P92)/(24*'Input'!$F$58)*100</f>
        <v>0</v>
      </c>
      <c r="Q27" s="38">
        <f>Q$11*'Loads'!$B47*'LAFs'!H229*(1-'Contrib'!Q92)/(24*'Input'!$F$58)*100</f>
        <v>0</v>
      </c>
      <c r="R27" s="38">
        <f>R$11*'Loads'!$B47*'LAFs'!I229*(1-'Contrib'!R92)/(24*'Input'!$F$58)*100</f>
        <v>0</v>
      </c>
      <c r="S27" s="38">
        <f>S$11*'Loads'!$B47*'LAFs'!J229*(1-'Contrib'!S92)/(24*'Input'!$F$58)*100</f>
        <v>0</v>
      </c>
      <c r="T27" s="17"/>
    </row>
    <row r="28" spans="1:20">
      <c r="A28" s="4" t="s">
        <v>212</v>
      </c>
      <c r="B28" s="38">
        <f>B$11*'Loads'!$B48*'LAFs'!B230*(1-'Contrib'!B93)/(24*'Input'!$F$58)*100</f>
        <v>0</v>
      </c>
      <c r="C28" s="38">
        <f>C$11*'Loads'!$B48*'LAFs'!C230*(1-'Contrib'!C93)/(24*'Input'!$F$58)*100</f>
        <v>0</v>
      </c>
      <c r="D28" s="38">
        <f>D$11*'Loads'!$B48*'LAFs'!D230*(1-'Contrib'!D93)/(24*'Input'!$F$58)*100</f>
        <v>0</v>
      </c>
      <c r="E28" s="38">
        <f>E$11*'Loads'!$B48*'LAFs'!E230*(1-'Contrib'!E93)/(24*'Input'!$F$58)*100</f>
        <v>0</v>
      </c>
      <c r="F28" s="38">
        <f>F$11*'Loads'!$B48*'LAFs'!F230*(1-'Contrib'!F93)/(24*'Input'!$F$58)*100</f>
        <v>0</v>
      </c>
      <c r="G28" s="38">
        <f>G$11*'Loads'!$B48*'LAFs'!G230*(1-'Contrib'!G93)/(24*'Input'!$F$58)*100</f>
        <v>0</v>
      </c>
      <c r="H28" s="38">
        <f>H$11*'Loads'!$B48*'LAFs'!H230*(1-'Contrib'!H93)/(24*'Input'!$F$58)*100</f>
        <v>0</v>
      </c>
      <c r="I28" s="38">
        <f>I$11*'Loads'!$B48*'LAFs'!I230*(1-'Contrib'!I93)/(24*'Input'!$F$58)*100</f>
        <v>0</v>
      </c>
      <c r="J28" s="38">
        <f>J$11*'Loads'!$B48*'LAFs'!J230*(1-'Contrib'!J93)/(24*'Input'!$F$58)*100</f>
        <v>0</v>
      </c>
      <c r="K28" s="38">
        <f>K$11*'Loads'!$B48*'LAFs'!B230*(1-'Contrib'!K93)/(24*'Input'!$F$58)*100</f>
        <v>0</v>
      </c>
      <c r="L28" s="38">
        <f>L$11*'Loads'!$B48*'LAFs'!C230*(1-'Contrib'!L93)/(24*'Input'!$F$58)*100</f>
        <v>0</v>
      </c>
      <c r="M28" s="38">
        <f>M$11*'Loads'!$B48*'LAFs'!D230*(1-'Contrib'!M93)/(24*'Input'!$F$58)*100</f>
        <v>0</v>
      </c>
      <c r="N28" s="38">
        <f>N$11*'Loads'!$B48*'LAFs'!E230*(1-'Contrib'!N93)/(24*'Input'!$F$58)*100</f>
        <v>0</v>
      </c>
      <c r="O28" s="38">
        <f>O$11*'Loads'!$B48*'LAFs'!F230*(1-'Contrib'!O93)/(24*'Input'!$F$58)*100</f>
        <v>0</v>
      </c>
      <c r="P28" s="38">
        <f>P$11*'Loads'!$B48*'LAFs'!G230*(1-'Contrib'!P93)/(24*'Input'!$F$58)*100</f>
        <v>0</v>
      </c>
      <c r="Q28" s="38">
        <f>Q$11*'Loads'!$B48*'LAFs'!H230*(1-'Contrib'!Q93)/(24*'Input'!$F$58)*100</f>
        <v>0</v>
      </c>
      <c r="R28" s="38">
        <f>R$11*'Loads'!$B48*'LAFs'!I230*(1-'Contrib'!R93)/(24*'Input'!$F$58)*100</f>
        <v>0</v>
      </c>
      <c r="S28" s="38">
        <f>S$11*'Loads'!$B48*'LAFs'!J230*(1-'Contrib'!S93)/(24*'Input'!$F$58)*100</f>
        <v>0</v>
      </c>
      <c r="T28" s="17"/>
    </row>
    <row r="29" spans="1:20">
      <c r="A29" s="4" t="s">
        <v>178</v>
      </c>
      <c r="B29" s="38">
        <f>B$11*'Loads'!$B49*'LAFs'!B231*(1-'Contrib'!B94)/(24*'Input'!$F$58)*100</f>
        <v>0</v>
      </c>
      <c r="C29" s="38">
        <f>C$11*'Loads'!$B49*'LAFs'!C231*(1-'Contrib'!C94)/(24*'Input'!$F$58)*100</f>
        <v>0</v>
      </c>
      <c r="D29" s="38">
        <f>D$11*'Loads'!$B49*'LAFs'!D231*(1-'Contrib'!D94)/(24*'Input'!$F$58)*100</f>
        <v>0</v>
      </c>
      <c r="E29" s="38">
        <f>E$11*'Loads'!$B49*'LAFs'!E231*(1-'Contrib'!E94)/(24*'Input'!$F$58)*100</f>
        <v>0</v>
      </c>
      <c r="F29" s="38">
        <f>F$11*'Loads'!$B49*'LAFs'!F231*(1-'Contrib'!F94)/(24*'Input'!$F$58)*100</f>
        <v>0</v>
      </c>
      <c r="G29" s="38">
        <f>G$11*'Loads'!$B49*'LAFs'!G231*(1-'Contrib'!G94)/(24*'Input'!$F$58)*100</f>
        <v>0</v>
      </c>
      <c r="H29" s="38">
        <f>H$11*'Loads'!$B49*'LAFs'!H231*(1-'Contrib'!H94)/(24*'Input'!$F$58)*100</f>
        <v>0</v>
      </c>
      <c r="I29" s="38">
        <f>I$11*'Loads'!$B49*'LAFs'!I231*(1-'Contrib'!I94)/(24*'Input'!$F$58)*100</f>
        <v>0</v>
      </c>
      <c r="J29" s="38">
        <f>J$11*'Loads'!$B49*'LAFs'!J231*(1-'Contrib'!J94)/(24*'Input'!$F$58)*100</f>
        <v>0</v>
      </c>
      <c r="K29" s="38">
        <f>K$11*'Loads'!$B49*'LAFs'!B231*(1-'Contrib'!K94)/(24*'Input'!$F$58)*100</f>
        <v>0</v>
      </c>
      <c r="L29" s="38">
        <f>L$11*'Loads'!$B49*'LAFs'!C231*(1-'Contrib'!L94)/(24*'Input'!$F$58)*100</f>
        <v>0</v>
      </c>
      <c r="M29" s="38">
        <f>M$11*'Loads'!$B49*'LAFs'!D231*(1-'Contrib'!M94)/(24*'Input'!$F$58)*100</f>
        <v>0</v>
      </c>
      <c r="N29" s="38">
        <f>N$11*'Loads'!$B49*'LAFs'!E231*(1-'Contrib'!N94)/(24*'Input'!$F$58)*100</f>
        <v>0</v>
      </c>
      <c r="O29" s="38">
        <f>O$11*'Loads'!$B49*'LAFs'!F231*(1-'Contrib'!O94)/(24*'Input'!$F$58)*100</f>
        <v>0</v>
      </c>
      <c r="P29" s="38">
        <f>P$11*'Loads'!$B49*'LAFs'!G231*(1-'Contrib'!P94)/(24*'Input'!$F$58)*100</f>
        <v>0</v>
      </c>
      <c r="Q29" s="38">
        <f>Q$11*'Loads'!$B49*'LAFs'!H231*(1-'Contrib'!Q94)/(24*'Input'!$F$58)*100</f>
        <v>0</v>
      </c>
      <c r="R29" s="38">
        <f>R$11*'Loads'!$B49*'LAFs'!I231*(1-'Contrib'!R94)/(24*'Input'!$F$58)*100</f>
        <v>0</v>
      </c>
      <c r="S29" s="38">
        <f>S$11*'Loads'!$B49*'LAFs'!J231*(1-'Contrib'!S94)/(24*'Input'!$F$58)*100</f>
        <v>0</v>
      </c>
      <c r="T29" s="17"/>
    </row>
    <row r="30" spans="1:20">
      <c r="A30" s="4" t="s">
        <v>179</v>
      </c>
      <c r="B30" s="38">
        <f>B$11*'Loads'!$B50*'LAFs'!B232*(1-'Contrib'!B95)/(24*'Input'!$F$58)*100</f>
        <v>0</v>
      </c>
      <c r="C30" s="38">
        <f>C$11*'Loads'!$B50*'LAFs'!C232*(1-'Contrib'!C95)/(24*'Input'!$F$58)*100</f>
        <v>0</v>
      </c>
      <c r="D30" s="38">
        <f>D$11*'Loads'!$B50*'LAFs'!D232*(1-'Contrib'!D95)/(24*'Input'!$F$58)*100</f>
        <v>0</v>
      </c>
      <c r="E30" s="38">
        <f>E$11*'Loads'!$B50*'LAFs'!E232*(1-'Contrib'!E95)/(24*'Input'!$F$58)*100</f>
        <v>0</v>
      </c>
      <c r="F30" s="38">
        <f>F$11*'Loads'!$B50*'LAFs'!F232*(1-'Contrib'!F95)/(24*'Input'!$F$58)*100</f>
        <v>0</v>
      </c>
      <c r="G30" s="38">
        <f>G$11*'Loads'!$B50*'LAFs'!G232*(1-'Contrib'!G95)/(24*'Input'!$F$58)*100</f>
        <v>0</v>
      </c>
      <c r="H30" s="38">
        <f>H$11*'Loads'!$B50*'LAFs'!H232*(1-'Contrib'!H95)/(24*'Input'!$F$58)*100</f>
        <v>0</v>
      </c>
      <c r="I30" s="38">
        <f>I$11*'Loads'!$B50*'LAFs'!I232*(1-'Contrib'!I95)/(24*'Input'!$F$58)*100</f>
        <v>0</v>
      </c>
      <c r="J30" s="38">
        <f>J$11*'Loads'!$B50*'LAFs'!J232*(1-'Contrib'!J95)/(24*'Input'!$F$58)*100</f>
        <v>0</v>
      </c>
      <c r="K30" s="38">
        <f>K$11*'Loads'!$B50*'LAFs'!B232*(1-'Contrib'!K95)/(24*'Input'!$F$58)*100</f>
        <v>0</v>
      </c>
      <c r="L30" s="38">
        <f>L$11*'Loads'!$B50*'LAFs'!C232*(1-'Contrib'!L95)/(24*'Input'!$F$58)*100</f>
        <v>0</v>
      </c>
      <c r="M30" s="38">
        <f>M$11*'Loads'!$B50*'LAFs'!D232*(1-'Contrib'!M95)/(24*'Input'!$F$58)*100</f>
        <v>0</v>
      </c>
      <c r="N30" s="38">
        <f>N$11*'Loads'!$B50*'LAFs'!E232*(1-'Contrib'!N95)/(24*'Input'!$F$58)*100</f>
        <v>0</v>
      </c>
      <c r="O30" s="38">
        <f>O$11*'Loads'!$B50*'LAFs'!F232*(1-'Contrib'!O95)/(24*'Input'!$F$58)*100</f>
        <v>0</v>
      </c>
      <c r="P30" s="38">
        <f>P$11*'Loads'!$B50*'LAFs'!G232*(1-'Contrib'!P95)/(24*'Input'!$F$58)*100</f>
        <v>0</v>
      </c>
      <c r="Q30" s="38">
        <f>Q$11*'Loads'!$B50*'LAFs'!H232*(1-'Contrib'!Q95)/(24*'Input'!$F$58)*100</f>
        <v>0</v>
      </c>
      <c r="R30" s="38">
        <f>R$11*'Loads'!$B50*'LAFs'!I232*(1-'Contrib'!R95)/(24*'Input'!$F$58)*100</f>
        <v>0</v>
      </c>
      <c r="S30" s="38">
        <f>S$11*'Loads'!$B50*'LAFs'!J232*(1-'Contrib'!S95)/(24*'Input'!$F$58)*100</f>
        <v>0</v>
      </c>
      <c r="T30" s="17"/>
    </row>
    <row r="31" spans="1:20">
      <c r="A31" s="4" t="s">
        <v>180</v>
      </c>
      <c r="B31" s="38">
        <f>B$11*'Loads'!$B51*'LAFs'!B233*(1-'Contrib'!B96)/(24*'Input'!$F$58)*100</f>
        <v>0</v>
      </c>
      <c r="C31" s="38">
        <f>C$11*'Loads'!$B51*'LAFs'!C233*(1-'Contrib'!C96)/(24*'Input'!$F$58)*100</f>
        <v>0</v>
      </c>
      <c r="D31" s="38">
        <f>D$11*'Loads'!$B51*'LAFs'!D233*(1-'Contrib'!D96)/(24*'Input'!$F$58)*100</f>
        <v>0</v>
      </c>
      <c r="E31" s="38">
        <f>E$11*'Loads'!$B51*'LAFs'!E233*(1-'Contrib'!E96)/(24*'Input'!$F$58)*100</f>
        <v>0</v>
      </c>
      <c r="F31" s="38">
        <f>F$11*'Loads'!$B51*'LAFs'!F233*(1-'Contrib'!F96)/(24*'Input'!$F$58)*100</f>
        <v>0</v>
      </c>
      <c r="G31" s="38">
        <f>G$11*'Loads'!$B51*'LAFs'!G233*(1-'Contrib'!G96)/(24*'Input'!$F$58)*100</f>
        <v>0</v>
      </c>
      <c r="H31" s="38">
        <f>H$11*'Loads'!$B51*'LAFs'!H233*(1-'Contrib'!H96)/(24*'Input'!$F$58)*100</f>
        <v>0</v>
      </c>
      <c r="I31" s="38">
        <f>I$11*'Loads'!$B51*'LAFs'!I233*(1-'Contrib'!I96)/(24*'Input'!$F$58)*100</f>
        <v>0</v>
      </c>
      <c r="J31" s="38">
        <f>J$11*'Loads'!$B51*'LAFs'!J233*(1-'Contrib'!J96)/(24*'Input'!$F$58)*100</f>
        <v>0</v>
      </c>
      <c r="K31" s="38">
        <f>K$11*'Loads'!$B51*'LAFs'!B233*(1-'Contrib'!K96)/(24*'Input'!$F$58)*100</f>
        <v>0</v>
      </c>
      <c r="L31" s="38">
        <f>L$11*'Loads'!$B51*'LAFs'!C233*(1-'Contrib'!L96)/(24*'Input'!$F$58)*100</f>
        <v>0</v>
      </c>
      <c r="M31" s="38">
        <f>M$11*'Loads'!$B51*'LAFs'!D233*(1-'Contrib'!M96)/(24*'Input'!$F$58)*100</f>
        <v>0</v>
      </c>
      <c r="N31" s="38">
        <f>N$11*'Loads'!$B51*'LAFs'!E233*(1-'Contrib'!N96)/(24*'Input'!$F$58)*100</f>
        <v>0</v>
      </c>
      <c r="O31" s="38">
        <f>O$11*'Loads'!$B51*'LAFs'!F233*(1-'Contrib'!O96)/(24*'Input'!$F$58)*100</f>
        <v>0</v>
      </c>
      <c r="P31" s="38">
        <f>P$11*'Loads'!$B51*'LAFs'!G233*(1-'Contrib'!P96)/(24*'Input'!$F$58)*100</f>
        <v>0</v>
      </c>
      <c r="Q31" s="38">
        <f>Q$11*'Loads'!$B51*'LAFs'!H233*(1-'Contrib'!Q96)/(24*'Input'!$F$58)*100</f>
        <v>0</v>
      </c>
      <c r="R31" s="38">
        <f>R$11*'Loads'!$B51*'LAFs'!I233*(1-'Contrib'!R96)/(24*'Input'!$F$58)*100</f>
        <v>0</v>
      </c>
      <c r="S31" s="38">
        <f>S$11*'Loads'!$B51*'LAFs'!J233*(1-'Contrib'!S96)/(24*'Input'!$F$58)*100</f>
        <v>0</v>
      </c>
      <c r="T31" s="17"/>
    </row>
    <row r="32" spans="1:20">
      <c r="A32" s="4" t="s">
        <v>181</v>
      </c>
      <c r="B32" s="38">
        <f>B$11*'Loads'!$B52*'LAFs'!B234*(1-'Contrib'!B97)/(24*'Input'!$F$58)*100</f>
        <v>0</v>
      </c>
      <c r="C32" s="38">
        <f>C$11*'Loads'!$B52*'LAFs'!C234*(1-'Contrib'!C97)/(24*'Input'!$F$58)*100</f>
        <v>0</v>
      </c>
      <c r="D32" s="38">
        <f>D$11*'Loads'!$B52*'LAFs'!D234*(1-'Contrib'!D97)/(24*'Input'!$F$58)*100</f>
        <v>0</v>
      </c>
      <c r="E32" s="38">
        <f>E$11*'Loads'!$B52*'LAFs'!E234*(1-'Contrib'!E97)/(24*'Input'!$F$58)*100</f>
        <v>0</v>
      </c>
      <c r="F32" s="38">
        <f>F$11*'Loads'!$B52*'LAFs'!F234*(1-'Contrib'!F97)/(24*'Input'!$F$58)*100</f>
        <v>0</v>
      </c>
      <c r="G32" s="38">
        <f>G$11*'Loads'!$B52*'LAFs'!G234*(1-'Contrib'!G97)/(24*'Input'!$F$58)*100</f>
        <v>0</v>
      </c>
      <c r="H32" s="38">
        <f>H$11*'Loads'!$B52*'LAFs'!H234*(1-'Contrib'!H97)/(24*'Input'!$F$58)*100</f>
        <v>0</v>
      </c>
      <c r="I32" s="38">
        <f>I$11*'Loads'!$B52*'LAFs'!I234*(1-'Contrib'!I97)/(24*'Input'!$F$58)*100</f>
        <v>0</v>
      </c>
      <c r="J32" s="38">
        <f>J$11*'Loads'!$B52*'LAFs'!J234*(1-'Contrib'!J97)/(24*'Input'!$F$58)*100</f>
        <v>0</v>
      </c>
      <c r="K32" s="38">
        <f>K$11*'Loads'!$B52*'LAFs'!B234*(1-'Contrib'!K97)/(24*'Input'!$F$58)*100</f>
        <v>0</v>
      </c>
      <c r="L32" s="38">
        <f>L$11*'Loads'!$B52*'LAFs'!C234*(1-'Contrib'!L97)/(24*'Input'!$F$58)*100</f>
        <v>0</v>
      </c>
      <c r="M32" s="38">
        <f>M$11*'Loads'!$B52*'LAFs'!D234*(1-'Contrib'!M97)/(24*'Input'!$F$58)*100</f>
        <v>0</v>
      </c>
      <c r="N32" s="38">
        <f>N$11*'Loads'!$B52*'LAFs'!E234*(1-'Contrib'!N97)/(24*'Input'!$F$58)*100</f>
        <v>0</v>
      </c>
      <c r="O32" s="38">
        <f>O$11*'Loads'!$B52*'LAFs'!F234*(1-'Contrib'!O97)/(24*'Input'!$F$58)*100</f>
        <v>0</v>
      </c>
      <c r="P32" s="38">
        <f>P$11*'Loads'!$B52*'LAFs'!G234*(1-'Contrib'!P97)/(24*'Input'!$F$58)*100</f>
        <v>0</v>
      </c>
      <c r="Q32" s="38">
        <f>Q$11*'Loads'!$B52*'LAFs'!H234*(1-'Contrib'!Q97)/(24*'Input'!$F$58)*100</f>
        <v>0</v>
      </c>
      <c r="R32" s="38">
        <f>R$11*'Loads'!$B52*'LAFs'!I234*(1-'Contrib'!R97)/(24*'Input'!$F$58)*100</f>
        <v>0</v>
      </c>
      <c r="S32" s="38">
        <f>S$11*'Loads'!$B52*'LAFs'!J234*(1-'Contrib'!S97)/(24*'Input'!$F$58)*100</f>
        <v>0</v>
      </c>
      <c r="T32" s="17"/>
    </row>
    <row r="33" spans="1:20">
      <c r="A33" s="4" t="s">
        <v>193</v>
      </c>
      <c r="B33" s="38">
        <f>B$11*'Loads'!$B53*'LAFs'!B235*(1-'Contrib'!B98)/(24*'Input'!$F$58)*100</f>
        <v>0</v>
      </c>
      <c r="C33" s="38">
        <f>C$11*'Loads'!$B53*'LAFs'!C235*(1-'Contrib'!C98)/(24*'Input'!$F$58)*100</f>
        <v>0</v>
      </c>
      <c r="D33" s="38">
        <f>D$11*'Loads'!$B53*'LAFs'!D235*(1-'Contrib'!D98)/(24*'Input'!$F$58)*100</f>
        <v>0</v>
      </c>
      <c r="E33" s="38">
        <f>E$11*'Loads'!$B53*'LAFs'!E235*(1-'Contrib'!E98)/(24*'Input'!$F$58)*100</f>
        <v>0</v>
      </c>
      <c r="F33" s="38">
        <f>F$11*'Loads'!$B53*'LAFs'!F235*(1-'Contrib'!F98)/(24*'Input'!$F$58)*100</f>
        <v>0</v>
      </c>
      <c r="G33" s="38">
        <f>G$11*'Loads'!$B53*'LAFs'!G235*(1-'Contrib'!G98)/(24*'Input'!$F$58)*100</f>
        <v>0</v>
      </c>
      <c r="H33" s="38">
        <f>H$11*'Loads'!$B53*'LAFs'!H235*(1-'Contrib'!H98)/(24*'Input'!$F$58)*100</f>
        <v>0</v>
      </c>
      <c r="I33" s="38">
        <f>I$11*'Loads'!$B53*'LAFs'!I235*(1-'Contrib'!I98)/(24*'Input'!$F$58)*100</f>
        <v>0</v>
      </c>
      <c r="J33" s="38">
        <f>J$11*'Loads'!$B53*'LAFs'!J235*(1-'Contrib'!J98)/(24*'Input'!$F$58)*100</f>
        <v>0</v>
      </c>
      <c r="K33" s="38">
        <f>K$11*'Loads'!$B53*'LAFs'!B235*(1-'Contrib'!K98)/(24*'Input'!$F$58)*100</f>
        <v>0</v>
      </c>
      <c r="L33" s="38">
        <f>L$11*'Loads'!$B53*'LAFs'!C235*(1-'Contrib'!L98)/(24*'Input'!$F$58)*100</f>
        <v>0</v>
      </c>
      <c r="M33" s="38">
        <f>M$11*'Loads'!$B53*'LAFs'!D235*(1-'Contrib'!M98)/(24*'Input'!$F$58)*100</f>
        <v>0</v>
      </c>
      <c r="N33" s="38">
        <f>N$11*'Loads'!$B53*'LAFs'!E235*(1-'Contrib'!N98)/(24*'Input'!$F$58)*100</f>
        <v>0</v>
      </c>
      <c r="O33" s="38">
        <f>O$11*'Loads'!$B53*'LAFs'!F235*(1-'Contrib'!O98)/(24*'Input'!$F$58)*100</f>
        <v>0</v>
      </c>
      <c r="P33" s="38">
        <f>P$11*'Loads'!$B53*'LAFs'!G235*(1-'Contrib'!P98)/(24*'Input'!$F$58)*100</f>
        <v>0</v>
      </c>
      <c r="Q33" s="38">
        <f>Q$11*'Loads'!$B53*'LAFs'!H235*(1-'Contrib'!Q98)/(24*'Input'!$F$58)*100</f>
        <v>0</v>
      </c>
      <c r="R33" s="38">
        <f>R$11*'Loads'!$B53*'LAFs'!I235*(1-'Contrib'!R98)/(24*'Input'!$F$58)*100</f>
        <v>0</v>
      </c>
      <c r="S33" s="38">
        <f>S$11*'Loads'!$B53*'LAFs'!J235*(1-'Contrib'!S98)/(24*'Input'!$F$58)*100</f>
        <v>0</v>
      </c>
      <c r="T33" s="17"/>
    </row>
    <row r="34" spans="1:20">
      <c r="A34" s="4" t="s">
        <v>213</v>
      </c>
      <c r="B34" s="38">
        <f>B$11*'Loads'!$B54*'LAFs'!B236*(1-'Contrib'!B99)/(24*'Input'!$F$58)*100</f>
        <v>0</v>
      </c>
      <c r="C34" s="38">
        <f>C$11*'Loads'!$B54*'LAFs'!C236*(1-'Contrib'!C99)/(24*'Input'!$F$58)*100</f>
        <v>0</v>
      </c>
      <c r="D34" s="38">
        <f>D$11*'Loads'!$B54*'LAFs'!D236*(1-'Contrib'!D99)/(24*'Input'!$F$58)*100</f>
        <v>0</v>
      </c>
      <c r="E34" s="38">
        <f>E$11*'Loads'!$B54*'LAFs'!E236*(1-'Contrib'!E99)/(24*'Input'!$F$58)*100</f>
        <v>0</v>
      </c>
      <c r="F34" s="38">
        <f>F$11*'Loads'!$B54*'LAFs'!F236*(1-'Contrib'!F99)/(24*'Input'!$F$58)*100</f>
        <v>0</v>
      </c>
      <c r="G34" s="38">
        <f>G$11*'Loads'!$B54*'LAFs'!G236*(1-'Contrib'!G99)/(24*'Input'!$F$58)*100</f>
        <v>0</v>
      </c>
      <c r="H34" s="38">
        <f>H$11*'Loads'!$B54*'LAFs'!H236*(1-'Contrib'!H99)/(24*'Input'!$F$58)*100</f>
        <v>0</v>
      </c>
      <c r="I34" s="38">
        <f>I$11*'Loads'!$B54*'LAFs'!I236*(1-'Contrib'!I99)/(24*'Input'!$F$58)*100</f>
        <v>0</v>
      </c>
      <c r="J34" s="38">
        <f>J$11*'Loads'!$B54*'LAFs'!J236*(1-'Contrib'!J99)/(24*'Input'!$F$58)*100</f>
        <v>0</v>
      </c>
      <c r="K34" s="38">
        <f>K$11*'Loads'!$B54*'LAFs'!B236*(1-'Contrib'!K99)/(24*'Input'!$F$58)*100</f>
        <v>0</v>
      </c>
      <c r="L34" s="38">
        <f>L$11*'Loads'!$B54*'LAFs'!C236*(1-'Contrib'!L99)/(24*'Input'!$F$58)*100</f>
        <v>0</v>
      </c>
      <c r="M34" s="38">
        <f>M$11*'Loads'!$B54*'LAFs'!D236*(1-'Contrib'!M99)/(24*'Input'!$F$58)*100</f>
        <v>0</v>
      </c>
      <c r="N34" s="38">
        <f>N$11*'Loads'!$B54*'LAFs'!E236*(1-'Contrib'!N99)/(24*'Input'!$F$58)*100</f>
        <v>0</v>
      </c>
      <c r="O34" s="38">
        <f>O$11*'Loads'!$B54*'LAFs'!F236*(1-'Contrib'!O99)/(24*'Input'!$F$58)*100</f>
        <v>0</v>
      </c>
      <c r="P34" s="38">
        <f>P$11*'Loads'!$B54*'LAFs'!G236*(1-'Contrib'!P99)/(24*'Input'!$F$58)*100</f>
        <v>0</v>
      </c>
      <c r="Q34" s="38">
        <f>Q$11*'Loads'!$B54*'LAFs'!H236*(1-'Contrib'!Q99)/(24*'Input'!$F$58)*100</f>
        <v>0</v>
      </c>
      <c r="R34" s="38">
        <f>R$11*'Loads'!$B54*'LAFs'!I236*(1-'Contrib'!R99)/(24*'Input'!$F$58)*100</f>
        <v>0</v>
      </c>
      <c r="S34" s="38">
        <f>S$11*'Loads'!$B54*'LAFs'!J236*(1-'Contrib'!S99)/(24*'Input'!$F$58)*100</f>
        <v>0</v>
      </c>
      <c r="T34" s="17"/>
    </row>
    <row r="35" spans="1:20">
      <c r="A35" s="4" t="s">
        <v>214</v>
      </c>
      <c r="B35" s="38">
        <f>B$11*'Loads'!$B55*'LAFs'!B237*(1-'Contrib'!B100)/(24*'Input'!$F$58)*100</f>
        <v>0</v>
      </c>
      <c r="C35" s="38">
        <f>C$11*'Loads'!$B55*'LAFs'!C237*(1-'Contrib'!C100)/(24*'Input'!$F$58)*100</f>
        <v>0</v>
      </c>
      <c r="D35" s="38">
        <f>D$11*'Loads'!$B55*'LAFs'!D237*(1-'Contrib'!D100)/(24*'Input'!$F$58)*100</f>
        <v>0</v>
      </c>
      <c r="E35" s="38">
        <f>E$11*'Loads'!$B55*'LAFs'!E237*(1-'Contrib'!E100)/(24*'Input'!$F$58)*100</f>
        <v>0</v>
      </c>
      <c r="F35" s="38">
        <f>F$11*'Loads'!$B55*'LAFs'!F237*(1-'Contrib'!F100)/(24*'Input'!$F$58)*100</f>
        <v>0</v>
      </c>
      <c r="G35" s="38">
        <f>G$11*'Loads'!$B55*'LAFs'!G237*(1-'Contrib'!G100)/(24*'Input'!$F$58)*100</f>
        <v>0</v>
      </c>
      <c r="H35" s="38">
        <f>H$11*'Loads'!$B55*'LAFs'!H237*(1-'Contrib'!H100)/(24*'Input'!$F$58)*100</f>
        <v>0</v>
      </c>
      <c r="I35" s="38">
        <f>I$11*'Loads'!$B55*'LAFs'!I237*(1-'Contrib'!I100)/(24*'Input'!$F$58)*100</f>
        <v>0</v>
      </c>
      <c r="J35" s="38">
        <f>J$11*'Loads'!$B55*'LAFs'!J237*(1-'Contrib'!J100)/(24*'Input'!$F$58)*100</f>
        <v>0</v>
      </c>
      <c r="K35" s="38">
        <f>K$11*'Loads'!$B55*'LAFs'!B237*(1-'Contrib'!K100)/(24*'Input'!$F$58)*100</f>
        <v>0</v>
      </c>
      <c r="L35" s="38">
        <f>L$11*'Loads'!$B55*'LAFs'!C237*(1-'Contrib'!L100)/(24*'Input'!$F$58)*100</f>
        <v>0</v>
      </c>
      <c r="M35" s="38">
        <f>M$11*'Loads'!$B55*'LAFs'!D237*(1-'Contrib'!M100)/(24*'Input'!$F$58)*100</f>
        <v>0</v>
      </c>
      <c r="N35" s="38">
        <f>N$11*'Loads'!$B55*'LAFs'!E237*(1-'Contrib'!N100)/(24*'Input'!$F$58)*100</f>
        <v>0</v>
      </c>
      <c r="O35" s="38">
        <f>O$11*'Loads'!$B55*'LAFs'!F237*(1-'Contrib'!O100)/(24*'Input'!$F$58)*100</f>
        <v>0</v>
      </c>
      <c r="P35" s="38">
        <f>P$11*'Loads'!$B55*'LAFs'!G237*(1-'Contrib'!P100)/(24*'Input'!$F$58)*100</f>
        <v>0</v>
      </c>
      <c r="Q35" s="38">
        <f>Q$11*'Loads'!$B55*'LAFs'!H237*(1-'Contrib'!Q100)/(24*'Input'!$F$58)*100</f>
        <v>0</v>
      </c>
      <c r="R35" s="38">
        <f>R$11*'Loads'!$B55*'LAFs'!I237*(1-'Contrib'!R100)/(24*'Input'!$F$58)*100</f>
        <v>0</v>
      </c>
      <c r="S35" s="38">
        <f>S$11*'Loads'!$B55*'LAFs'!J237*(1-'Contrib'!S100)/(24*'Input'!$F$58)*100</f>
        <v>0</v>
      </c>
      <c r="T35" s="17"/>
    </row>
    <row r="36" spans="1:20">
      <c r="A36" s="4" t="s">
        <v>215</v>
      </c>
      <c r="B36" s="38">
        <f>B$11*'Loads'!$B56*'LAFs'!B238*(1-'Contrib'!B101)/(24*'Input'!$F$58)*100</f>
        <v>0</v>
      </c>
      <c r="C36" s="38">
        <f>C$11*'Loads'!$B56*'LAFs'!C238*(1-'Contrib'!C101)/(24*'Input'!$F$58)*100</f>
        <v>0</v>
      </c>
      <c r="D36" s="38">
        <f>D$11*'Loads'!$B56*'LAFs'!D238*(1-'Contrib'!D101)/(24*'Input'!$F$58)*100</f>
        <v>0</v>
      </c>
      <c r="E36" s="38">
        <f>E$11*'Loads'!$B56*'LAFs'!E238*(1-'Contrib'!E101)/(24*'Input'!$F$58)*100</f>
        <v>0</v>
      </c>
      <c r="F36" s="38">
        <f>F$11*'Loads'!$B56*'LAFs'!F238*(1-'Contrib'!F101)/(24*'Input'!$F$58)*100</f>
        <v>0</v>
      </c>
      <c r="G36" s="38">
        <f>G$11*'Loads'!$B56*'LAFs'!G238*(1-'Contrib'!G101)/(24*'Input'!$F$58)*100</f>
        <v>0</v>
      </c>
      <c r="H36" s="38">
        <f>H$11*'Loads'!$B56*'LAFs'!H238*(1-'Contrib'!H101)/(24*'Input'!$F$58)*100</f>
        <v>0</v>
      </c>
      <c r="I36" s="38">
        <f>I$11*'Loads'!$B56*'LAFs'!I238*(1-'Contrib'!I101)/(24*'Input'!$F$58)*100</f>
        <v>0</v>
      </c>
      <c r="J36" s="38">
        <f>J$11*'Loads'!$B56*'LAFs'!J238*(1-'Contrib'!J101)/(24*'Input'!$F$58)*100</f>
        <v>0</v>
      </c>
      <c r="K36" s="38">
        <f>K$11*'Loads'!$B56*'LAFs'!B238*(1-'Contrib'!K101)/(24*'Input'!$F$58)*100</f>
        <v>0</v>
      </c>
      <c r="L36" s="38">
        <f>L$11*'Loads'!$B56*'LAFs'!C238*(1-'Contrib'!L101)/(24*'Input'!$F$58)*100</f>
        <v>0</v>
      </c>
      <c r="M36" s="38">
        <f>M$11*'Loads'!$B56*'LAFs'!D238*(1-'Contrib'!M101)/(24*'Input'!$F$58)*100</f>
        <v>0</v>
      </c>
      <c r="N36" s="38">
        <f>N$11*'Loads'!$B56*'LAFs'!E238*(1-'Contrib'!N101)/(24*'Input'!$F$58)*100</f>
        <v>0</v>
      </c>
      <c r="O36" s="38">
        <f>O$11*'Loads'!$B56*'LAFs'!F238*(1-'Contrib'!O101)/(24*'Input'!$F$58)*100</f>
        <v>0</v>
      </c>
      <c r="P36" s="38">
        <f>P$11*'Loads'!$B56*'LAFs'!G238*(1-'Contrib'!P101)/(24*'Input'!$F$58)*100</f>
        <v>0</v>
      </c>
      <c r="Q36" s="38">
        <f>Q$11*'Loads'!$B56*'LAFs'!H238*(1-'Contrib'!Q101)/(24*'Input'!$F$58)*100</f>
        <v>0</v>
      </c>
      <c r="R36" s="38">
        <f>R$11*'Loads'!$B56*'LAFs'!I238*(1-'Contrib'!R101)/(24*'Input'!$F$58)*100</f>
        <v>0</v>
      </c>
      <c r="S36" s="38">
        <f>S$11*'Loads'!$B56*'LAFs'!J238*(1-'Contrib'!S101)/(24*'Input'!$F$58)*100</f>
        <v>0</v>
      </c>
      <c r="T36" s="17"/>
    </row>
    <row r="37" spans="1:20">
      <c r="A37" s="4" t="s">
        <v>216</v>
      </c>
      <c r="B37" s="38">
        <f>B$11*'Loads'!$B57*'LAFs'!B239*(1-'Contrib'!B102)/(24*'Input'!$F$58)*100</f>
        <v>0</v>
      </c>
      <c r="C37" s="38">
        <f>C$11*'Loads'!$B57*'LAFs'!C239*(1-'Contrib'!C102)/(24*'Input'!$F$58)*100</f>
        <v>0</v>
      </c>
      <c r="D37" s="38">
        <f>D$11*'Loads'!$B57*'LAFs'!D239*(1-'Contrib'!D102)/(24*'Input'!$F$58)*100</f>
        <v>0</v>
      </c>
      <c r="E37" s="38">
        <f>E$11*'Loads'!$B57*'LAFs'!E239*(1-'Contrib'!E102)/(24*'Input'!$F$58)*100</f>
        <v>0</v>
      </c>
      <c r="F37" s="38">
        <f>F$11*'Loads'!$B57*'LAFs'!F239*(1-'Contrib'!F102)/(24*'Input'!$F$58)*100</f>
        <v>0</v>
      </c>
      <c r="G37" s="38">
        <f>G$11*'Loads'!$B57*'LAFs'!G239*(1-'Contrib'!G102)/(24*'Input'!$F$58)*100</f>
        <v>0</v>
      </c>
      <c r="H37" s="38">
        <f>H$11*'Loads'!$B57*'LAFs'!H239*(1-'Contrib'!H102)/(24*'Input'!$F$58)*100</f>
        <v>0</v>
      </c>
      <c r="I37" s="38">
        <f>I$11*'Loads'!$B57*'LAFs'!I239*(1-'Contrib'!I102)/(24*'Input'!$F$58)*100</f>
        <v>0</v>
      </c>
      <c r="J37" s="38">
        <f>J$11*'Loads'!$B57*'LAFs'!J239*(1-'Contrib'!J102)/(24*'Input'!$F$58)*100</f>
        <v>0</v>
      </c>
      <c r="K37" s="38">
        <f>K$11*'Loads'!$B57*'LAFs'!B239*(1-'Contrib'!K102)/(24*'Input'!$F$58)*100</f>
        <v>0</v>
      </c>
      <c r="L37" s="38">
        <f>L$11*'Loads'!$B57*'LAFs'!C239*(1-'Contrib'!L102)/(24*'Input'!$F$58)*100</f>
        <v>0</v>
      </c>
      <c r="M37" s="38">
        <f>M$11*'Loads'!$B57*'LAFs'!D239*(1-'Contrib'!M102)/(24*'Input'!$F$58)*100</f>
        <v>0</v>
      </c>
      <c r="N37" s="38">
        <f>N$11*'Loads'!$B57*'LAFs'!E239*(1-'Contrib'!N102)/(24*'Input'!$F$58)*100</f>
        <v>0</v>
      </c>
      <c r="O37" s="38">
        <f>O$11*'Loads'!$B57*'LAFs'!F239*(1-'Contrib'!O102)/(24*'Input'!$F$58)*100</f>
        <v>0</v>
      </c>
      <c r="P37" s="38">
        <f>P$11*'Loads'!$B57*'LAFs'!G239*(1-'Contrib'!P102)/(24*'Input'!$F$58)*100</f>
        <v>0</v>
      </c>
      <c r="Q37" s="38">
        <f>Q$11*'Loads'!$B57*'LAFs'!H239*(1-'Contrib'!Q102)/(24*'Input'!$F$58)*100</f>
        <v>0</v>
      </c>
      <c r="R37" s="38">
        <f>R$11*'Loads'!$B57*'LAFs'!I239*(1-'Contrib'!R102)/(24*'Input'!$F$58)*100</f>
        <v>0</v>
      </c>
      <c r="S37" s="38">
        <f>S$11*'Loads'!$B57*'LAFs'!J239*(1-'Contrib'!S102)/(24*'Input'!$F$58)*100</f>
        <v>0</v>
      </c>
      <c r="T37" s="17"/>
    </row>
    <row r="38" spans="1:20">
      <c r="A38" s="4" t="s">
        <v>217</v>
      </c>
      <c r="B38" s="38">
        <f>B$11*'Loads'!$B58*'LAFs'!B240*(1-'Contrib'!B103)/(24*'Input'!$F$58)*100</f>
        <v>0</v>
      </c>
      <c r="C38" s="38">
        <f>C$11*'Loads'!$B58*'LAFs'!C240*(1-'Contrib'!C103)/(24*'Input'!$F$58)*100</f>
        <v>0</v>
      </c>
      <c r="D38" s="38">
        <f>D$11*'Loads'!$B58*'LAFs'!D240*(1-'Contrib'!D103)/(24*'Input'!$F$58)*100</f>
        <v>0</v>
      </c>
      <c r="E38" s="38">
        <f>E$11*'Loads'!$B58*'LAFs'!E240*(1-'Contrib'!E103)/(24*'Input'!$F$58)*100</f>
        <v>0</v>
      </c>
      <c r="F38" s="38">
        <f>F$11*'Loads'!$B58*'LAFs'!F240*(1-'Contrib'!F103)/(24*'Input'!$F$58)*100</f>
        <v>0</v>
      </c>
      <c r="G38" s="38">
        <f>G$11*'Loads'!$B58*'LAFs'!G240*(1-'Contrib'!G103)/(24*'Input'!$F$58)*100</f>
        <v>0</v>
      </c>
      <c r="H38" s="38">
        <f>H$11*'Loads'!$B58*'LAFs'!H240*(1-'Contrib'!H103)/(24*'Input'!$F$58)*100</f>
        <v>0</v>
      </c>
      <c r="I38" s="38">
        <f>I$11*'Loads'!$B58*'LAFs'!I240*(1-'Contrib'!I103)/(24*'Input'!$F$58)*100</f>
        <v>0</v>
      </c>
      <c r="J38" s="38">
        <f>J$11*'Loads'!$B58*'LAFs'!J240*(1-'Contrib'!J103)/(24*'Input'!$F$58)*100</f>
        <v>0</v>
      </c>
      <c r="K38" s="38">
        <f>K$11*'Loads'!$B58*'LAFs'!B240*(1-'Contrib'!K103)/(24*'Input'!$F$58)*100</f>
        <v>0</v>
      </c>
      <c r="L38" s="38">
        <f>L$11*'Loads'!$B58*'LAFs'!C240*(1-'Contrib'!L103)/(24*'Input'!$F$58)*100</f>
        <v>0</v>
      </c>
      <c r="M38" s="38">
        <f>M$11*'Loads'!$B58*'LAFs'!D240*(1-'Contrib'!M103)/(24*'Input'!$F$58)*100</f>
        <v>0</v>
      </c>
      <c r="N38" s="38">
        <f>N$11*'Loads'!$B58*'LAFs'!E240*(1-'Contrib'!N103)/(24*'Input'!$F$58)*100</f>
        <v>0</v>
      </c>
      <c r="O38" s="38">
        <f>O$11*'Loads'!$B58*'LAFs'!F240*(1-'Contrib'!O103)/(24*'Input'!$F$58)*100</f>
        <v>0</v>
      </c>
      <c r="P38" s="38">
        <f>P$11*'Loads'!$B58*'LAFs'!G240*(1-'Contrib'!P103)/(24*'Input'!$F$58)*100</f>
        <v>0</v>
      </c>
      <c r="Q38" s="38">
        <f>Q$11*'Loads'!$B58*'LAFs'!H240*(1-'Contrib'!Q103)/(24*'Input'!$F$58)*100</f>
        <v>0</v>
      </c>
      <c r="R38" s="38">
        <f>R$11*'Loads'!$B58*'LAFs'!I240*(1-'Contrib'!R103)/(24*'Input'!$F$58)*100</f>
        <v>0</v>
      </c>
      <c r="S38" s="38">
        <f>S$11*'Loads'!$B58*'LAFs'!J240*(1-'Contrib'!S103)/(24*'Input'!$F$58)*100</f>
        <v>0</v>
      </c>
      <c r="T38" s="17"/>
    </row>
    <row r="39" spans="1:20">
      <c r="A39" s="4" t="s">
        <v>182</v>
      </c>
      <c r="B39" s="38">
        <f>B$11*'Loads'!$B59*'LAFs'!B241*(1-'Contrib'!B104)/(24*'Input'!$F$58)*100</f>
        <v>0</v>
      </c>
      <c r="C39" s="38">
        <f>C$11*'Loads'!$B59*'LAFs'!C241*(1-'Contrib'!C104)/(24*'Input'!$F$58)*100</f>
        <v>0</v>
      </c>
      <c r="D39" s="38">
        <f>D$11*'Loads'!$B59*'LAFs'!D241*(1-'Contrib'!D104)/(24*'Input'!$F$58)*100</f>
        <v>0</v>
      </c>
      <c r="E39" s="38">
        <f>E$11*'Loads'!$B59*'LAFs'!E241*(1-'Contrib'!E104)/(24*'Input'!$F$58)*100</f>
        <v>0</v>
      </c>
      <c r="F39" s="38">
        <f>F$11*'Loads'!$B59*'LAFs'!F241*(1-'Contrib'!F104)/(24*'Input'!$F$58)*100</f>
        <v>0</v>
      </c>
      <c r="G39" s="38">
        <f>G$11*'Loads'!$B59*'LAFs'!G241*(1-'Contrib'!G104)/(24*'Input'!$F$58)*100</f>
        <v>0</v>
      </c>
      <c r="H39" s="38">
        <f>H$11*'Loads'!$B59*'LAFs'!H241*(1-'Contrib'!H104)/(24*'Input'!$F$58)*100</f>
        <v>0</v>
      </c>
      <c r="I39" s="38">
        <f>I$11*'Loads'!$B59*'LAFs'!I241*(1-'Contrib'!I104)/(24*'Input'!$F$58)*100</f>
        <v>0</v>
      </c>
      <c r="J39" s="38">
        <f>J$11*'Loads'!$B59*'LAFs'!J241*(1-'Contrib'!J104)/(24*'Input'!$F$58)*100</f>
        <v>0</v>
      </c>
      <c r="K39" s="38">
        <f>K$11*'Loads'!$B59*'LAFs'!B241*(1-'Contrib'!K104)/(24*'Input'!$F$58)*100</f>
        <v>0</v>
      </c>
      <c r="L39" s="38">
        <f>L$11*'Loads'!$B59*'LAFs'!C241*(1-'Contrib'!L104)/(24*'Input'!$F$58)*100</f>
        <v>0</v>
      </c>
      <c r="M39" s="38">
        <f>M$11*'Loads'!$B59*'LAFs'!D241*(1-'Contrib'!M104)/(24*'Input'!$F$58)*100</f>
        <v>0</v>
      </c>
      <c r="N39" s="38">
        <f>N$11*'Loads'!$B59*'LAFs'!E241*(1-'Contrib'!N104)/(24*'Input'!$F$58)*100</f>
        <v>0</v>
      </c>
      <c r="O39" s="38">
        <f>O$11*'Loads'!$B59*'LAFs'!F241*(1-'Contrib'!O104)/(24*'Input'!$F$58)*100</f>
        <v>0</v>
      </c>
      <c r="P39" s="38">
        <f>P$11*'Loads'!$B59*'LAFs'!G241*(1-'Contrib'!P104)/(24*'Input'!$F$58)*100</f>
        <v>0</v>
      </c>
      <c r="Q39" s="38">
        <f>Q$11*'Loads'!$B59*'LAFs'!H241*(1-'Contrib'!Q104)/(24*'Input'!$F$58)*100</f>
        <v>0</v>
      </c>
      <c r="R39" s="38">
        <f>R$11*'Loads'!$B59*'LAFs'!I241*(1-'Contrib'!R104)/(24*'Input'!$F$58)*100</f>
        <v>0</v>
      </c>
      <c r="S39" s="38">
        <f>S$11*'Loads'!$B59*'LAFs'!J241*(1-'Contrib'!S104)/(24*'Input'!$F$58)*100</f>
        <v>0</v>
      </c>
      <c r="T39" s="17"/>
    </row>
    <row r="40" spans="1:20">
      <c r="A40" s="4" t="s">
        <v>183</v>
      </c>
      <c r="B40" s="38">
        <f>B$11*'Loads'!$B60*'LAFs'!B242*(1-'Contrib'!B105)/(24*'Input'!$F$58)*100</f>
        <v>0</v>
      </c>
      <c r="C40" s="38">
        <f>C$11*'Loads'!$B60*'LAFs'!C242*(1-'Contrib'!C105)/(24*'Input'!$F$58)*100</f>
        <v>0</v>
      </c>
      <c r="D40" s="38">
        <f>D$11*'Loads'!$B60*'LAFs'!D242*(1-'Contrib'!D105)/(24*'Input'!$F$58)*100</f>
        <v>0</v>
      </c>
      <c r="E40" s="38">
        <f>E$11*'Loads'!$B60*'LAFs'!E242*(1-'Contrib'!E105)/(24*'Input'!$F$58)*100</f>
        <v>0</v>
      </c>
      <c r="F40" s="38">
        <f>F$11*'Loads'!$B60*'LAFs'!F242*(1-'Contrib'!F105)/(24*'Input'!$F$58)*100</f>
        <v>0</v>
      </c>
      <c r="G40" s="38">
        <f>G$11*'Loads'!$B60*'LAFs'!G242*(1-'Contrib'!G105)/(24*'Input'!$F$58)*100</f>
        <v>0</v>
      </c>
      <c r="H40" s="38">
        <f>H$11*'Loads'!$B60*'LAFs'!H242*(1-'Contrib'!H105)/(24*'Input'!$F$58)*100</f>
        <v>0</v>
      </c>
      <c r="I40" s="38">
        <f>I$11*'Loads'!$B60*'LAFs'!I242*(1-'Contrib'!I105)/(24*'Input'!$F$58)*100</f>
        <v>0</v>
      </c>
      <c r="J40" s="38">
        <f>J$11*'Loads'!$B60*'LAFs'!J242*(1-'Contrib'!J105)/(24*'Input'!$F$58)*100</f>
        <v>0</v>
      </c>
      <c r="K40" s="38">
        <f>K$11*'Loads'!$B60*'LAFs'!B242*(1-'Contrib'!K105)/(24*'Input'!$F$58)*100</f>
        <v>0</v>
      </c>
      <c r="L40" s="38">
        <f>L$11*'Loads'!$B60*'LAFs'!C242*(1-'Contrib'!L105)/(24*'Input'!$F$58)*100</f>
        <v>0</v>
      </c>
      <c r="M40" s="38">
        <f>M$11*'Loads'!$B60*'LAFs'!D242*(1-'Contrib'!M105)/(24*'Input'!$F$58)*100</f>
        <v>0</v>
      </c>
      <c r="N40" s="38">
        <f>N$11*'Loads'!$B60*'LAFs'!E242*(1-'Contrib'!N105)/(24*'Input'!$F$58)*100</f>
        <v>0</v>
      </c>
      <c r="O40" s="38">
        <f>O$11*'Loads'!$B60*'LAFs'!F242*(1-'Contrib'!O105)/(24*'Input'!$F$58)*100</f>
        <v>0</v>
      </c>
      <c r="P40" s="38">
        <f>P$11*'Loads'!$B60*'LAFs'!G242*(1-'Contrib'!P105)/(24*'Input'!$F$58)*100</f>
        <v>0</v>
      </c>
      <c r="Q40" s="38">
        <f>Q$11*'Loads'!$B60*'LAFs'!H242*(1-'Contrib'!Q105)/(24*'Input'!$F$58)*100</f>
        <v>0</v>
      </c>
      <c r="R40" s="38">
        <f>R$11*'Loads'!$B60*'LAFs'!I242*(1-'Contrib'!R105)/(24*'Input'!$F$58)*100</f>
        <v>0</v>
      </c>
      <c r="S40" s="38">
        <f>S$11*'Loads'!$B60*'LAFs'!J242*(1-'Contrib'!S105)/(24*'Input'!$F$58)*100</f>
        <v>0</v>
      </c>
      <c r="T40" s="17"/>
    </row>
    <row r="41" spans="1:20">
      <c r="A41" s="4" t="s">
        <v>184</v>
      </c>
      <c r="B41" s="38">
        <f>B$11*'Loads'!$B61*'LAFs'!B243*(1-'Contrib'!B106)/(24*'Input'!$F$58)*100</f>
        <v>0</v>
      </c>
      <c r="C41" s="38">
        <f>C$11*'Loads'!$B61*'LAFs'!C243*(1-'Contrib'!C106)/(24*'Input'!$F$58)*100</f>
        <v>0</v>
      </c>
      <c r="D41" s="38">
        <f>D$11*'Loads'!$B61*'LAFs'!D243*(1-'Contrib'!D106)/(24*'Input'!$F$58)*100</f>
        <v>0</v>
      </c>
      <c r="E41" s="38">
        <f>E$11*'Loads'!$B61*'LAFs'!E243*(1-'Contrib'!E106)/(24*'Input'!$F$58)*100</f>
        <v>0</v>
      </c>
      <c r="F41" s="38">
        <f>F$11*'Loads'!$B61*'LAFs'!F243*(1-'Contrib'!F106)/(24*'Input'!$F$58)*100</f>
        <v>0</v>
      </c>
      <c r="G41" s="38">
        <f>G$11*'Loads'!$B61*'LAFs'!G243*(1-'Contrib'!G106)/(24*'Input'!$F$58)*100</f>
        <v>0</v>
      </c>
      <c r="H41" s="38">
        <f>H$11*'Loads'!$B61*'LAFs'!H243*(1-'Contrib'!H106)/(24*'Input'!$F$58)*100</f>
        <v>0</v>
      </c>
      <c r="I41" s="38">
        <f>I$11*'Loads'!$B61*'LAFs'!I243*(1-'Contrib'!I106)/(24*'Input'!$F$58)*100</f>
        <v>0</v>
      </c>
      <c r="J41" s="38">
        <f>J$11*'Loads'!$B61*'LAFs'!J243*(1-'Contrib'!J106)/(24*'Input'!$F$58)*100</f>
        <v>0</v>
      </c>
      <c r="K41" s="38">
        <f>K$11*'Loads'!$B61*'LAFs'!B243*(1-'Contrib'!K106)/(24*'Input'!$F$58)*100</f>
        <v>0</v>
      </c>
      <c r="L41" s="38">
        <f>L$11*'Loads'!$B61*'LAFs'!C243*(1-'Contrib'!L106)/(24*'Input'!$F$58)*100</f>
        <v>0</v>
      </c>
      <c r="M41" s="38">
        <f>M$11*'Loads'!$B61*'LAFs'!D243*(1-'Contrib'!M106)/(24*'Input'!$F$58)*100</f>
        <v>0</v>
      </c>
      <c r="N41" s="38">
        <f>N$11*'Loads'!$B61*'LAFs'!E243*(1-'Contrib'!N106)/(24*'Input'!$F$58)*100</f>
        <v>0</v>
      </c>
      <c r="O41" s="38">
        <f>O$11*'Loads'!$B61*'LAFs'!F243*(1-'Contrib'!O106)/(24*'Input'!$F$58)*100</f>
        <v>0</v>
      </c>
      <c r="P41" s="38">
        <f>P$11*'Loads'!$B61*'LAFs'!G243*(1-'Contrib'!P106)/(24*'Input'!$F$58)*100</f>
        <v>0</v>
      </c>
      <c r="Q41" s="38">
        <f>Q$11*'Loads'!$B61*'LAFs'!H243*(1-'Contrib'!Q106)/(24*'Input'!$F$58)*100</f>
        <v>0</v>
      </c>
      <c r="R41" s="38">
        <f>R$11*'Loads'!$B61*'LAFs'!I243*(1-'Contrib'!R106)/(24*'Input'!$F$58)*100</f>
        <v>0</v>
      </c>
      <c r="S41" s="38">
        <f>S$11*'Loads'!$B61*'LAFs'!J243*(1-'Contrib'!S106)/(24*'Input'!$F$58)*100</f>
        <v>0</v>
      </c>
      <c r="T41" s="17"/>
    </row>
    <row r="42" spans="1:20">
      <c r="A42" s="4" t="s">
        <v>185</v>
      </c>
      <c r="B42" s="38">
        <f>B$11*'Loads'!$B62*'LAFs'!B244*(1-'Contrib'!B107)/(24*'Input'!$F$58)*100</f>
        <v>0</v>
      </c>
      <c r="C42" s="38">
        <f>C$11*'Loads'!$B62*'LAFs'!C244*(1-'Contrib'!C107)/(24*'Input'!$F$58)*100</f>
        <v>0</v>
      </c>
      <c r="D42" s="38">
        <f>D$11*'Loads'!$B62*'LAFs'!D244*(1-'Contrib'!D107)/(24*'Input'!$F$58)*100</f>
        <v>0</v>
      </c>
      <c r="E42" s="38">
        <f>E$11*'Loads'!$B62*'LAFs'!E244*(1-'Contrib'!E107)/(24*'Input'!$F$58)*100</f>
        <v>0</v>
      </c>
      <c r="F42" s="38">
        <f>F$11*'Loads'!$B62*'LAFs'!F244*(1-'Contrib'!F107)/(24*'Input'!$F$58)*100</f>
        <v>0</v>
      </c>
      <c r="G42" s="38">
        <f>G$11*'Loads'!$B62*'LAFs'!G244*(1-'Contrib'!G107)/(24*'Input'!$F$58)*100</f>
        <v>0</v>
      </c>
      <c r="H42" s="38">
        <f>H$11*'Loads'!$B62*'LAFs'!H244*(1-'Contrib'!H107)/(24*'Input'!$F$58)*100</f>
        <v>0</v>
      </c>
      <c r="I42" s="38">
        <f>I$11*'Loads'!$B62*'LAFs'!I244*(1-'Contrib'!I107)/(24*'Input'!$F$58)*100</f>
        <v>0</v>
      </c>
      <c r="J42" s="38">
        <f>J$11*'Loads'!$B62*'LAFs'!J244*(1-'Contrib'!J107)/(24*'Input'!$F$58)*100</f>
        <v>0</v>
      </c>
      <c r="K42" s="38">
        <f>K$11*'Loads'!$B62*'LAFs'!B244*(1-'Contrib'!K107)/(24*'Input'!$F$58)*100</f>
        <v>0</v>
      </c>
      <c r="L42" s="38">
        <f>L$11*'Loads'!$B62*'LAFs'!C244*(1-'Contrib'!L107)/(24*'Input'!$F$58)*100</f>
        <v>0</v>
      </c>
      <c r="M42" s="38">
        <f>M$11*'Loads'!$B62*'LAFs'!D244*(1-'Contrib'!M107)/(24*'Input'!$F$58)*100</f>
        <v>0</v>
      </c>
      <c r="N42" s="38">
        <f>N$11*'Loads'!$B62*'LAFs'!E244*(1-'Contrib'!N107)/(24*'Input'!$F$58)*100</f>
        <v>0</v>
      </c>
      <c r="O42" s="38">
        <f>O$11*'Loads'!$B62*'LAFs'!F244*(1-'Contrib'!O107)/(24*'Input'!$F$58)*100</f>
        <v>0</v>
      </c>
      <c r="P42" s="38">
        <f>P$11*'Loads'!$B62*'LAFs'!G244*(1-'Contrib'!P107)/(24*'Input'!$F$58)*100</f>
        <v>0</v>
      </c>
      <c r="Q42" s="38">
        <f>Q$11*'Loads'!$B62*'LAFs'!H244*(1-'Contrib'!Q107)/(24*'Input'!$F$58)*100</f>
        <v>0</v>
      </c>
      <c r="R42" s="38">
        <f>R$11*'Loads'!$B62*'LAFs'!I244*(1-'Contrib'!R107)/(24*'Input'!$F$58)*100</f>
        <v>0</v>
      </c>
      <c r="S42" s="38">
        <f>S$11*'Loads'!$B62*'LAFs'!J244*(1-'Contrib'!S107)/(24*'Input'!$F$58)*100</f>
        <v>0</v>
      </c>
      <c r="T42" s="17"/>
    </row>
    <row r="43" spans="1:20">
      <c r="A43" s="4" t="s">
        <v>186</v>
      </c>
      <c r="B43" s="38">
        <f>B$11*'Loads'!$B63*'LAFs'!B245*(1-'Contrib'!B108)/(24*'Input'!$F$58)*100</f>
        <v>0</v>
      </c>
      <c r="C43" s="38">
        <f>C$11*'Loads'!$B63*'LAFs'!C245*(1-'Contrib'!C108)/(24*'Input'!$F$58)*100</f>
        <v>0</v>
      </c>
      <c r="D43" s="38">
        <f>D$11*'Loads'!$B63*'LAFs'!D245*(1-'Contrib'!D108)/(24*'Input'!$F$58)*100</f>
        <v>0</v>
      </c>
      <c r="E43" s="38">
        <f>E$11*'Loads'!$B63*'LAFs'!E245*(1-'Contrib'!E108)/(24*'Input'!$F$58)*100</f>
        <v>0</v>
      </c>
      <c r="F43" s="38">
        <f>F$11*'Loads'!$B63*'LAFs'!F245*(1-'Contrib'!F108)/(24*'Input'!$F$58)*100</f>
        <v>0</v>
      </c>
      <c r="G43" s="38">
        <f>G$11*'Loads'!$B63*'LAFs'!G245*(1-'Contrib'!G108)/(24*'Input'!$F$58)*100</f>
        <v>0</v>
      </c>
      <c r="H43" s="38">
        <f>H$11*'Loads'!$B63*'LAFs'!H245*(1-'Contrib'!H108)/(24*'Input'!$F$58)*100</f>
        <v>0</v>
      </c>
      <c r="I43" s="38">
        <f>I$11*'Loads'!$B63*'LAFs'!I245*(1-'Contrib'!I108)/(24*'Input'!$F$58)*100</f>
        <v>0</v>
      </c>
      <c r="J43" s="38">
        <f>J$11*'Loads'!$B63*'LAFs'!J245*(1-'Contrib'!J108)/(24*'Input'!$F$58)*100</f>
        <v>0</v>
      </c>
      <c r="K43" s="38">
        <f>K$11*'Loads'!$B63*'LAFs'!B245*(1-'Contrib'!K108)/(24*'Input'!$F$58)*100</f>
        <v>0</v>
      </c>
      <c r="L43" s="38">
        <f>L$11*'Loads'!$B63*'LAFs'!C245*(1-'Contrib'!L108)/(24*'Input'!$F$58)*100</f>
        <v>0</v>
      </c>
      <c r="M43" s="38">
        <f>M$11*'Loads'!$B63*'LAFs'!D245*(1-'Contrib'!M108)/(24*'Input'!$F$58)*100</f>
        <v>0</v>
      </c>
      <c r="N43" s="38">
        <f>N$11*'Loads'!$B63*'LAFs'!E245*(1-'Contrib'!N108)/(24*'Input'!$F$58)*100</f>
        <v>0</v>
      </c>
      <c r="O43" s="38">
        <f>O$11*'Loads'!$B63*'LAFs'!F245*(1-'Contrib'!O108)/(24*'Input'!$F$58)*100</f>
        <v>0</v>
      </c>
      <c r="P43" s="38">
        <f>P$11*'Loads'!$B63*'LAFs'!G245*(1-'Contrib'!P108)/(24*'Input'!$F$58)*100</f>
        <v>0</v>
      </c>
      <c r="Q43" s="38">
        <f>Q$11*'Loads'!$B63*'LAFs'!H245*(1-'Contrib'!Q108)/(24*'Input'!$F$58)*100</f>
        <v>0</v>
      </c>
      <c r="R43" s="38">
        <f>R$11*'Loads'!$B63*'LAFs'!I245*(1-'Contrib'!R108)/(24*'Input'!$F$58)*100</f>
        <v>0</v>
      </c>
      <c r="S43" s="38">
        <f>S$11*'Loads'!$B63*'LAFs'!J245*(1-'Contrib'!S108)/(24*'Input'!$F$58)*100</f>
        <v>0</v>
      </c>
      <c r="T43" s="17"/>
    </row>
    <row r="44" spans="1:20">
      <c r="A44" s="4" t="s">
        <v>187</v>
      </c>
      <c r="B44" s="38">
        <f>B$11*'Loads'!$B64*'LAFs'!B246*(1-'Contrib'!B109)/(24*'Input'!$F$58)*100</f>
        <v>0</v>
      </c>
      <c r="C44" s="38">
        <f>C$11*'Loads'!$B64*'LAFs'!C246*(1-'Contrib'!C109)/(24*'Input'!$F$58)*100</f>
        <v>0</v>
      </c>
      <c r="D44" s="38">
        <f>D$11*'Loads'!$B64*'LAFs'!D246*(1-'Contrib'!D109)/(24*'Input'!$F$58)*100</f>
        <v>0</v>
      </c>
      <c r="E44" s="38">
        <f>E$11*'Loads'!$B64*'LAFs'!E246*(1-'Contrib'!E109)/(24*'Input'!$F$58)*100</f>
        <v>0</v>
      </c>
      <c r="F44" s="38">
        <f>F$11*'Loads'!$B64*'LAFs'!F246*(1-'Contrib'!F109)/(24*'Input'!$F$58)*100</f>
        <v>0</v>
      </c>
      <c r="G44" s="38">
        <f>G$11*'Loads'!$B64*'LAFs'!G246*(1-'Contrib'!G109)/(24*'Input'!$F$58)*100</f>
        <v>0</v>
      </c>
      <c r="H44" s="38">
        <f>H$11*'Loads'!$B64*'LAFs'!H246*(1-'Contrib'!H109)/(24*'Input'!$F$58)*100</f>
        <v>0</v>
      </c>
      <c r="I44" s="38">
        <f>I$11*'Loads'!$B64*'LAFs'!I246*(1-'Contrib'!I109)/(24*'Input'!$F$58)*100</f>
        <v>0</v>
      </c>
      <c r="J44" s="38">
        <f>J$11*'Loads'!$B64*'LAFs'!J246*(1-'Contrib'!J109)/(24*'Input'!$F$58)*100</f>
        <v>0</v>
      </c>
      <c r="K44" s="38">
        <f>K$11*'Loads'!$B64*'LAFs'!B246*(1-'Contrib'!K109)/(24*'Input'!$F$58)*100</f>
        <v>0</v>
      </c>
      <c r="L44" s="38">
        <f>L$11*'Loads'!$B64*'LAFs'!C246*(1-'Contrib'!L109)/(24*'Input'!$F$58)*100</f>
        <v>0</v>
      </c>
      <c r="M44" s="38">
        <f>M$11*'Loads'!$B64*'LAFs'!D246*(1-'Contrib'!M109)/(24*'Input'!$F$58)*100</f>
        <v>0</v>
      </c>
      <c r="N44" s="38">
        <f>N$11*'Loads'!$B64*'LAFs'!E246*(1-'Contrib'!N109)/(24*'Input'!$F$58)*100</f>
        <v>0</v>
      </c>
      <c r="O44" s="38">
        <f>O$11*'Loads'!$B64*'LAFs'!F246*(1-'Contrib'!O109)/(24*'Input'!$F$58)*100</f>
        <v>0</v>
      </c>
      <c r="P44" s="38">
        <f>P$11*'Loads'!$B64*'LAFs'!G246*(1-'Contrib'!P109)/(24*'Input'!$F$58)*100</f>
        <v>0</v>
      </c>
      <c r="Q44" s="38">
        <f>Q$11*'Loads'!$B64*'LAFs'!H246*(1-'Contrib'!Q109)/(24*'Input'!$F$58)*100</f>
        <v>0</v>
      </c>
      <c r="R44" s="38">
        <f>R$11*'Loads'!$B64*'LAFs'!I246*(1-'Contrib'!R109)/(24*'Input'!$F$58)*100</f>
        <v>0</v>
      </c>
      <c r="S44" s="38">
        <f>S$11*'Loads'!$B64*'LAFs'!J246*(1-'Contrib'!S109)/(24*'Input'!$F$58)*100</f>
        <v>0</v>
      </c>
      <c r="T44" s="17"/>
    </row>
    <row r="45" spans="1:20">
      <c r="A45" s="4" t="s">
        <v>194</v>
      </c>
      <c r="B45" s="38">
        <f>B$11*'Loads'!$B65*'LAFs'!B247*(1-'Contrib'!B110)/(24*'Input'!$F$58)*100</f>
        <v>0</v>
      </c>
      <c r="C45" s="38">
        <f>C$11*'Loads'!$B65*'LAFs'!C247*(1-'Contrib'!C110)/(24*'Input'!$F$58)*100</f>
        <v>0</v>
      </c>
      <c r="D45" s="38">
        <f>D$11*'Loads'!$B65*'LAFs'!D247*(1-'Contrib'!D110)/(24*'Input'!$F$58)*100</f>
        <v>0</v>
      </c>
      <c r="E45" s="38">
        <f>E$11*'Loads'!$B65*'LAFs'!E247*(1-'Contrib'!E110)/(24*'Input'!$F$58)*100</f>
        <v>0</v>
      </c>
      <c r="F45" s="38">
        <f>F$11*'Loads'!$B65*'LAFs'!F247*(1-'Contrib'!F110)/(24*'Input'!$F$58)*100</f>
        <v>0</v>
      </c>
      <c r="G45" s="38">
        <f>G$11*'Loads'!$B65*'LAFs'!G247*(1-'Contrib'!G110)/(24*'Input'!$F$58)*100</f>
        <v>0</v>
      </c>
      <c r="H45" s="38">
        <f>H$11*'Loads'!$B65*'LAFs'!H247*(1-'Contrib'!H110)/(24*'Input'!$F$58)*100</f>
        <v>0</v>
      </c>
      <c r="I45" s="38">
        <f>I$11*'Loads'!$B65*'LAFs'!I247*(1-'Contrib'!I110)/(24*'Input'!$F$58)*100</f>
        <v>0</v>
      </c>
      <c r="J45" s="38">
        <f>J$11*'Loads'!$B65*'LAFs'!J247*(1-'Contrib'!J110)/(24*'Input'!$F$58)*100</f>
        <v>0</v>
      </c>
      <c r="K45" s="38">
        <f>K$11*'Loads'!$B65*'LAFs'!B247*(1-'Contrib'!K110)/(24*'Input'!$F$58)*100</f>
        <v>0</v>
      </c>
      <c r="L45" s="38">
        <f>L$11*'Loads'!$B65*'LAFs'!C247*(1-'Contrib'!L110)/(24*'Input'!$F$58)*100</f>
        <v>0</v>
      </c>
      <c r="M45" s="38">
        <f>M$11*'Loads'!$B65*'LAFs'!D247*(1-'Contrib'!M110)/(24*'Input'!$F$58)*100</f>
        <v>0</v>
      </c>
      <c r="N45" s="38">
        <f>N$11*'Loads'!$B65*'LAFs'!E247*(1-'Contrib'!N110)/(24*'Input'!$F$58)*100</f>
        <v>0</v>
      </c>
      <c r="O45" s="38">
        <f>O$11*'Loads'!$B65*'LAFs'!F247*(1-'Contrib'!O110)/(24*'Input'!$F$58)*100</f>
        <v>0</v>
      </c>
      <c r="P45" s="38">
        <f>P$11*'Loads'!$B65*'LAFs'!G247*(1-'Contrib'!P110)/(24*'Input'!$F$58)*100</f>
        <v>0</v>
      </c>
      <c r="Q45" s="38">
        <f>Q$11*'Loads'!$B65*'LAFs'!H247*(1-'Contrib'!Q110)/(24*'Input'!$F$58)*100</f>
        <v>0</v>
      </c>
      <c r="R45" s="38">
        <f>R$11*'Loads'!$B65*'LAFs'!I247*(1-'Contrib'!R110)/(24*'Input'!$F$58)*100</f>
        <v>0</v>
      </c>
      <c r="S45" s="38">
        <f>S$11*'Loads'!$B65*'LAFs'!J247*(1-'Contrib'!S110)/(24*'Input'!$F$58)*100</f>
        <v>0</v>
      </c>
      <c r="T45" s="17"/>
    </row>
    <row r="46" spans="1:20">
      <c r="A46" s="4" t="s">
        <v>195</v>
      </c>
      <c r="B46" s="38">
        <f>B$11*'Loads'!$B66*'LAFs'!B248*(1-'Contrib'!B111)/(24*'Input'!$F$58)*100</f>
        <v>0</v>
      </c>
      <c r="C46" s="38">
        <f>C$11*'Loads'!$B66*'LAFs'!C248*(1-'Contrib'!C111)/(24*'Input'!$F$58)*100</f>
        <v>0</v>
      </c>
      <c r="D46" s="38">
        <f>D$11*'Loads'!$B66*'LAFs'!D248*(1-'Contrib'!D111)/(24*'Input'!$F$58)*100</f>
        <v>0</v>
      </c>
      <c r="E46" s="38">
        <f>E$11*'Loads'!$B66*'LAFs'!E248*(1-'Contrib'!E111)/(24*'Input'!$F$58)*100</f>
        <v>0</v>
      </c>
      <c r="F46" s="38">
        <f>F$11*'Loads'!$B66*'LAFs'!F248*(1-'Contrib'!F111)/(24*'Input'!$F$58)*100</f>
        <v>0</v>
      </c>
      <c r="G46" s="38">
        <f>G$11*'Loads'!$B66*'LAFs'!G248*(1-'Contrib'!G111)/(24*'Input'!$F$58)*100</f>
        <v>0</v>
      </c>
      <c r="H46" s="38">
        <f>H$11*'Loads'!$B66*'LAFs'!H248*(1-'Contrib'!H111)/(24*'Input'!$F$58)*100</f>
        <v>0</v>
      </c>
      <c r="I46" s="38">
        <f>I$11*'Loads'!$B66*'LAFs'!I248*(1-'Contrib'!I111)/(24*'Input'!$F$58)*100</f>
        <v>0</v>
      </c>
      <c r="J46" s="38">
        <f>J$11*'Loads'!$B66*'LAFs'!J248*(1-'Contrib'!J111)/(24*'Input'!$F$58)*100</f>
        <v>0</v>
      </c>
      <c r="K46" s="38">
        <f>K$11*'Loads'!$B66*'LAFs'!B248*(1-'Contrib'!K111)/(24*'Input'!$F$58)*100</f>
        <v>0</v>
      </c>
      <c r="L46" s="38">
        <f>L$11*'Loads'!$B66*'LAFs'!C248*(1-'Contrib'!L111)/(24*'Input'!$F$58)*100</f>
        <v>0</v>
      </c>
      <c r="M46" s="38">
        <f>M$11*'Loads'!$B66*'LAFs'!D248*(1-'Contrib'!M111)/(24*'Input'!$F$58)*100</f>
        <v>0</v>
      </c>
      <c r="N46" s="38">
        <f>N$11*'Loads'!$B66*'LAFs'!E248*(1-'Contrib'!N111)/(24*'Input'!$F$58)*100</f>
        <v>0</v>
      </c>
      <c r="O46" s="38">
        <f>O$11*'Loads'!$B66*'LAFs'!F248*(1-'Contrib'!O111)/(24*'Input'!$F$58)*100</f>
        <v>0</v>
      </c>
      <c r="P46" s="38">
        <f>P$11*'Loads'!$B66*'LAFs'!G248*(1-'Contrib'!P111)/(24*'Input'!$F$58)*100</f>
        <v>0</v>
      </c>
      <c r="Q46" s="38">
        <f>Q$11*'Loads'!$B66*'LAFs'!H248*(1-'Contrib'!Q111)/(24*'Input'!$F$58)*100</f>
        <v>0</v>
      </c>
      <c r="R46" s="38">
        <f>R$11*'Loads'!$B66*'LAFs'!I248*(1-'Contrib'!R111)/(24*'Input'!$F$58)*100</f>
        <v>0</v>
      </c>
      <c r="S46" s="38">
        <f>S$11*'Loads'!$B66*'LAFs'!J248*(1-'Contrib'!S111)/(24*'Input'!$F$58)*100</f>
        <v>0</v>
      </c>
      <c r="T46" s="17"/>
    </row>
    <row r="48" spans="1:20" ht="21" customHeight="1">
      <c r="A48" s="1" t="s">
        <v>975</v>
      </c>
    </row>
    <row r="49" spans="1:20">
      <c r="A49" s="2" t="s">
        <v>351</v>
      </c>
    </row>
    <row r="50" spans="1:20">
      <c r="A50" s="33" t="s">
        <v>976</v>
      </c>
    </row>
    <row r="51" spans="1:20">
      <c r="A51" s="33" t="s">
        <v>977</v>
      </c>
    </row>
    <row r="52" spans="1:20">
      <c r="A52" s="33" t="s">
        <v>798</v>
      </c>
    </row>
    <row r="53" spans="1:20">
      <c r="A53" s="33" t="s">
        <v>973</v>
      </c>
    </row>
    <row r="54" spans="1:20">
      <c r="A54" s="33" t="s">
        <v>741</v>
      </c>
    </row>
    <row r="55" spans="1:20">
      <c r="A55" s="2" t="s">
        <v>978</v>
      </c>
    </row>
    <row r="57" spans="1:20">
      <c r="B57" s="15" t="s">
        <v>142</v>
      </c>
      <c r="C57" s="15" t="s">
        <v>306</v>
      </c>
      <c r="D57" s="15" t="s">
        <v>307</v>
      </c>
      <c r="E57" s="15" t="s">
        <v>308</v>
      </c>
      <c r="F57" s="15" t="s">
        <v>309</v>
      </c>
      <c r="G57" s="15" t="s">
        <v>310</v>
      </c>
      <c r="H57" s="15" t="s">
        <v>311</v>
      </c>
      <c r="I57" s="15" t="s">
        <v>312</v>
      </c>
      <c r="J57" s="15" t="s">
        <v>313</v>
      </c>
      <c r="K57" s="15" t="s">
        <v>294</v>
      </c>
      <c r="L57" s="15" t="s">
        <v>877</v>
      </c>
      <c r="M57" s="15" t="s">
        <v>878</v>
      </c>
      <c r="N57" s="15" t="s">
        <v>879</v>
      </c>
      <c r="O57" s="15" t="s">
        <v>880</v>
      </c>
      <c r="P57" s="15" t="s">
        <v>881</v>
      </c>
      <c r="Q57" s="15" t="s">
        <v>882</v>
      </c>
      <c r="R57" s="15" t="s">
        <v>883</v>
      </c>
      <c r="S57" s="15" t="s">
        <v>884</v>
      </c>
    </row>
    <row r="58" spans="1:20">
      <c r="A58" s="4" t="s">
        <v>174</v>
      </c>
      <c r="B58" s="38">
        <f>'Multi'!B819*B$11*'LAFs'!B$225*(1-'Contrib'!B$88)*100/(24*'Input'!$F$58)</f>
        <v>0</v>
      </c>
      <c r="C58" s="38">
        <f>'Multi'!C819*C$11*'LAFs'!C$225*(1-'Contrib'!C$88)*100/(24*'Input'!$F$58)</f>
        <v>0</v>
      </c>
      <c r="D58" s="38">
        <f>'Multi'!D819*D$11*'LAFs'!D$225*(1-'Contrib'!D$88)*100/(24*'Input'!$F$58)</f>
        <v>0</v>
      </c>
      <c r="E58" s="38">
        <f>'Multi'!E819*E$11*'LAFs'!E$225*(1-'Contrib'!E$88)*100/(24*'Input'!$F$58)</f>
        <v>0</v>
      </c>
      <c r="F58" s="38">
        <f>'Multi'!F819*F$11*'LAFs'!F$225*(1-'Contrib'!F$88)*100/(24*'Input'!$F$58)</f>
        <v>0</v>
      </c>
      <c r="G58" s="38">
        <f>'Multi'!G819*G$11*'LAFs'!G$225*(1-'Contrib'!G$88)*100/(24*'Input'!$F$58)</f>
        <v>0</v>
      </c>
      <c r="H58" s="38">
        <f>'Multi'!H819*H$11*'LAFs'!H$225*(1-'Contrib'!H$88)*100/(24*'Input'!$F$58)</f>
        <v>0</v>
      </c>
      <c r="I58" s="38">
        <f>'Multi'!I819*I$11*'LAFs'!I$225*(1-'Contrib'!I$88)*100/(24*'Input'!$F$58)</f>
        <v>0</v>
      </c>
      <c r="J58" s="38">
        <f>'Multi'!J819*J$11*'LAFs'!J$225*(1-'Contrib'!J$88)*100/(24*'Input'!$F$58)</f>
        <v>0</v>
      </c>
      <c r="K58" s="38">
        <f>'Multi'!B819*K$11*'LAFs'!B$225*(1-'Contrib'!K$88)*100/(24*'Input'!$F$58)</f>
        <v>0</v>
      </c>
      <c r="L58" s="38">
        <f>'Multi'!C819*L$11*'LAFs'!C$225*(1-'Contrib'!L$88)*100/(24*'Input'!$F$58)</f>
        <v>0</v>
      </c>
      <c r="M58" s="38">
        <f>'Multi'!D819*M$11*'LAFs'!D$225*(1-'Contrib'!M$88)*100/(24*'Input'!$F$58)</f>
        <v>0</v>
      </c>
      <c r="N58" s="38">
        <f>'Multi'!E819*N$11*'LAFs'!E$225*(1-'Contrib'!N$88)*100/(24*'Input'!$F$58)</f>
        <v>0</v>
      </c>
      <c r="O58" s="38">
        <f>'Multi'!F819*O$11*'LAFs'!F$225*(1-'Contrib'!O$88)*100/(24*'Input'!$F$58)</f>
        <v>0</v>
      </c>
      <c r="P58" s="38">
        <f>'Multi'!G819*P$11*'LAFs'!G$225*(1-'Contrib'!P$88)*100/(24*'Input'!$F$58)</f>
        <v>0</v>
      </c>
      <c r="Q58" s="38">
        <f>'Multi'!H819*Q$11*'LAFs'!H$225*(1-'Contrib'!Q$88)*100/(24*'Input'!$F$58)</f>
        <v>0</v>
      </c>
      <c r="R58" s="38">
        <f>'Multi'!I819*R$11*'LAFs'!I$225*(1-'Contrib'!R$88)*100/(24*'Input'!$F$58)</f>
        <v>0</v>
      </c>
      <c r="S58" s="38">
        <f>'Multi'!J819*S$11*'LAFs'!J$225*(1-'Contrib'!S$88)*100/(24*'Input'!$F$58)</f>
        <v>0</v>
      </c>
      <c r="T58" s="17"/>
    </row>
    <row r="59" spans="1:20">
      <c r="A59" s="4" t="s">
        <v>175</v>
      </c>
      <c r="B59" s="38">
        <f>'Multi'!B820*B$11*'LAFs'!B$226*(1-'Contrib'!B$89)*100/(24*'Input'!$F$58)</f>
        <v>0</v>
      </c>
      <c r="C59" s="38">
        <f>'Multi'!C820*C$11*'LAFs'!C$226*(1-'Contrib'!C$89)*100/(24*'Input'!$F$58)</f>
        <v>0</v>
      </c>
      <c r="D59" s="38">
        <f>'Multi'!D820*D$11*'LAFs'!D$226*(1-'Contrib'!D$89)*100/(24*'Input'!$F$58)</f>
        <v>0</v>
      </c>
      <c r="E59" s="38">
        <f>'Multi'!E820*E$11*'LAFs'!E$226*(1-'Contrib'!E$89)*100/(24*'Input'!$F$58)</f>
        <v>0</v>
      </c>
      <c r="F59" s="38">
        <f>'Multi'!F820*F$11*'LAFs'!F$226*(1-'Contrib'!F$89)*100/(24*'Input'!$F$58)</f>
        <v>0</v>
      </c>
      <c r="G59" s="38">
        <f>'Multi'!G820*G$11*'LAFs'!G$226*(1-'Contrib'!G$89)*100/(24*'Input'!$F$58)</f>
        <v>0</v>
      </c>
      <c r="H59" s="38">
        <f>'Multi'!H820*H$11*'LAFs'!H$226*(1-'Contrib'!H$89)*100/(24*'Input'!$F$58)</f>
        <v>0</v>
      </c>
      <c r="I59" s="38">
        <f>'Multi'!I820*I$11*'LAFs'!I$226*(1-'Contrib'!I$89)*100/(24*'Input'!$F$58)</f>
        <v>0</v>
      </c>
      <c r="J59" s="38">
        <f>'Multi'!J820*J$11*'LAFs'!J$226*(1-'Contrib'!J$89)*100/(24*'Input'!$F$58)</f>
        <v>0</v>
      </c>
      <c r="K59" s="38">
        <f>'Multi'!B820*K$11*'LAFs'!B$226*(1-'Contrib'!K$89)*100/(24*'Input'!$F$58)</f>
        <v>0</v>
      </c>
      <c r="L59" s="38">
        <f>'Multi'!C820*L$11*'LAFs'!C$226*(1-'Contrib'!L$89)*100/(24*'Input'!$F$58)</f>
        <v>0</v>
      </c>
      <c r="M59" s="38">
        <f>'Multi'!D820*M$11*'LAFs'!D$226*(1-'Contrib'!M$89)*100/(24*'Input'!$F$58)</f>
        <v>0</v>
      </c>
      <c r="N59" s="38">
        <f>'Multi'!E820*N$11*'LAFs'!E$226*(1-'Contrib'!N$89)*100/(24*'Input'!$F$58)</f>
        <v>0</v>
      </c>
      <c r="O59" s="38">
        <f>'Multi'!F820*O$11*'LAFs'!F$226*(1-'Contrib'!O$89)*100/(24*'Input'!$F$58)</f>
        <v>0</v>
      </c>
      <c r="P59" s="38">
        <f>'Multi'!G820*P$11*'LAFs'!G$226*(1-'Contrib'!P$89)*100/(24*'Input'!$F$58)</f>
        <v>0</v>
      </c>
      <c r="Q59" s="38">
        <f>'Multi'!H820*Q$11*'LAFs'!H$226*(1-'Contrib'!Q$89)*100/(24*'Input'!$F$58)</f>
        <v>0</v>
      </c>
      <c r="R59" s="38">
        <f>'Multi'!I820*R$11*'LAFs'!I$226*(1-'Contrib'!R$89)*100/(24*'Input'!$F$58)</f>
        <v>0</v>
      </c>
      <c r="S59" s="38">
        <f>'Multi'!J820*S$11*'LAFs'!J$226*(1-'Contrib'!S$89)*100/(24*'Input'!$F$58)</f>
        <v>0</v>
      </c>
      <c r="T59" s="17"/>
    </row>
    <row r="60" spans="1:20">
      <c r="A60" s="4" t="s">
        <v>211</v>
      </c>
      <c r="B60" s="38">
        <f>'Multi'!B821*B$11*'LAFs'!B$227*(1-'Contrib'!B$90)*100/(24*'Input'!$F$58)</f>
        <v>0</v>
      </c>
      <c r="C60" s="38">
        <f>'Multi'!C821*C$11*'LAFs'!C$227*(1-'Contrib'!C$90)*100/(24*'Input'!$F$58)</f>
        <v>0</v>
      </c>
      <c r="D60" s="38">
        <f>'Multi'!D821*D$11*'LAFs'!D$227*(1-'Contrib'!D$90)*100/(24*'Input'!$F$58)</f>
        <v>0</v>
      </c>
      <c r="E60" s="38">
        <f>'Multi'!E821*E$11*'LAFs'!E$227*(1-'Contrib'!E$90)*100/(24*'Input'!$F$58)</f>
        <v>0</v>
      </c>
      <c r="F60" s="38">
        <f>'Multi'!F821*F$11*'LAFs'!F$227*(1-'Contrib'!F$90)*100/(24*'Input'!$F$58)</f>
        <v>0</v>
      </c>
      <c r="G60" s="38">
        <f>'Multi'!G821*G$11*'LAFs'!G$227*(1-'Contrib'!G$90)*100/(24*'Input'!$F$58)</f>
        <v>0</v>
      </c>
      <c r="H60" s="38">
        <f>'Multi'!H821*H$11*'LAFs'!H$227*(1-'Contrib'!H$90)*100/(24*'Input'!$F$58)</f>
        <v>0</v>
      </c>
      <c r="I60" s="38">
        <f>'Multi'!I821*I$11*'LAFs'!I$227*(1-'Contrib'!I$90)*100/(24*'Input'!$F$58)</f>
        <v>0</v>
      </c>
      <c r="J60" s="38">
        <f>'Multi'!J821*J$11*'LAFs'!J$227*(1-'Contrib'!J$90)*100/(24*'Input'!$F$58)</f>
        <v>0</v>
      </c>
      <c r="K60" s="38">
        <f>'Multi'!B821*K$11*'LAFs'!B$227*(1-'Contrib'!K$90)*100/(24*'Input'!$F$58)</f>
        <v>0</v>
      </c>
      <c r="L60" s="38">
        <f>'Multi'!C821*L$11*'LAFs'!C$227*(1-'Contrib'!L$90)*100/(24*'Input'!$F$58)</f>
        <v>0</v>
      </c>
      <c r="M60" s="38">
        <f>'Multi'!D821*M$11*'LAFs'!D$227*(1-'Contrib'!M$90)*100/(24*'Input'!$F$58)</f>
        <v>0</v>
      </c>
      <c r="N60" s="38">
        <f>'Multi'!E821*N$11*'LAFs'!E$227*(1-'Contrib'!N$90)*100/(24*'Input'!$F$58)</f>
        <v>0</v>
      </c>
      <c r="O60" s="38">
        <f>'Multi'!F821*O$11*'LAFs'!F$227*(1-'Contrib'!O$90)*100/(24*'Input'!$F$58)</f>
        <v>0</v>
      </c>
      <c r="P60" s="38">
        <f>'Multi'!G821*P$11*'LAFs'!G$227*(1-'Contrib'!P$90)*100/(24*'Input'!$F$58)</f>
        <v>0</v>
      </c>
      <c r="Q60" s="38">
        <f>'Multi'!H821*Q$11*'LAFs'!H$227*(1-'Contrib'!Q$90)*100/(24*'Input'!$F$58)</f>
        <v>0</v>
      </c>
      <c r="R60" s="38">
        <f>'Multi'!I821*R$11*'LAFs'!I$227*(1-'Contrib'!R$90)*100/(24*'Input'!$F$58)</f>
        <v>0</v>
      </c>
      <c r="S60" s="38">
        <f>'Multi'!J821*S$11*'LAFs'!J$227*(1-'Contrib'!S$90)*100/(24*'Input'!$F$58)</f>
        <v>0</v>
      </c>
      <c r="T60" s="17"/>
    </row>
    <row r="61" spans="1:20">
      <c r="A61" s="4" t="s">
        <v>176</v>
      </c>
      <c r="B61" s="38">
        <f>'Multi'!B822*B$11*'LAFs'!B$228*(1-'Contrib'!B$91)*100/(24*'Input'!$F$58)</f>
        <v>0</v>
      </c>
      <c r="C61" s="38">
        <f>'Multi'!C822*C$11*'LAFs'!C$228*(1-'Contrib'!C$91)*100/(24*'Input'!$F$58)</f>
        <v>0</v>
      </c>
      <c r="D61" s="38">
        <f>'Multi'!D822*D$11*'LAFs'!D$228*(1-'Contrib'!D$91)*100/(24*'Input'!$F$58)</f>
        <v>0</v>
      </c>
      <c r="E61" s="38">
        <f>'Multi'!E822*E$11*'LAFs'!E$228*(1-'Contrib'!E$91)*100/(24*'Input'!$F$58)</f>
        <v>0</v>
      </c>
      <c r="F61" s="38">
        <f>'Multi'!F822*F$11*'LAFs'!F$228*(1-'Contrib'!F$91)*100/(24*'Input'!$F$58)</f>
        <v>0</v>
      </c>
      <c r="G61" s="38">
        <f>'Multi'!G822*G$11*'LAFs'!G$228*(1-'Contrib'!G$91)*100/(24*'Input'!$F$58)</f>
        <v>0</v>
      </c>
      <c r="H61" s="38">
        <f>'Multi'!H822*H$11*'LAFs'!H$228*(1-'Contrib'!H$91)*100/(24*'Input'!$F$58)</f>
        <v>0</v>
      </c>
      <c r="I61" s="38">
        <f>'Multi'!I822*I$11*'LAFs'!I$228*(1-'Contrib'!I$91)*100/(24*'Input'!$F$58)</f>
        <v>0</v>
      </c>
      <c r="J61" s="38">
        <f>'Multi'!J822*J$11*'LAFs'!J$228*(1-'Contrib'!J$91)*100/(24*'Input'!$F$58)</f>
        <v>0</v>
      </c>
      <c r="K61" s="38">
        <f>'Multi'!B822*K$11*'LAFs'!B$228*(1-'Contrib'!K$91)*100/(24*'Input'!$F$58)</f>
        <v>0</v>
      </c>
      <c r="L61" s="38">
        <f>'Multi'!C822*L$11*'LAFs'!C$228*(1-'Contrib'!L$91)*100/(24*'Input'!$F$58)</f>
        <v>0</v>
      </c>
      <c r="M61" s="38">
        <f>'Multi'!D822*M$11*'LAFs'!D$228*(1-'Contrib'!M$91)*100/(24*'Input'!$F$58)</f>
        <v>0</v>
      </c>
      <c r="N61" s="38">
        <f>'Multi'!E822*N$11*'LAFs'!E$228*(1-'Contrib'!N$91)*100/(24*'Input'!$F$58)</f>
        <v>0</v>
      </c>
      <c r="O61" s="38">
        <f>'Multi'!F822*O$11*'LAFs'!F$228*(1-'Contrib'!O$91)*100/(24*'Input'!$F$58)</f>
        <v>0</v>
      </c>
      <c r="P61" s="38">
        <f>'Multi'!G822*P$11*'LAFs'!G$228*(1-'Contrib'!P$91)*100/(24*'Input'!$F$58)</f>
        <v>0</v>
      </c>
      <c r="Q61" s="38">
        <f>'Multi'!H822*Q$11*'LAFs'!H$228*(1-'Contrib'!Q$91)*100/(24*'Input'!$F$58)</f>
        <v>0</v>
      </c>
      <c r="R61" s="38">
        <f>'Multi'!I822*R$11*'LAFs'!I$228*(1-'Contrib'!R$91)*100/(24*'Input'!$F$58)</f>
        <v>0</v>
      </c>
      <c r="S61" s="38">
        <f>'Multi'!J822*S$11*'LAFs'!J$228*(1-'Contrib'!S$91)*100/(24*'Input'!$F$58)</f>
        <v>0</v>
      </c>
      <c r="T61" s="17"/>
    </row>
    <row r="62" spans="1:20">
      <c r="A62" s="4" t="s">
        <v>177</v>
      </c>
      <c r="B62" s="38">
        <f>'Multi'!B823*B$11*'LAFs'!B$229*(1-'Contrib'!B$92)*100/(24*'Input'!$F$58)</f>
        <v>0</v>
      </c>
      <c r="C62" s="38">
        <f>'Multi'!C823*C$11*'LAFs'!C$229*(1-'Contrib'!C$92)*100/(24*'Input'!$F$58)</f>
        <v>0</v>
      </c>
      <c r="D62" s="38">
        <f>'Multi'!D823*D$11*'LAFs'!D$229*(1-'Contrib'!D$92)*100/(24*'Input'!$F$58)</f>
        <v>0</v>
      </c>
      <c r="E62" s="38">
        <f>'Multi'!E823*E$11*'LAFs'!E$229*(1-'Contrib'!E$92)*100/(24*'Input'!$F$58)</f>
        <v>0</v>
      </c>
      <c r="F62" s="38">
        <f>'Multi'!F823*F$11*'LAFs'!F$229*(1-'Contrib'!F$92)*100/(24*'Input'!$F$58)</f>
        <v>0</v>
      </c>
      <c r="G62" s="38">
        <f>'Multi'!G823*G$11*'LAFs'!G$229*(1-'Contrib'!G$92)*100/(24*'Input'!$F$58)</f>
        <v>0</v>
      </c>
      <c r="H62" s="38">
        <f>'Multi'!H823*H$11*'LAFs'!H$229*(1-'Contrib'!H$92)*100/(24*'Input'!$F$58)</f>
        <v>0</v>
      </c>
      <c r="I62" s="38">
        <f>'Multi'!I823*I$11*'LAFs'!I$229*(1-'Contrib'!I$92)*100/(24*'Input'!$F$58)</f>
        <v>0</v>
      </c>
      <c r="J62" s="38">
        <f>'Multi'!J823*J$11*'LAFs'!J$229*(1-'Contrib'!J$92)*100/(24*'Input'!$F$58)</f>
        <v>0</v>
      </c>
      <c r="K62" s="38">
        <f>'Multi'!B823*K$11*'LAFs'!B$229*(1-'Contrib'!K$92)*100/(24*'Input'!$F$58)</f>
        <v>0</v>
      </c>
      <c r="L62" s="38">
        <f>'Multi'!C823*L$11*'LAFs'!C$229*(1-'Contrib'!L$92)*100/(24*'Input'!$F$58)</f>
        <v>0</v>
      </c>
      <c r="M62" s="38">
        <f>'Multi'!D823*M$11*'LAFs'!D$229*(1-'Contrib'!M$92)*100/(24*'Input'!$F$58)</f>
        <v>0</v>
      </c>
      <c r="N62" s="38">
        <f>'Multi'!E823*N$11*'LAFs'!E$229*(1-'Contrib'!N$92)*100/(24*'Input'!$F$58)</f>
        <v>0</v>
      </c>
      <c r="O62" s="38">
        <f>'Multi'!F823*O$11*'LAFs'!F$229*(1-'Contrib'!O$92)*100/(24*'Input'!$F$58)</f>
        <v>0</v>
      </c>
      <c r="P62" s="38">
        <f>'Multi'!G823*P$11*'LAFs'!G$229*(1-'Contrib'!P$92)*100/(24*'Input'!$F$58)</f>
        <v>0</v>
      </c>
      <c r="Q62" s="38">
        <f>'Multi'!H823*Q$11*'LAFs'!H$229*(1-'Contrib'!Q$92)*100/(24*'Input'!$F$58)</f>
        <v>0</v>
      </c>
      <c r="R62" s="38">
        <f>'Multi'!I823*R$11*'LAFs'!I$229*(1-'Contrib'!R$92)*100/(24*'Input'!$F$58)</f>
        <v>0</v>
      </c>
      <c r="S62" s="38">
        <f>'Multi'!J823*S$11*'LAFs'!J$229*(1-'Contrib'!S$92)*100/(24*'Input'!$F$58)</f>
        <v>0</v>
      </c>
      <c r="T62" s="17"/>
    </row>
    <row r="63" spans="1:20">
      <c r="A63" s="4" t="s">
        <v>212</v>
      </c>
      <c r="B63" s="38">
        <f>'Multi'!B824*B$11*'LAFs'!B$230*(1-'Contrib'!B$93)*100/(24*'Input'!$F$58)</f>
        <v>0</v>
      </c>
      <c r="C63" s="38">
        <f>'Multi'!C824*C$11*'LAFs'!C$230*(1-'Contrib'!C$93)*100/(24*'Input'!$F$58)</f>
        <v>0</v>
      </c>
      <c r="D63" s="38">
        <f>'Multi'!D824*D$11*'LAFs'!D$230*(1-'Contrib'!D$93)*100/(24*'Input'!$F$58)</f>
        <v>0</v>
      </c>
      <c r="E63" s="38">
        <f>'Multi'!E824*E$11*'LAFs'!E$230*(1-'Contrib'!E$93)*100/(24*'Input'!$F$58)</f>
        <v>0</v>
      </c>
      <c r="F63" s="38">
        <f>'Multi'!F824*F$11*'LAFs'!F$230*(1-'Contrib'!F$93)*100/(24*'Input'!$F$58)</f>
        <v>0</v>
      </c>
      <c r="G63" s="38">
        <f>'Multi'!G824*G$11*'LAFs'!G$230*(1-'Contrib'!G$93)*100/(24*'Input'!$F$58)</f>
        <v>0</v>
      </c>
      <c r="H63" s="38">
        <f>'Multi'!H824*H$11*'LAFs'!H$230*(1-'Contrib'!H$93)*100/(24*'Input'!$F$58)</f>
        <v>0</v>
      </c>
      <c r="I63" s="38">
        <f>'Multi'!I824*I$11*'LAFs'!I$230*(1-'Contrib'!I$93)*100/(24*'Input'!$F$58)</f>
        <v>0</v>
      </c>
      <c r="J63" s="38">
        <f>'Multi'!J824*J$11*'LAFs'!J$230*(1-'Contrib'!J$93)*100/(24*'Input'!$F$58)</f>
        <v>0</v>
      </c>
      <c r="K63" s="38">
        <f>'Multi'!B824*K$11*'LAFs'!B$230*(1-'Contrib'!K$93)*100/(24*'Input'!$F$58)</f>
        <v>0</v>
      </c>
      <c r="L63" s="38">
        <f>'Multi'!C824*L$11*'LAFs'!C$230*(1-'Contrib'!L$93)*100/(24*'Input'!$F$58)</f>
        <v>0</v>
      </c>
      <c r="M63" s="38">
        <f>'Multi'!D824*M$11*'LAFs'!D$230*(1-'Contrib'!M$93)*100/(24*'Input'!$F$58)</f>
        <v>0</v>
      </c>
      <c r="N63" s="38">
        <f>'Multi'!E824*N$11*'LAFs'!E$230*(1-'Contrib'!N$93)*100/(24*'Input'!$F$58)</f>
        <v>0</v>
      </c>
      <c r="O63" s="38">
        <f>'Multi'!F824*O$11*'LAFs'!F$230*(1-'Contrib'!O$93)*100/(24*'Input'!$F$58)</f>
        <v>0</v>
      </c>
      <c r="P63" s="38">
        <f>'Multi'!G824*P$11*'LAFs'!G$230*(1-'Contrib'!P$93)*100/(24*'Input'!$F$58)</f>
        <v>0</v>
      </c>
      <c r="Q63" s="38">
        <f>'Multi'!H824*Q$11*'LAFs'!H$230*(1-'Contrib'!Q$93)*100/(24*'Input'!$F$58)</f>
        <v>0</v>
      </c>
      <c r="R63" s="38">
        <f>'Multi'!I824*R$11*'LAFs'!I$230*(1-'Contrib'!R$93)*100/(24*'Input'!$F$58)</f>
        <v>0</v>
      </c>
      <c r="S63" s="38">
        <f>'Multi'!J824*S$11*'LAFs'!J$230*(1-'Contrib'!S$93)*100/(24*'Input'!$F$58)</f>
        <v>0</v>
      </c>
      <c r="T63" s="17"/>
    </row>
    <row r="64" spans="1:20">
      <c r="A64" s="4" t="s">
        <v>178</v>
      </c>
      <c r="B64" s="38">
        <f>'Multi'!B825*B$11*'LAFs'!B$231*(1-'Contrib'!B$94)*100/(24*'Input'!$F$58)</f>
        <v>0</v>
      </c>
      <c r="C64" s="38">
        <f>'Multi'!C825*C$11*'LAFs'!C$231*(1-'Contrib'!C$94)*100/(24*'Input'!$F$58)</f>
        <v>0</v>
      </c>
      <c r="D64" s="38">
        <f>'Multi'!D825*D$11*'LAFs'!D$231*(1-'Contrib'!D$94)*100/(24*'Input'!$F$58)</f>
        <v>0</v>
      </c>
      <c r="E64" s="38">
        <f>'Multi'!E825*E$11*'LAFs'!E$231*(1-'Contrib'!E$94)*100/(24*'Input'!$F$58)</f>
        <v>0</v>
      </c>
      <c r="F64" s="38">
        <f>'Multi'!F825*F$11*'LAFs'!F$231*(1-'Contrib'!F$94)*100/(24*'Input'!$F$58)</f>
        <v>0</v>
      </c>
      <c r="G64" s="38">
        <f>'Multi'!G825*G$11*'LAFs'!G$231*(1-'Contrib'!G$94)*100/(24*'Input'!$F$58)</f>
        <v>0</v>
      </c>
      <c r="H64" s="38">
        <f>'Multi'!H825*H$11*'LAFs'!H$231*(1-'Contrib'!H$94)*100/(24*'Input'!$F$58)</f>
        <v>0</v>
      </c>
      <c r="I64" s="38">
        <f>'Multi'!I825*I$11*'LAFs'!I$231*(1-'Contrib'!I$94)*100/(24*'Input'!$F$58)</f>
        <v>0</v>
      </c>
      <c r="J64" s="38">
        <f>'Multi'!J825*J$11*'LAFs'!J$231*(1-'Contrib'!J$94)*100/(24*'Input'!$F$58)</f>
        <v>0</v>
      </c>
      <c r="K64" s="38">
        <f>'Multi'!B825*K$11*'LAFs'!B$231*(1-'Contrib'!K$94)*100/(24*'Input'!$F$58)</f>
        <v>0</v>
      </c>
      <c r="L64" s="38">
        <f>'Multi'!C825*L$11*'LAFs'!C$231*(1-'Contrib'!L$94)*100/(24*'Input'!$F$58)</f>
        <v>0</v>
      </c>
      <c r="M64" s="38">
        <f>'Multi'!D825*M$11*'LAFs'!D$231*(1-'Contrib'!M$94)*100/(24*'Input'!$F$58)</f>
        <v>0</v>
      </c>
      <c r="N64" s="38">
        <f>'Multi'!E825*N$11*'LAFs'!E$231*(1-'Contrib'!N$94)*100/(24*'Input'!$F$58)</f>
        <v>0</v>
      </c>
      <c r="O64" s="38">
        <f>'Multi'!F825*O$11*'LAFs'!F$231*(1-'Contrib'!O$94)*100/(24*'Input'!$F$58)</f>
        <v>0</v>
      </c>
      <c r="P64" s="38">
        <f>'Multi'!G825*P$11*'LAFs'!G$231*(1-'Contrib'!P$94)*100/(24*'Input'!$F$58)</f>
        <v>0</v>
      </c>
      <c r="Q64" s="38">
        <f>'Multi'!H825*Q$11*'LAFs'!H$231*(1-'Contrib'!Q$94)*100/(24*'Input'!$F$58)</f>
        <v>0</v>
      </c>
      <c r="R64" s="38">
        <f>'Multi'!I825*R$11*'LAFs'!I$231*(1-'Contrib'!R$94)*100/(24*'Input'!$F$58)</f>
        <v>0</v>
      </c>
      <c r="S64" s="38">
        <f>'Multi'!J825*S$11*'LAFs'!J$231*(1-'Contrib'!S$94)*100/(24*'Input'!$F$58)</f>
        <v>0</v>
      </c>
      <c r="T64" s="17"/>
    </row>
    <row r="65" spans="1:20">
      <c r="A65" s="4" t="s">
        <v>179</v>
      </c>
      <c r="B65" s="38">
        <f>'Multi'!B826*B$11*'LAFs'!B$232*(1-'Contrib'!B$95)*100/(24*'Input'!$F$58)</f>
        <v>0</v>
      </c>
      <c r="C65" s="38">
        <f>'Multi'!C826*C$11*'LAFs'!C$232*(1-'Contrib'!C$95)*100/(24*'Input'!$F$58)</f>
        <v>0</v>
      </c>
      <c r="D65" s="38">
        <f>'Multi'!D826*D$11*'LAFs'!D$232*(1-'Contrib'!D$95)*100/(24*'Input'!$F$58)</f>
        <v>0</v>
      </c>
      <c r="E65" s="38">
        <f>'Multi'!E826*E$11*'LAFs'!E$232*(1-'Contrib'!E$95)*100/(24*'Input'!$F$58)</f>
        <v>0</v>
      </c>
      <c r="F65" s="38">
        <f>'Multi'!F826*F$11*'LAFs'!F$232*(1-'Contrib'!F$95)*100/(24*'Input'!$F$58)</f>
        <v>0</v>
      </c>
      <c r="G65" s="38">
        <f>'Multi'!G826*G$11*'LAFs'!G$232*(1-'Contrib'!G$95)*100/(24*'Input'!$F$58)</f>
        <v>0</v>
      </c>
      <c r="H65" s="38">
        <f>'Multi'!H826*H$11*'LAFs'!H$232*(1-'Contrib'!H$95)*100/(24*'Input'!$F$58)</f>
        <v>0</v>
      </c>
      <c r="I65" s="38">
        <f>'Multi'!I826*I$11*'LAFs'!I$232*(1-'Contrib'!I$95)*100/(24*'Input'!$F$58)</f>
        <v>0</v>
      </c>
      <c r="J65" s="38">
        <f>'Multi'!J826*J$11*'LAFs'!J$232*(1-'Contrib'!J$95)*100/(24*'Input'!$F$58)</f>
        <v>0</v>
      </c>
      <c r="K65" s="38">
        <f>'Multi'!B826*K$11*'LAFs'!B$232*(1-'Contrib'!K$95)*100/(24*'Input'!$F$58)</f>
        <v>0</v>
      </c>
      <c r="L65" s="38">
        <f>'Multi'!C826*L$11*'LAFs'!C$232*(1-'Contrib'!L$95)*100/(24*'Input'!$F$58)</f>
        <v>0</v>
      </c>
      <c r="M65" s="38">
        <f>'Multi'!D826*M$11*'LAFs'!D$232*(1-'Contrib'!M$95)*100/(24*'Input'!$F$58)</f>
        <v>0</v>
      </c>
      <c r="N65" s="38">
        <f>'Multi'!E826*N$11*'LAFs'!E$232*(1-'Contrib'!N$95)*100/(24*'Input'!$F$58)</f>
        <v>0</v>
      </c>
      <c r="O65" s="38">
        <f>'Multi'!F826*O$11*'LAFs'!F$232*(1-'Contrib'!O$95)*100/(24*'Input'!$F$58)</f>
        <v>0</v>
      </c>
      <c r="P65" s="38">
        <f>'Multi'!G826*P$11*'LAFs'!G$232*(1-'Contrib'!P$95)*100/(24*'Input'!$F$58)</f>
        <v>0</v>
      </c>
      <c r="Q65" s="38">
        <f>'Multi'!H826*Q$11*'LAFs'!H$232*(1-'Contrib'!Q$95)*100/(24*'Input'!$F$58)</f>
        <v>0</v>
      </c>
      <c r="R65" s="38">
        <f>'Multi'!I826*R$11*'LAFs'!I$232*(1-'Contrib'!R$95)*100/(24*'Input'!$F$58)</f>
        <v>0</v>
      </c>
      <c r="S65" s="38">
        <f>'Multi'!J826*S$11*'LAFs'!J$232*(1-'Contrib'!S$95)*100/(24*'Input'!$F$58)</f>
        <v>0</v>
      </c>
      <c r="T65" s="17"/>
    </row>
    <row r="66" spans="1:20">
      <c r="A66" s="4" t="s">
        <v>180</v>
      </c>
      <c r="B66" s="38">
        <f>'Multi'!B827*B$11*'LAFs'!B$233*(1-'Contrib'!B$96)*100/(24*'Input'!$F$58)</f>
        <v>0</v>
      </c>
      <c r="C66" s="38">
        <f>'Multi'!C827*C$11*'LAFs'!C$233*(1-'Contrib'!C$96)*100/(24*'Input'!$F$58)</f>
        <v>0</v>
      </c>
      <c r="D66" s="38">
        <f>'Multi'!D827*D$11*'LAFs'!D$233*(1-'Contrib'!D$96)*100/(24*'Input'!$F$58)</f>
        <v>0</v>
      </c>
      <c r="E66" s="38">
        <f>'Multi'!E827*E$11*'LAFs'!E$233*(1-'Contrib'!E$96)*100/(24*'Input'!$F$58)</f>
        <v>0</v>
      </c>
      <c r="F66" s="38">
        <f>'Multi'!F827*F$11*'LAFs'!F$233*(1-'Contrib'!F$96)*100/(24*'Input'!$F$58)</f>
        <v>0</v>
      </c>
      <c r="G66" s="38">
        <f>'Multi'!G827*G$11*'LAFs'!G$233*(1-'Contrib'!G$96)*100/(24*'Input'!$F$58)</f>
        <v>0</v>
      </c>
      <c r="H66" s="38">
        <f>'Multi'!H827*H$11*'LAFs'!H$233*(1-'Contrib'!H$96)*100/(24*'Input'!$F$58)</f>
        <v>0</v>
      </c>
      <c r="I66" s="38">
        <f>'Multi'!I827*I$11*'LAFs'!I$233*(1-'Contrib'!I$96)*100/(24*'Input'!$F$58)</f>
        <v>0</v>
      </c>
      <c r="J66" s="38">
        <f>'Multi'!J827*J$11*'LAFs'!J$233*(1-'Contrib'!J$96)*100/(24*'Input'!$F$58)</f>
        <v>0</v>
      </c>
      <c r="K66" s="38">
        <f>'Multi'!B827*K$11*'LAFs'!B$233*(1-'Contrib'!K$96)*100/(24*'Input'!$F$58)</f>
        <v>0</v>
      </c>
      <c r="L66" s="38">
        <f>'Multi'!C827*L$11*'LAFs'!C$233*(1-'Contrib'!L$96)*100/(24*'Input'!$F$58)</f>
        <v>0</v>
      </c>
      <c r="M66" s="38">
        <f>'Multi'!D827*M$11*'LAFs'!D$233*(1-'Contrib'!M$96)*100/(24*'Input'!$F$58)</f>
        <v>0</v>
      </c>
      <c r="N66" s="38">
        <f>'Multi'!E827*N$11*'LAFs'!E$233*(1-'Contrib'!N$96)*100/(24*'Input'!$F$58)</f>
        <v>0</v>
      </c>
      <c r="O66" s="38">
        <f>'Multi'!F827*O$11*'LAFs'!F$233*(1-'Contrib'!O$96)*100/(24*'Input'!$F$58)</f>
        <v>0</v>
      </c>
      <c r="P66" s="38">
        <f>'Multi'!G827*P$11*'LAFs'!G$233*(1-'Contrib'!P$96)*100/(24*'Input'!$F$58)</f>
        <v>0</v>
      </c>
      <c r="Q66" s="38">
        <f>'Multi'!H827*Q$11*'LAFs'!H$233*(1-'Contrib'!Q$96)*100/(24*'Input'!$F$58)</f>
        <v>0</v>
      </c>
      <c r="R66" s="38">
        <f>'Multi'!I827*R$11*'LAFs'!I$233*(1-'Contrib'!R$96)*100/(24*'Input'!$F$58)</f>
        <v>0</v>
      </c>
      <c r="S66" s="38">
        <f>'Multi'!J827*S$11*'LAFs'!J$233*(1-'Contrib'!S$96)*100/(24*'Input'!$F$58)</f>
        <v>0</v>
      </c>
      <c r="T66" s="17"/>
    </row>
    <row r="67" spans="1:20">
      <c r="A67" s="4" t="s">
        <v>181</v>
      </c>
      <c r="B67" s="38">
        <f>'Multi'!B828*B$11*'LAFs'!B$234*(1-'Contrib'!B$97)*100/(24*'Input'!$F$58)</f>
        <v>0</v>
      </c>
      <c r="C67" s="38">
        <f>'Multi'!C828*C$11*'LAFs'!C$234*(1-'Contrib'!C$97)*100/(24*'Input'!$F$58)</f>
        <v>0</v>
      </c>
      <c r="D67" s="38">
        <f>'Multi'!D828*D$11*'LAFs'!D$234*(1-'Contrib'!D$97)*100/(24*'Input'!$F$58)</f>
        <v>0</v>
      </c>
      <c r="E67" s="38">
        <f>'Multi'!E828*E$11*'LAFs'!E$234*(1-'Contrib'!E$97)*100/(24*'Input'!$F$58)</f>
        <v>0</v>
      </c>
      <c r="F67" s="38">
        <f>'Multi'!F828*F$11*'LAFs'!F$234*(1-'Contrib'!F$97)*100/(24*'Input'!$F$58)</f>
        <v>0</v>
      </c>
      <c r="G67" s="38">
        <f>'Multi'!G828*G$11*'LAFs'!G$234*(1-'Contrib'!G$97)*100/(24*'Input'!$F$58)</f>
        <v>0</v>
      </c>
      <c r="H67" s="38">
        <f>'Multi'!H828*H$11*'LAFs'!H$234*(1-'Contrib'!H$97)*100/(24*'Input'!$F$58)</f>
        <v>0</v>
      </c>
      <c r="I67" s="38">
        <f>'Multi'!I828*I$11*'LAFs'!I$234*(1-'Contrib'!I$97)*100/(24*'Input'!$F$58)</f>
        <v>0</v>
      </c>
      <c r="J67" s="38">
        <f>'Multi'!J828*J$11*'LAFs'!J$234*(1-'Contrib'!J$97)*100/(24*'Input'!$F$58)</f>
        <v>0</v>
      </c>
      <c r="K67" s="38">
        <f>'Multi'!B828*K$11*'LAFs'!B$234*(1-'Contrib'!K$97)*100/(24*'Input'!$F$58)</f>
        <v>0</v>
      </c>
      <c r="L67" s="38">
        <f>'Multi'!C828*L$11*'LAFs'!C$234*(1-'Contrib'!L$97)*100/(24*'Input'!$F$58)</f>
        <v>0</v>
      </c>
      <c r="M67" s="38">
        <f>'Multi'!D828*M$11*'LAFs'!D$234*(1-'Contrib'!M$97)*100/(24*'Input'!$F$58)</f>
        <v>0</v>
      </c>
      <c r="N67" s="38">
        <f>'Multi'!E828*N$11*'LAFs'!E$234*(1-'Contrib'!N$97)*100/(24*'Input'!$F$58)</f>
        <v>0</v>
      </c>
      <c r="O67" s="38">
        <f>'Multi'!F828*O$11*'LAFs'!F$234*(1-'Contrib'!O$97)*100/(24*'Input'!$F$58)</f>
        <v>0</v>
      </c>
      <c r="P67" s="38">
        <f>'Multi'!G828*P$11*'LAFs'!G$234*(1-'Contrib'!P$97)*100/(24*'Input'!$F$58)</f>
        <v>0</v>
      </c>
      <c r="Q67" s="38">
        <f>'Multi'!H828*Q$11*'LAFs'!H$234*(1-'Contrib'!Q$97)*100/(24*'Input'!$F$58)</f>
        <v>0</v>
      </c>
      <c r="R67" s="38">
        <f>'Multi'!I828*R$11*'LAFs'!I$234*(1-'Contrib'!R$97)*100/(24*'Input'!$F$58)</f>
        <v>0</v>
      </c>
      <c r="S67" s="38">
        <f>'Multi'!J828*S$11*'LAFs'!J$234*(1-'Contrib'!S$97)*100/(24*'Input'!$F$58)</f>
        <v>0</v>
      </c>
      <c r="T67" s="17"/>
    </row>
    <row r="68" spans="1:20">
      <c r="A68" s="4" t="s">
        <v>193</v>
      </c>
      <c r="B68" s="38">
        <f>'Multi'!B829*B$11*'LAFs'!B$235*(1-'Contrib'!B$98)*100/(24*'Input'!$F$58)</f>
        <v>0</v>
      </c>
      <c r="C68" s="38">
        <f>'Multi'!C829*C$11*'LAFs'!C$235*(1-'Contrib'!C$98)*100/(24*'Input'!$F$58)</f>
        <v>0</v>
      </c>
      <c r="D68" s="38">
        <f>'Multi'!D829*D$11*'LAFs'!D$235*(1-'Contrib'!D$98)*100/(24*'Input'!$F$58)</f>
        <v>0</v>
      </c>
      <c r="E68" s="38">
        <f>'Multi'!E829*E$11*'LAFs'!E$235*(1-'Contrib'!E$98)*100/(24*'Input'!$F$58)</f>
        <v>0</v>
      </c>
      <c r="F68" s="38">
        <f>'Multi'!F829*F$11*'LAFs'!F$235*(1-'Contrib'!F$98)*100/(24*'Input'!$F$58)</f>
        <v>0</v>
      </c>
      <c r="G68" s="38">
        <f>'Multi'!G829*G$11*'LAFs'!G$235*(1-'Contrib'!G$98)*100/(24*'Input'!$F$58)</f>
        <v>0</v>
      </c>
      <c r="H68" s="38">
        <f>'Multi'!H829*H$11*'LAFs'!H$235*(1-'Contrib'!H$98)*100/(24*'Input'!$F$58)</f>
        <v>0</v>
      </c>
      <c r="I68" s="38">
        <f>'Multi'!I829*I$11*'LAFs'!I$235*(1-'Contrib'!I$98)*100/(24*'Input'!$F$58)</f>
        <v>0</v>
      </c>
      <c r="J68" s="38">
        <f>'Multi'!J829*J$11*'LAFs'!J$235*(1-'Contrib'!J$98)*100/(24*'Input'!$F$58)</f>
        <v>0</v>
      </c>
      <c r="K68" s="38">
        <f>'Multi'!B829*K$11*'LAFs'!B$235*(1-'Contrib'!K$98)*100/(24*'Input'!$F$58)</f>
        <v>0</v>
      </c>
      <c r="L68" s="38">
        <f>'Multi'!C829*L$11*'LAFs'!C$235*(1-'Contrib'!L$98)*100/(24*'Input'!$F$58)</f>
        <v>0</v>
      </c>
      <c r="M68" s="38">
        <f>'Multi'!D829*M$11*'LAFs'!D$235*(1-'Contrib'!M$98)*100/(24*'Input'!$F$58)</f>
        <v>0</v>
      </c>
      <c r="N68" s="38">
        <f>'Multi'!E829*N$11*'LAFs'!E$235*(1-'Contrib'!N$98)*100/(24*'Input'!$F$58)</f>
        <v>0</v>
      </c>
      <c r="O68" s="38">
        <f>'Multi'!F829*O$11*'LAFs'!F$235*(1-'Contrib'!O$98)*100/(24*'Input'!$F$58)</f>
        <v>0</v>
      </c>
      <c r="P68" s="38">
        <f>'Multi'!G829*P$11*'LAFs'!G$235*(1-'Contrib'!P$98)*100/(24*'Input'!$F$58)</f>
        <v>0</v>
      </c>
      <c r="Q68" s="38">
        <f>'Multi'!H829*Q$11*'LAFs'!H$235*(1-'Contrib'!Q$98)*100/(24*'Input'!$F$58)</f>
        <v>0</v>
      </c>
      <c r="R68" s="38">
        <f>'Multi'!I829*R$11*'LAFs'!I$235*(1-'Contrib'!R$98)*100/(24*'Input'!$F$58)</f>
        <v>0</v>
      </c>
      <c r="S68" s="38">
        <f>'Multi'!J829*S$11*'LAFs'!J$235*(1-'Contrib'!S$98)*100/(24*'Input'!$F$58)</f>
        <v>0</v>
      </c>
      <c r="T68" s="17"/>
    </row>
    <row r="69" spans="1:20">
      <c r="A69" s="4" t="s">
        <v>213</v>
      </c>
      <c r="B69" s="38">
        <f>'Multi'!B830*B$11*'LAFs'!B$236*(1-'Contrib'!B$99)*100/(24*'Input'!$F$58)</f>
        <v>0</v>
      </c>
      <c r="C69" s="38">
        <f>'Multi'!C830*C$11*'LAFs'!C$236*(1-'Contrib'!C$99)*100/(24*'Input'!$F$58)</f>
        <v>0</v>
      </c>
      <c r="D69" s="38">
        <f>'Multi'!D830*D$11*'LAFs'!D$236*(1-'Contrib'!D$99)*100/(24*'Input'!$F$58)</f>
        <v>0</v>
      </c>
      <c r="E69" s="38">
        <f>'Multi'!E830*E$11*'LAFs'!E$236*(1-'Contrib'!E$99)*100/(24*'Input'!$F$58)</f>
        <v>0</v>
      </c>
      <c r="F69" s="38">
        <f>'Multi'!F830*F$11*'LAFs'!F$236*(1-'Contrib'!F$99)*100/(24*'Input'!$F$58)</f>
        <v>0</v>
      </c>
      <c r="G69" s="38">
        <f>'Multi'!G830*G$11*'LAFs'!G$236*(1-'Contrib'!G$99)*100/(24*'Input'!$F$58)</f>
        <v>0</v>
      </c>
      <c r="H69" s="38">
        <f>'Multi'!H830*H$11*'LAFs'!H$236*(1-'Contrib'!H$99)*100/(24*'Input'!$F$58)</f>
        <v>0</v>
      </c>
      <c r="I69" s="38">
        <f>'Multi'!I830*I$11*'LAFs'!I$236*(1-'Contrib'!I$99)*100/(24*'Input'!$F$58)</f>
        <v>0</v>
      </c>
      <c r="J69" s="38">
        <f>'Multi'!J830*J$11*'LAFs'!J$236*(1-'Contrib'!J$99)*100/(24*'Input'!$F$58)</f>
        <v>0</v>
      </c>
      <c r="K69" s="38">
        <f>'Multi'!B830*K$11*'LAFs'!B$236*(1-'Contrib'!K$99)*100/(24*'Input'!$F$58)</f>
        <v>0</v>
      </c>
      <c r="L69" s="38">
        <f>'Multi'!C830*L$11*'LAFs'!C$236*(1-'Contrib'!L$99)*100/(24*'Input'!$F$58)</f>
        <v>0</v>
      </c>
      <c r="M69" s="38">
        <f>'Multi'!D830*M$11*'LAFs'!D$236*(1-'Contrib'!M$99)*100/(24*'Input'!$F$58)</f>
        <v>0</v>
      </c>
      <c r="N69" s="38">
        <f>'Multi'!E830*N$11*'LAFs'!E$236*(1-'Contrib'!N$99)*100/(24*'Input'!$F$58)</f>
        <v>0</v>
      </c>
      <c r="O69" s="38">
        <f>'Multi'!F830*O$11*'LAFs'!F$236*(1-'Contrib'!O$99)*100/(24*'Input'!$F$58)</f>
        <v>0</v>
      </c>
      <c r="P69" s="38">
        <f>'Multi'!G830*P$11*'LAFs'!G$236*(1-'Contrib'!P$99)*100/(24*'Input'!$F$58)</f>
        <v>0</v>
      </c>
      <c r="Q69" s="38">
        <f>'Multi'!H830*Q$11*'LAFs'!H$236*(1-'Contrib'!Q$99)*100/(24*'Input'!$F$58)</f>
        <v>0</v>
      </c>
      <c r="R69" s="38">
        <f>'Multi'!I830*R$11*'LAFs'!I$236*(1-'Contrib'!R$99)*100/(24*'Input'!$F$58)</f>
        <v>0</v>
      </c>
      <c r="S69" s="38">
        <f>'Multi'!J830*S$11*'LAFs'!J$236*(1-'Contrib'!S$99)*100/(24*'Input'!$F$58)</f>
        <v>0</v>
      </c>
      <c r="T69" s="17"/>
    </row>
    <row r="70" spans="1:20">
      <c r="A70" s="4" t="s">
        <v>214</v>
      </c>
      <c r="B70" s="38">
        <f>'Multi'!B831*B$11*'LAFs'!B$237*(1-'Contrib'!B$100)*100/(24*'Input'!$F$58)</f>
        <v>0</v>
      </c>
      <c r="C70" s="38">
        <f>'Multi'!C831*C$11*'LAFs'!C$237*(1-'Contrib'!C$100)*100/(24*'Input'!$F$58)</f>
        <v>0</v>
      </c>
      <c r="D70" s="38">
        <f>'Multi'!D831*D$11*'LAFs'!D$237*(1-'Contrib'!D$100)*100/(24*'Input'!$F$58)</f>
        <v>0</v>
      </c>
      <c r="E70" s="38">
        <f>'Multi'!E831*E$11*'LAFs'!E$237*(1-'Contrib'!E$100)*100/(24*'Input'!$F$58)</f>
        <v>0</v>
      </c>
      <c r="F70" s="38">
        <f>'Multi'!F831*F$11*'LAFs'!F$237*(1-'Contrib'!F$100)*100/(24*'Input'!$F$58)</f>
        <v>0</v>
      </c>
      <c r="G70" s="38">
        <f>'Multi'!G831*G$11*'LAFs'!G$237*(1-'Contrib'!G$100)*100/(24*'Input'!$F$58)</f>
        <v>0</v>
      </c>
      <c r="H70" s="38">
        <f>'Multi'!H831*H$11*'LAFs'!H$237*(1-'Contrib'!H$100)*100/(24*'Input'!$F$58)</f>
        <v>0</v>
      </c>
      <c r="I70" s="38">
        <f>'Multi'!I831*I$11*'LAFs'!I$237*(1-'Contrib'!I$100)*100/(24*'Input'!$F$58)</f>
        <v>0</v>
      </c>
      <c r="J70" s="38">
        <f>'Multi'!J831*J$11*'LAFs'!J$237*(1-'Contrib'!J$100)*100/(24*'Input'!$F$58)</f>
        <v>0</v>
      </c>
      <c r="K70" s="38">
        <f>'Multi'!B831*K$11*'LAFs'!B$237*(1-'Contrib'!K$100)*100/(24*'Input'!$F$58)</f>
        <v>0</v>
      </c>
      <c r="L70" s="38">
        <f>'Multi'!C831*L$11*'LAFs'!C$237*(1-'Contrib'!L$100)*100/(24*'Input'!$F$58)</f>
        <v>0</v>
      </c>
      <c r="M70" s="38">
        <f>'Multi'!D831*M$11*'LAFs'!D$237*(1-'Contrib'!M$100)*100/(24*'Input'!$F$58)</f>
        <v>0</v>
      </c>
      <c r="N70" s="38">
        <f>'Multi'!E831*N$11*'LAFs'!E$237*(1-'Contrib'!N$100)*100/(24*'Input'!$F$58)</f>
        <v>0</v>
      </c>
      <c r="O70" s="38">
        <f>'Multi'!F831*O$11*'LAFs'!F$237*(1-'Contrib'!O$100)*100/(24*'Input'!$F$58)</f>
        <v>0</v>
      </c>
      <c r="P70" s="38">
        <f>'Multi'!G831*P$11*'LAFs'!G$237*(1-'Contrib'!P$100)*100/(24*'Input'!$F$58)</f>
        <v>0</v>
      </c>
      <c r="Q70" s="38">
        <f>'Multi'!H831*Q$11*'LAFs'!H$237*(1-'Contrib'!Q$100)*100/(24*'Input'!$F$58)</f>
        <v>0</v>
      </c>
      <c r="R70" s="38">
        <f>'Multi'!I831*R$11*'LAFs'!I$237*(1-'Contrib'!R$100)*100/(24*'Input'!$F$58)</f>
        <v>0</v>
      </c>
      <c r="S70" s="38">
        <f>'Multi'!J831*S$11*'LAFs'!J$237*(1-'Contrib'!S$100)*100/(24*'Input'!$F$58)</f>
        <v>0</v>
      </c>
      <c r="T70" s="17"/>
    </row>
    <row r="71" spans="1:20">
      <c r="A71" s="4" t="s">
        <v>215</v>
      </c>
      <c r="B71" s="38">
        <f>'Multi'!B832*B$11*'LAFs'!B$238*(1-'Contrib'!B$101)*100/(24*'Input'!$F$58)</f>
        <v>0</v>
      </c>
      <c r="C71" s="38">
        <f>'Multi'!C832*C$11*'LAFs'!C$238*(1-'Contrib'!C$101)*100/(24*'Input'!$F$58)</f>
        <v>0</v>
      </c>
      <c r="D71" s="38">
        <f>'Multi'!D832*D$11*'LAFs'!D$238*(1-'Contrib'!D$101)*100/(24*'Input'!$F$58)</f>
        <v>0</v>
      </c>
      <c r="E71" s="38">
        <f>'Multi'!E832*E$11*'LAFs'!E$238*(1-'Contrib'!E$101)*100/(24*'Input'!$F$58)</f>
        <v>0</v>
      </c>
      <c r="F71" s="38">
        <f>'Multi'!F832*F$11*'LAFs'!F$238*(1-'Contrib'!F$101)*100/(24*'Input'!$F$58)</f>
        <v>0</v>
      </c>
      <c r="G71" s="38">
        <f>'Multi'!G832*G$11*'LAFs'!G$238*(1-'Contrib'!G$101)*100/(24*'Input'!$F$58)</f>
        <v>0</v>
      </c>
      <c r="H71" s="38">
        <f>'Multi'!H832*H$11*'LAFs'!H$238*(1-'Contrib'!H$101)*100/(24*'Input'!$F$58)</f>
        <v>0</v>
      </c>
      <c r="I71" s="38">
        <f>'Multi'!I832*I$11*'LAFs'!I$238*(1-'Contrib'!I$101)*100/(24*'Input'!$F$58)</f>
        <v>0</v>
      </c>
      <c r="J71" s="38">
        <f>'Multi'!J832*J$11*'LAFs'!J$238*(1-'Contrib'!J$101)*100/(24*'Input'!$F$58)</f>
        <v>0</v>
      </c>
      <c r="K71" s="38">
        <f>'Multi'!B832*K$11*'LAFs'!B$238*(1-'Contrib'!K$101)*100/(24*'Input'!$F$58)</f>
        <v>0</v>
      </c>
      <c r="L71" s="38">
        <f>'Multi'!C832*L$11*'LAFs'!C$238*(1-'Contrib'!L$101)*100/(24*'Input'!$F$58)</f>
        <v>0</v>
      </c>
      <c r="M71" s="38">
        <f>'Multi'!D832*M$11*'LAFs'!D$238*(1-'Contrib'!M$101)*100/(24*'Input'!$F$58)</f>
        <v>0</v>
      </c>
      <c r="N71" s="38">
        <f>'Multi'!E832*N$11*'LAFs'!E$238*(1-'Contrib'!N$101)*100/(24*'Input'!$F$58)</f>
        <v>0</v>
      </c>
      <c r="O71" s="38">
        <f>'Multi'!F832*O$11*'LAFs'!F$238*(1-'Contrib'!O$101)*100/(24*'Input'!$F$58)</f>
        <v>0</v>
      </c>
      <c r="P71" s="38">
        <f>'Multi'!G832*P$11*'LAFs'!G$238*(1-'Contrib'!P$101)*100/(24*'Input'!$F$58)</f>
        <v>0</v>
      </c>
      <c r="Q71" s="38">
        <f>'Multi'!H832*Q$11*'LAFs'!H$238*(1-'Contrib'!Q$101)*100/(24*'Input'!$F$58)</f>
        <v>0</v>
      </c>
      <c r="R71" s="38">
        <f>'Multi'!I832*R$11*'LAFs'!I$238*(1-'Contrib'!R$101)*100/(24*'Input'!$F$58)</f>
        <v>0</v>
      </c>
      <c r="S71" s="38">
        <f>'Multi'!J832*S$11*'LAFs'!J$238*(1-'Contrib'!S$101)*100/(24*'Input'!$F$58)</f>
        <v>0</v>
      </c>
      <c r="T71" s="17"/>
    </row>
    <row r="72" spans="1:20">
      <c r="A72" s="4" t="s">
        <v>216</v>
      </c>
      <c r="B72" s="38">
        <f>'Multi'!B833*B$11*'LAFs'!B$239*(1-'Contrib'!B$102)*100/(24*'Input'!$F$58)</f>
        <v>0</v>
      </c>
      <c r="C72" s="38">
        <f>'Multi'!C833*C$11*'LAFs'!C$239*(1-'Contrib'!C$102)*100/(24*'Input'!$F$58)</f>
        <v>0</v>
      </c>
      <c r="D72" s="38">
        <f>'Multi'!D833*D$11*'LAFs'!D$239*(1-'Contrib'!D$102)*100/(24*'Input'!$F$58)</f>
        <v>0</v>
      </c>
      <c r="E72" s="38">
        <f>'Multi'!E833*E$11*'LAFs'!E$239*(1-'Contrib'!E$102)*100/(24*'Input'!$F$58)</f>
        <v>0</v>
      </c>
      <c r="F72" s="38">
        <f>'Multi'!F833*F$11*'LAFs'!F$239*(1-'Contrib'!F$102)*100/(24*'Input'!$F$58)</f>
        <v>0</v>
      </c>
      <c r="G72" s="38">
        <f>'Multi'!G833*G$11*'LAFs'!G$239*(1-'Contrib'!G$102)*100/(24*'Input'!$F$58)</f>
        <v>0</v>
      </c>
      <c r="H72" s="38">
        <f>'Multi'!H833*H$11*'LAFs'!H$239*(1-'Contrib'!H$102)*100/(24*'Input'!$F$58)</f>
        <v>0</v>
      </c>
      <c r="I72" s="38">
        <f>'Multi'!I833*I$11*'LAFs'!I$239*(1-'Contrib'!I$102)*100/(24*'Input'!$F$58)</f>
        <v>0</v>
      </c>
      <c r="J72" s="38">
        <f>'Multi'!J833*J$11*'LAFs'!J$239*(1-'Contrib'!J$102)*100/(24*'Input'!$F$58)</f>
        <v>0</v>
      </c>
      <c r="K72" s="38">
        <f>'Multi'!B833*K$11*'LAFs'!B$239*(1-'Contrib'!K$102)*100/(24*'Input'!$F$58)</f>
        <v>0</v>
      </c>
      <c r="L72" s="38">
        <f>'Multi'!C833*L$11*'LAFs'!C$239*(1-'Contrib'!L$102)*100/(24*'Input'!$F$58)</f>
        <v>0</v>
      </c>
      <c r="M72" s="38">
        <f>'Multi'!D833*M$11*'LAFs'!D$239*(1-'Contrib'!M$102)*100/(24*'Input'!$F$58)</f>
        <v>0</v>
      </c>
      <c r="N72" s="38">
        <f>'Multi'!E833*N$11*'LAFs'!E$239*(1-'Contrib'!N$102)*100/(24*'Input'!$F$58)</f>
        <v>0</v>
      </c>
      <c r="O72" s="38">
        <f>'Multi'!F833*O$11*'LAFs'!F$239*(1-'Contrib'!O$102)*100/(24*'Input'!$F$58)</f>
        <v>0</v>
      </c>
      <c r="P72" s="38">
        <f>'Multi'!G833*P$11*'LAFs'!G$239*(1-'Contrib'!P$102)*100/(24*'Input'!$F$58)</f>
        <v>0</v>
      </c>
      <c r="Q72" s="38">
        <f>'Multi'!H833*Q$11*'LAFs'!H$239*(1-'Contrib'!Q$102)*100/(24*'Input'!$F$58)</f>
        <v>0</v>
      </c>
      <c r="R72" s="38">
        <f>'Multi'!I833*R$11*'LAFs'!I$239*(1-'Contrib'!R$102)*100/(24*'Input'!$F$58)</f>
        <v>0</v>
      </c>
      <c r="S72" s="38">
        <f>'Multi'!J833*S$11*'LAFs'!J$239*(1-'Contrib'!S$102)*100/(24*'Input'!$F$58)</f>
        <v>0</v>
      </c>
      <c r="T72" s="17"/>
    </row>
    <row r="73" spans="1:20">
      <c r="A73" s="4" t="s">
        <v>217</v>
      </c>
      <c r="B73" s="38">
        <f>'Multi'!B834*B$11*'LAFs'!B$240*(1-'Contrib'!B$103)*100/(24*'Input'!$F$58)</f>
        <v>0</v>
      </c>
      <c r="C73" s="38">
        <f>'Multi'!C834*C$11*'LAFs'!C$240*(1-'Contrib'!C$103)*100/(24*'Input'!$F$58)</f>
        <v>0</v>
      </c>
      <c r="D73" s="38">
        <f>'Multi'!D834*D$11*'LAFs'!D$240*(1-'Contrib'!D$103)*100/(24*'Input'!$F$58)</f>
        <v>0</v>
      </c>
      <c r="E73" s="38">
        <f>'Multi'!E834*E$11*'LAFs'!E$240*(1-'Contrib'!E$103)*100/(24*'Input'!$F$58)</f>
        <v>0</v>
      </c>
      <c r="F73" s="38">
        <f>'Multi'!F834*F$11*'LAFs'!F$240*(1-'Contrib'!F$103)*100/(24*'Input'!$F$58)</f>
        <v>0</v>
      </c>
      <c r="G73" s="38">
        <f>'Multi'!G834*G$11*'LAFs'!G$240*(1-'Contrib'!G$103)*100/(24*'Input'!$F$58)</f>
        <v>0</v>
      </c>
      <c r="H73" s="38">
        <f>'Multi'!H834*H$11*'LAFs'!H$240*(1-'Contrib'!H$103)*100/(24*'Input'!$F$58)</f>
        <v>0</v>
      </c>
      <c r="I73" s="38">
        <f>'Multi'!I834*I$11*'LAFs'!I$240*(1-'Contrib'!I$103)*100/(24*'Input'!$F$58)</f>
        <v>0</v>
      </c>
      <c r="J73" s="38">
        <f>'Multi'!J834*J$11*'LAFs'!J$240*(1-'Contrib'!J$103)*100/(24*'Input'!$F$58)</f>
        <v>0</v>
      </c>
      <c r="K73" s="38">
        <f>'Multi'!B834*K$11*'LAFs'!B$240*(1-'Contrib'!K$103)*100/(24*'Input'!$F$58)</f>
        <v>0</v>
      </c>
      <c r="L73" s="38">
        <f>'Multi'!C834*L$11*'LAFs'!C$240*(1-'Contrib'!L$103)*100/(24*'Input'!$F$58)</f>
        <v>0</v>
      </c>
      <c r="M73" s="38">
        <f>'Multi'!D834*M$11*'LAFs'!D$240*(1-'Contrib'!M$103)*100/(24*'Input'!$F$58)</f>
        <v>0</v>
      </c>
      <c r="N73" s="38">
        <f>'Multi'!E834*N$11*'LAFs'!E$240*(1-'Contrib'!N$103)*100/(24*'Input'!$F$58)</f>
        <v>0</v>
      </c>
      <c r="O73" s="38">
        <f>'Multi'!F834*O$11*'LAFs'!F$240*(1-'Contrib'!O$103)*100/(24*'Input'!$F$58)</f>
        <v>0</v>
      </c>
      <c r="P73" s="38">
        <f>'Multi'!G834*P$11*'LAFs'!G$240*(1-'Contrib'!P$103)*100/(24*'Input'!$F$58)</f>
        <v>0</v>
      </c>
      <c r="Q73" s="38">
        <f>'Multi'!H834*Q$11*'LAFs'!H$240*(1-'Contrib'!Q$103)*100/(24*'Input'!$F$58)</f>
        <v>0</v>
      </c>
      <c r="R73" s="38">
        <f>'Multi'!I834*R$11*'LAFs'!I$240*(1-'Contrib'!R$103)*100/(24*'Input'!$F$58)</f>
        <v>0</v>
      </c>
      <c r="S73" s="38">
        <f>'Multi'!J834*S$11*'LAFs'!J$240*(1-'Contrib'!S$103)*100/(24*'Input'!$F$58)</f>
        <v>0</v>
      </c>
      <c r="T73" s="17"/>
    </row>
    <row r="74" spans="1:20">
      <c r="A74" s="4" t="s">
        <v>185</v>
      </c>
      <c r="B74" s="38">
        <f>'Multi'!B835*B$11*'LAFs'!B$244*(1-'Contrib'!B$107)*100/(24*'Input'!$F$58)</f>
        <v>0</v>
      </c>
      <c r="C74" s="38">
        <f>'Multi'!C835*C$11*'LAFs'!C$244*(1-'Contrib'!C$107)*100/(24*'Input'!$F$58)</f>
        <v>0</v>
      </c>
      <c r="D74" s="38">
        <f>'Multi'!D835*D$11*'LAFs'!D$244*(1-'Contrib'!D$107)*100/(24*'Input'!$F$58)</f>
        <v>0</v>
      </c>
      <c r="E74" s="38">
        <f>'Multi'!E835*E$11*'LAFs'!E$244*(1-'Contrib'!E$107)*100/(24*'Input'!$F$58)</f>
        <v>0</v>
      </c>
      <c r="F74" s="38">
        <f>'Multi'!F835*F$11*'LAFs'!F$244*(1-'Contrib'!F$107)*100/(24*'Input'!$F$58)</f>
        <v>0</v>
      </c>
      <c r="G74" s="38">
        <f>'Multi'!G835*G$11*'LAFs'!G$244*(1-'Contrib'!G$107)*100/(24*'Input'!$F$58)</f>
        <v>0</v>
      </c>
      <c r="H74" s="38">
        <f>'Multi'!H835*H$11*'LAFs'!H$244*(1-'Contrib'!H$107)*100/(24*'Input'!$F$58)</f>
        <v>0</v>
      </c>
      <c r="I74" s="38">
        <f>'Multi'!I835*I$11*'LAFs'!I$244*(1-'Contrib'!I$107)*100/(24*'Input'!$F$58)</f>
        <v>0</v>
      </c>
      <c r="J74" s="38">
        <f>'Multi'!J835*J$11*'LAFs'!J$244*(1-'Contrib'!J$107)*100/(24*'Input'!$F$58)</f>
        <v>0</v>
      </c>
      <c r="K74" s="38">
        <f>'Multi'!B835*K$11*'LAFs'!B$244*(1-'Contrib'!K$107)*100/(24*'Input'!$F$58)</f>
        <v>0</v>
      </c>
      <c r="L74" s="38">
        <f>'Multi'!C835*L$11*'LAFs'!C$244*(1-'Contrib'!L$107)*100/(24*'Input'!$F$58)</f>
        <v>0</v>
      </c>
      <c r="M74" s="38">
        <f>'Multi'!D835*M$11*'LAFs'!D$244*(1-'Contrib'!M$107)*100/(24*'Input'!$F$58)</f>
        <v>0</v>
      </c>
      <c r="N74" s="38">
        <f>'Multi'!E835*N$11*'LAFs'!E$244*(1-'Contrib'!N$107)*100/(24*'Input'!$F$58)</f>
        <v>0</v>
      </c>
      <c r="O74" s="38">
        <f>'Multi'!F835*O$11*'LAFs'!F$244*(1-'Contrib'!O$107)*100/(24*'Input'!$F$58)</f>
        <v>0</v>
      </c>
      <c r="P74" s="38">
        <f>'Multi'!G835*P$11*'LAFs'!G$244*(1-'Contrib'!P$107)*100/(24*'Input'!$F$58)</f>
        <v>0</v>
      </c>
      <c r="Q74" s="38">
        <f>'Multi'!H835*Q$11*'LAFs'!H$244*(1-'Contrib'!Q$107)*100/(24*'Input'!$F$58)</f>
        <v>0</v>
      </c>
      <c r="R74" s="38">
        <f>'Multi'!I835*R$11*'LAFs'!I$244*(1-'Contrib'!R$107)*100/(24*'Input'!$F$58)</f>
        <v>0</v>
      </c>
      <c r="S74" s="38">
        <f>'Multi'!J835*S$11*'LAFs'!J$244*(1-'Contrib'!S$107)*100/(24*'Input'!$F$58)</f>
        <v>0</v>
      </c>
      <c r="T74" s="17"/>
    </row>
    <row r="75" spans="1:20">
      <c r="A75" s="4" t="s">
        <v>187</v>
      </c>
      <c r="B75" s="38">
        <f>'Multi'!B836*B$11*'LAFs'!B$246*(1-'Contrib'!B$109)*100/(24*'Input'!$F$58)</f>
        <v>0</v>
      </c>
      <c r="C75" s="38">
        <f>'Multi'!C836*C$11*'LAFs'!C$246*(1-'Contrib'!C$109)*100/(24*'Input'!$F$58)</f>
        <v>0</v>
      </c>
      <c r="D75" s="38">
        <f>'Multi'!D836*D$11*'LAFs'!D$246*(1-'Contrib'!D$109)*100/(24*'Input'!$F$58)</f>
        <v>0</v>
      </c>
      <c r="E75" s="38">
        <f>'Multi'!E836*E$11*'LAFs'!E$246*(1-'Contrib'!E$109)*100/(24*'Input'!$F$58)</f>
        <v>0</v>
      </c>
      <c r="F75" s="38">
        <f>'Multi'!F836*F$11*'LAFs'!F$246*(1-'Contrib'!F$109)*100/(24*'Input'!$F$58)</f>
        <v>0</v>
      </c>
      <c r="G75" s="38">
        <f>'Multi'!G836*G$11*'LAFs'!G$246*(1-'Contrib'!G$109)*100/(24*'Input'!$F$58)</f>
        <v>0</v>
      </c>
      <c r="H75" s="38">
        <f>'Multi'!H836*H$11*'LAFs'!H$246*(1-'Contrib'!H$109)*100/(24*'Input'!$F$58)</f>
        <v>0</v>
      </c>
      <c r="I75" s="38">
        <f>'Multi'!I836*I$11*'LAFs'!I$246*(1-'Contrib'!I$109)*100/(24*'Input'!$F$58)</f>
        <v>0</v>
      </c>
      <c r="J75" s="38">
        <f>'Multi'!J836*J$11*'LAFs'!J$246*(1-'Contrib'!J$109)*100/(24*'Input'!$F$58)</f>
        <v>0</v>
      </c>
      <c r="K75" s="38">
        <f>'Multi'!B836*K$11*'LAFs'!B$246*(1-'Contrib'!K$109)*100/(24*'Input'!$F$58)</f>
        <v>0</v>
      </c>
      <c r="L75" s="38">
        <f>'Multi'!C836*L$11*'LAFs'!C$246*(1-'Contrib'!L$109)*100/(24*'Input'!$F$58)</f>
        <v>0</v>
      </c>
      <c r="M75" s="38">
        <f>'Multi'!D836*M$11*'LAFs'!D$246*(1-'Contrib'!M$109)*100/(24*'Input'!$F$58)</f>
        <v>0</v>
      </c>
      <c r="N75" s="38">
        <f>'Multi'!E836*N$11*'LAFs'!E$246*(1-'Contrib'!N$109)*100/(24*'Input'!$F$58)</f>
        <v>0</v>
      </c>
      <c r="O75" s="38">
        <f>'Multi'!F836*O$11*'LAFs'!F$246*(1-'Contrib'!O$109)*100/(24*'Input'!$F$58)</f>
        <v>0</v>
      </c>
      <c r="P75" s="38">
        <f>'Multi'!G836*P$11*'LAFs'!G$246*(1-'Contrib'!P$109)*100/(24*'Input'!$F$58)</f>
        <v>0</v>
      </c>
      <c r="Q75" s="38">
        <f>'Multi'!H836*Q$11*'LAFs'!H$246*(1-'Contrib'!Q$109)*100/(24*'Input'!$F$58)</f>
        <v>0</v>
      </c>
      <c r="R75" s="38">
        <f>'Multi'!I836*R$11*'LAFs'!I$246*(1-'Contrib'!R$109)*100/(24*'Input'!$F$58)</f>
        <v>0</v>
      </c>
      <c r="S75" s="38">
        <f>'Multi'!J836*S$11*'LAFs'!J$246*(1-'Contrib'!S$109)*100/(24*'Input'!$F$58)</f>
        <v>0</v>
      </c>
      <c r="T75" s="17"/>
    </row>
    <row r="76" spans="1:20">
      <c r="A76" s="4" t="s">
        <v>195</v>
      </c>
      <c r="B76" s="38">
        <f>'Multi'!B837*B$11*'LAFs'!B$248*(1-'Contrib'!B$111)*100/(24*'Input'!$F$58)</f>
        <v>0</v>
      </c>
      <c r="C76" s="38">
        <f>'Multi'!C837*C$11*'LAFs'!C$248*(1-'Contrib'!C$111)*100/(24*'Input'!$F$58)</f>
        <v>0</v>
      </c>
      <c r="D76" s="38">
        <f>'Multi'!D837*D$11*'LAFs'!D$248*(1-'Contrib'!D$111)*100/(24*'Input'!$F$58)</f>
        <v>0</v>
      </c>
      <c r="E76" s="38">
        <f>'Multi'!E837*E$11*'LAFs'!E$248*(1-'Contrib'!E$111)*100/(24*'Input'!$F$58)</f>
        <v>0</v>
      </c>
      <c r="F76" s="38">
        <f>'Multi'!F837*F$11*'LAFs'!F$248*(1-'Contrib'!F$111)*100/(24*'Input'!$F$58)</f>
        <v>0</v>
      </c>
      <c r="G76" s="38">
        <f>'Multi'!G837*G$11*'LAFs'!G$248*(1-'Contrib'!G$111)*100/(24*'Input'!$F$58)</f>
        <v>0</v>
      </c>
      <c r="H76" s="38">
        <f>'Multi'!H837*H$11*'LAFs'!H$248*(1-'Contrib'!H$111)*100/(24*'Input'!$F$58)</f>
        <v>0</v>
      </c>
      <c r="I76" s="38">
        <f>'Multi'!I837*I$11*'LAFs'!I$248*(1-'Contrib'!I$111)*100/(24*'Input'!$F$58)</f>
        <v>0</v>
      </c>
      <c r="J76" s="38">
        <f>'Multi'!J837*J$11*'LAFs'!J$248*(1-'Contrib'!J$111)*100/(24*'Input'!$F$58)</f>
        <v>0</v>
      </c>
      <c r="K76" s="38">
        <f>'Multi'!B837*K$11*'LAFs'!B$248*(1-'Contrib'!K$111)*100/(24*'Input'!$F$58)</f>
        <v>0</v>
      </c>
      <c r="L76" s="38">
        <f>'Multi'!C837*L$11*'LAFs'!C$248*(1-'Contrib'!L$111)*100/(24*'Input'!$F$58)</f>
        <v>0</v>
      </c>
      <c r="M76" s="38">
        <f>'Multi'!D837*M$11*'LAFs'!D$248*(1-'Contrib'!M$111)*100/(24*'Input'!$F$58)</f>
        <v>0</v>
      </c>
      <c r="N76" s="38">
        <f>'Multi'!E837*N$11*'LAFs'!E$248*(1-'Contrib'!N$111)*100/(24*'Input'!$F$58)</f>
        <v>0</v>
      </c>
      <c r="O76" s="38">
        <f>'Multi'!F837*O$11*'LAFs'!F$248*(1-'Contrib'!O$111)*100/(24*'Input'!$F$58)</f>
        <v>0</v>
      </c>
      <c r="P76" s="38">
        <f>'Multi'!G837*P$11*'LAFs'!G$248*(1-'Contrib'!P$111)*100/(24*'Input'!$F$58)</f>
        <v>0</v>
      </c>
      <c r="Q76" s="38">
        <f>'Multi'!H837*Q$11*'LAFs'!H$248*(1-'Contrib'!Q$111)*100/(24*'Input'!$F$58)</f>
        <v>0</v>
      </c>
      <c r="R76" s="38">
        <f>'Multi'!I837*R$11*'LAFs'!I$248*(1-'Contrib'!R$111)*100/(24*'Input'!$F$58)</f>
        <v>0</v>
      </c>
      <c r="S76" s="38">
        <f>'Multi'!J837*S$11*'LAFs'!J$248*(1-'Contrib'!S$111)*100/(24*'Input'!$F$58)</f>
        <v>0</v>
      </c>
      <c r="T76" s="17"/>
    </row>
    <row r="78" spans="1:20" ht="21" customHeight="1">
      <c r="A78" s="1" t="s">
        <v>979</v>
      </c>
    </row>
    <row r="79" spans="1:20">
      <c r="A79" s="2" t="s">
        <v>351</v>
      </c>
    </row>
    <row r="80" spans="1:20">
      <c r="A80" s="33" t="s">
        <v>980</v>
      </c>
    </row>
    <row r="81" spans="1:20">
      <c r="A81" s="33" t="s">
        <v>977</v>
      </c>
    </row>
    <row r="82" spans="1:20">
      <c r="A82" s="33" t="s">
        <v>798</v>
      </c>
    </row>
    <row r="83" spans="1:20">
      <c r="A83" s="33" t="s">
        <v>973</v>
      </c>
    </row>
    <row r="84" spans="1:20">
      <c r="A84" s="33" t="s">
        <v>741</v>
      </c>
    </row>
    <row r="85" spans="1:20">
      <c r="A85" s="2" t="s">
        <v>978</v>
      </c>
    </row>
    <row r="87" spans="1:20">
      <c r="B87" s="15" t="s">
        <v>142</v>
      </c>
      <c r="C87" s="15" t="s">
        <v>306</v>
      </c>
      <c r="D87" s="15" t="s">
        <v>307</v>
      </c>
      <c r="E87" s="15" t="s">
        <v>308</v>
      </c>
      <c r="F87" s="15" t="s">
        <v>309</v>
      </c>
      <c r="G87" s="15" t="s">
        <v>310</v>
      </c>
      <c r="H87" s="15" t="s">
        <v>311</v>
      </c>
      <c r="I87" s="15" t="s">
        <v>312</v>
      </c>
      <c r="J87" s="15" t="s">
        <v>313</v>
      </c>
      <c r="K87" s="15" t="s">
        <v>294</v>
      </c>
      <c r="L87" s="15" t="s">
        <v>877</v>
      </c>
      <c r="M87" s="15" t="s">
        <v>878</v>
      </c>
      <c r="N87" s="15" t="s">
        <v>879</v>
      </c>
      <c r="O87" s="15" t="s">
        <v>880</v>
      </c>
      <c r="P87" s="15" t="s">
        <v>881</v>
      </c>
      <c r="Q87" s="15" t="s">
        <v>882</v>
      </c>
      <c r="R87" s="15" t="s">
        <v>883</v>
      </c>
      <c r="S87" s="15" t="s">
        <v>884</v>
      </c>
    </row>
    <row r="88" spans="1:20">
      <c r="A88" s="4" t="s">
        <v>175</v>
      </c>
      <c r="B88" s="38">
        <f>'Multi'!B846*B$11*'LAFs'!B$226*(1-'Contrib'!B$89)*100/(24*'Input'!$F$58)</f>
        <v>0</v>
      </c>
      <c r="C88" s="38">
        <f>'Multi'!C846*C$11*'LAFs'!C$226*(1-'Contrib'!C$89)*100/(24*'Input'!$F$58)</f>
        <v>0</v>
      </c>
      <c r="D88" s="38">
        <f>'Multi'!D846*D$11*'LAFs'!D$226*(1-'Contrib'!D$89)*100/(24*'Input'!$F$58)</f>
        <v>0</v>
      </c>
      <c r="E88" s="38">
        <f>'Multi'!E846*E$11*'LAFs'!E$226*(1-'Contrib'!E$89)*100/(24*'Input'!$F$58)</f>
        <v>0</v>
      </c>
      <c r="F88" s="38">
        <f>'Multi'!F846*F$11*'LAFs'!F$226*(1-'Contrib'!F$89)*100/(24*'Input'!$F$58)</f>
        <v>0</v>
      </c>
      <c r="G88" s="38">
        <f>'Multi'!G846*G$11*'LAFs'!G$226*(1-'Contrib'!G$89)*100/(24*'Input'!$F$58)</f>
        <v>0</v>
      </c>
      <c r="H88" s="38">
        <f>'Multi'!H846*H$11*'LAFs'!H$226*(1-'Contrib'!H$89)*100/(24*'Input'!$F$58)</f>
        <v>0</v>
      </c>
      <c r="I88" s="38">
        <f>'Multi'!I846*I$11*'LAFs'!I$226*(1-'Contrib'!I$89)*100/(24*'Input'!$F$58)</f>
        <v>0</v>
      </c>
      <c r="J88" s="38">
        <f>'Multi'!J846*J$11*'LAFs'!J$226*(1-'Contrib'!J$89)*100/(24*'Input'!$F$58)</f>
        <v>0</v>
      </c>
      <c r="K88" s="38">
        <f>'Multi'!B846*K$11*'LAFs'!B$226*(1-'Contrib'!K$89)*100/(24*'Input'!$F$58)</f>
        <v>0</v>
      </c>
      <c r="L88" s="38">
        <f>'Multi'!C846*L$11*'LAFs'!C$226*(1-'Contrib'!L$89)*100/(24*'Input'!$F$58)</f>
        <v>0</v>
      </c>
      <c r="M88" s="38">
        <f>'Multi'!D846*M$11*'LAFs'!D$226*(1-'Contrib'!M$89)*100/(24*'Input'!$F$58)</f>
        <v>0</v>
      </c>
      <c r="N88" s="38">
        <f>'Multi'!E846*N$11*'LAFs'!E$226*(1-'Contrib'!N$89)*100/(24*'Input'!$F$58)</f>
        <v>0</v>
      </c>
      <c r="O88" s="38">
        <f>'Multi'!F846*O$11*'LAFs'!F$226*(1-'Contrib'!O$89)*100/(24*'Input'!$F$58)</f>
        <v>0</v>
      </c>
      <c r="P88" s="38">
        <f>'Multi'!G846*P$11*'LAFs'!G$226*(1-'Contrib'!P$89)*100/(24*'Input'!$F$58)</f>
        <v>0</v>
      </c>
      <c r="Q88" s="38">
        <f>'Multi'!H846*Q$11*'LAFs'!H$226*(1-'Contrib'!Q$89)*100/(24*'Input'!$F$58)</f>
        <v>0</v>
      </c>
      <c r="R88" s="38">
        <f>'Multi'!I846*R$11*'LAFs'!I$226*(1-'Contrib'!R$89)*100/(24*'Input'!$F$58)</f>
        <v>0</v>
      </c>
      <c r="S88" s="38">
        <f>'Multi'!J846*S$11*'LAFs'!J$226*(1-'Contrib'!S$89)*100/(24*'Input'!$F$58)</f>
        <v>0</v>
      </c>
      <c r="T88" s="17"/>
    </row>
    <row r="89" spans="1:20">
      <c r="A89" s="4" t="s">
        <v>177</v>
      </c>
      <c r="B89" s="38">
        <f>'Multi'!B847*B$11*'LAFs'!B$229*(1-'Contrib'!B$92)*100/(24*'Input'!$F$58)</f>
        <v>0</v>
      </c>
      <c r="C89" s="38">
        <f>'Multi'!C847*C$11*'LAFs'!C$229*(1-'Contrib'!C$92)*100/(24*'Input'!$F$58)</f>
        <v>0</v>
      </c>
      <c r="D89" s="38">
        <f>'Multi'!D847*D$11*'LAFs'!D$229*(1-'Contrib'!D$92)*100/(24*'Input'!$F$58)</f>
        <v>0</v>
      </c>
      <c r="E89" s="38">
        <f>'Multi'!E847*E$11*'LAFs'!E$229*(1-'Contrib'!E$92)*100/(24*'Input'!$F$58)</f>
        <v>0</v>
      </c>
      <c r="F89" s="38">
        <f>'Multi'!F847*F$11*'LAFs'!F$229*(1-'Contrib'!F$92)*100/(24*'Input'!$F$58)</f>
        <v>0</v>
      </c>
      <c r="G89" s="38">
        <f>'Multi'!G847*G$11*'LAFs'!G$229*(1-'Contrib'!G$92)*100/(24*'Input'!$F$58)</f>
        <v>0</v>
      </c>
      <c r="H89" s="38">
        <f>'Multi'!H847*H$11*'LAFs'!H$229*(1-'Contrib'!H$92)*100/(24*'Input'!$F$58)</f>
        <v>0</v>
      </c>
      <c r="I89" s="38">
        <f>'Multi'!I847*I$11*'LAFs'!I$229*(1-'Contrib'!I$92)*100/(24*'Input'!$F$58)</f>
        <v>0</v>
      </c>
      <c r="J89" s="38">
        <f>'Multi'!J847*J$11*'LAFs'!J$229*(1-'Contrib'!J$92)*100/(24*'Input'!$F$58)</f>
        <v>0</v>
      </c>
      <c r="K89" s="38">
        <f>'Multi'!B847*K$11*'LAFs'!B$229*(1-'Contrib'!K$92)*100/(24*'Input'!$F$58)</f>
        <v>0</v>
      </c>
      <c r="L89" s="38">
        <f>'Multi'!C847*L$11*'LAFs'!C$229*(1-'Contrib'!L$92)*100/(24*'Input'!$F$58)</f>
        <v>0</v>
      </c>
      <c r="M89" s="38">
        <f>'Multi'!D847*M$11*'LAFs'!D$229*(1-'Contrib'!M$92)*100/(24*'Input'!$F$58)</f>
        <v>0</v>
      </c>
      <c r="N89" s="38">
        <f>'Multi'!E847*N$11*'LAFs'!E$229*(1-'Contrib'!N$92)*100/(24*'Input'!$F$58)</f>
        <v>0</v>
      </c>
      <c r="O89" s="38">
        <f>'Multi'!F847*O$11*'LAFs'!F$229*(1-'Contrib'!O$92)*100/(24*'Input'!$F$58)</f>
        <v>0</v>
      </c>
      <c r="P89" s="38">
        <f>'Multi'!G847*P$11*'LAFs'!G$229*(1-'Contrib'!P$92)*100/(24*'Input'!$F$58)</f>
        <v>0</v>
      </c>
      <c r="Q89" s="38">
        <f>'Multi'!H847*Q$11*'LAFs'!H$229*(1-'Contrib'!Q$92)*100/(24*'Input'!$F$58)</f>
        <v>0</v>
      </c>
      <c r="R89" s="38">
        <f>'Multi'!I847*R$11*'LAFs'!I$229*(1-'Contrib'!R$92)*100/(24*'Input'!$F$58)</f>
        <v>0</v>
      </c>
      <c r="S89" s="38">
        <f>'Multi'!J847*S$11*'LAFs'!J$229*(1-'Contrib'!S$92)*100/(24*'Input'!$F$58)</f>
        <v>0</v>
      </c>
      <c r="T89" s="17"/>
    </row>
    <row r="90" spans="1:20">
      <c r="A90" s="4" t="s">
        <v>178</v>
      </c>
      <c r="B90" s="38">
        <f>'Multi'!B848*B$11*'LAFs'!B$231*(1-'Contrib'!B$94)*100/(24*'Input'!$F$58)</f>
        <v>0</v>
      </c>
      <c r="C90" s="38">
        <f>'Multi'!C848*C$11*'LAFs'!C$231*(1-'Contrib'!C$94)*100/(24*'Input'!$F$58)</f>
        <v>0</v>
      </c>
      <c r="D90" s="38">
        <f>'Multi'!D848*D$11*'LAFs'!D$231*(1-'Contrib'!D$94)*100/(24*'Input'!$F$58)</f>
        <v>0</v>
      </c>
      <c r="E90" s="38">
        <f>'Multi'!E848*E$11*'LAFs'!E$231*(1-'Contrib'!E$94)*100/(24*'Input'!$F$58)</f>
        <v>0</v>
      </c>
      <c r="F90" s="38">
        <f>'Multi'!F848*F$11*'LAFs'!F$231*(1-'Contrib'!F$94)*100/(24*'Input'!$F$58)</f>
        <v>0</v>
      </c>
      <c r="G90" s="38">
        <f>'Multi'!G848*G$11*'LAFs'!G$231*(1-'Contrib'!G$94)*100/(24*'Input'!$F$58)</f>
        <v>0</v>
      </c>
      <c r="H90" s="38">
        <f>'Multi'!H848*H$11*'LAFs'!H$231*(1-'Contrib'!H$94)*100/(24*'Input'!$F$58)</f>
        <v>0</v>
      </c>
      <c r="I90" s="38">
        <f>'Multi'!I848*I$11*'LAFs'!I$231*(1-'Contrib'!I$94)*100/(24*'Input'!$F$58)</f>
        <v>0</v>
      </c>
      <c r="J90" s="38">
        <f>'Multi'!J848*J$11*'LAFs'!J$231*(1-'Contrib'!J$94)*100/(24*'Input'!$F$58)</f>
        <v>0</v>
      </c>
      <c r="K90" s="38">
        <f>'Multi'!B848*K$11*'LAFs'!B$231*(1-'Contrib'!K$94)*100/(24*'Input'!$F$58)</f>
        <v>0</v>
      </c>
      <c r="L90" s="38">
        <f>'Multi'!C848*L$11*'LAFs'!C$231*(1-'Contrib'!L$94)*100/(24*'Input'!$F$58)</f>
        <v>0</v>
      </c>
      <c r="M90" s="38">
        <f>'Multi'!D848*M$11*'LAFs'!D$231*(1-'Contrib'!M$94)*100/(24*'Input'!$F$58)</f>
        <v>0</v>
      </c>
      <c r="N90" s="38">
        <f>'Multi'!E848*N$11*'LAFs'!E$231*(1-'Contrib'!N$94)*100/(24*'Input'!$F$58)</f>
        <v>0</v>
      </c>
      <c r="O90" s="38">
        <f>'Multi'!F848*O$11*'LAFs'!F$231*(1-'Contrib'!O$94)*100/(24*'Input'!$F$58)</f>
        <v>0</v>
      </c>
      <c r="P90" s="38">
        <f>'Multi'!G848*P$11*'LAFs'!G$231*(1-'Contrib'!P$94)*100/(24*'Input'!$F$58)</f>
        <v>0</v>
      </c>
      <c r="Q90" s="38">
        <f>'Multi'!H848*Q$11*'LAFs'!H$231*(1-'Contrib'!Q$94)*100/(24*'Input'!$F$58)</f>
        <v>0</v>
      </c>
      <c r="R90" s="38">
        <f>'Multi'!I848*R$11*'LAFs'!I$231*(1-'Contrib'!R$94)*100/(24*'Input'!$F$58)</f>
        <v>0</v>
      </c>
      <c r="S90" s="38">
        <f>'Multi'!J848*S$11*'LAFs'!J$231*(1-'Contrib'!S$94)*100/(24*'Input'!$F$58)</f>
        <v>0</v>
      </c>
      <c r="T90" s="17"/>
    </row>
    <row r="91" spans="1:20">
      <c r="A91" s="4" t="s">
        <v>179</v>
      </c>
      <c r="B91" s="38">
        <f>'Multi'!B849*B$11*'LAFs'!B$232*(1-'Contrib'!B$95)*100/(24*'Input'!$F$58)</f>
        <v>0</v>
      </c>
      <c r="C91" s="38">
        <f>'Multi'!C849*C$11*'LAFs'!C$232*(1-'Contrib'!C$95)*100/(24*'Input'!$F$58)</f>
        <v>0</v>
      </c>
      <c r="D91" s="38">
        <f>'Multi'!D849*D$11*'LAFs'!D$232*(1-'Contrib'!D$95)*100/(24*'Input'!$F$58)</f>
        <v>0</v>
      </c>
      <c r="E91" s="38">
        <f>'Multi'!E849*E$11*'LAFs'!E$232*(1-'Contrib'!E$95)*100/(24*'Input'!$F$58)</f>
        <v>0</v>
      </c>
      <c r="F91" s="38">
        <f>'Multi'!F849*F$11*'LAFs'!F$232*(1-'Contrib'!F$95)*100/(24*'Input'!$F$58)</f>
        <v>0</v>
      </c>
      <c r="G91" s="38">
        <f>'Multi'!G849*G$11*'LAFs'!G$232*(1-'Contrib'!G$95)*100/(24*'Input'!$F$58)</f>
        <v>0</v>
      </c>
      <c r="H91" s="38">
        <f>'Multi'!H849*H$11*'LAFs'!H$232*(1-'Contrib'!H$95)*100/(24*'Input'!$F$58)</f>
        <v>0</v>
      </c>
      <c r="I91" s="38">
        <f>'Multi'!I849*I$11*'LAFs'!I$232*(1-'Contrib'!I$95)*100/(24*'Input'!$F$58)</f>
        <v>0</v>
      </c>
      <c r="J91" s="38">
        <f>'Multi'!J849*J$11*'LAFs'!J$232*(1-'Contrib'!J$95)*100/(24*'Input'!$F$58)</f>
        <v>0</v>
      </c>
      <c r="K91" s="38">
        <f>'Multi'!B849*K$11*'LAFs'!B$232*(1-'Contrib'!K$95)*100/(24*'Input'!$F$58)</f>
        <v>0</v>
      </c>
      <c r="L91" s="38">
        <f>'Multi'!C849*L$11*'LAFs'!C$232*(1-'Contrib'!L$95)*100/(24*'Input'!$F$58)</f>
        <v>0</v>
      </c>
      <c r="M91" s="38">
        <f>'Multi'!D849*M$11*'LAFs'!D$232*(1-'Contrib'!M$95)*100/(24*'Input'!$F$58)</f>
        <v>0</v>
      </c>
      <c r="N91" s="38">
        <f>'Multi'!E849*N$11*'LAFs'!E$232*(1-'Contrib'!N$95)*100/(24*'Input'!$F$58)</f>
        <v>0</v>
      </c>
      <c r="O91" s="38">
        <f>'Multi'!F849*O$11*'LAFs'!F$232*(1-'Contrib'!O$95)*100/(24*'Input'!$F$58)</f>
        <v>0</v>
      </c>
      <c r="P91" s="38">
        <f>'Multi'!G849*P$11*'LAFs'!G$232*(1-'Contrib'!P$95)*100/(24*'Input'!$F$58)</f>
        <v>0</v>
      </c>
      <c r="Q91" s="38">
        <f>'Multi'!H849*Q$11*'LAFs'!H$232*(1-'Contrib'!Q$95)*100/(24*'Input'!$F$58)</f>
        <v>0</v>
      </c>
      <c r="R91" s="38">
        <f>'Multi'!I849*R$11*'LAFs'!I$232*(1-'Contrib'!R$95)*100/(24*'Input'!$F$58)</f>
        <v>0</v>
      </c>
      <c r="S91" s="38">
        <f>'Multi'!J849*S$11*'LAFs'!J$232*(1-'Contrib'!S$95)*100/(24*'Input'!$F$58)</f>
        <v>0</v>
      </c>
      <c r="T91" s="17"/>
    </row>
    <row r="92" spans="1:20">
      <c r="A92" s="4" t="s">
        <v>180</v>
      </c>
      <c r="B92" s="38">
        <f>'Multi'!B850*B$11*'LAFs'!B$233*(1-'Contrib'!B$96)*100/(24*'Input'!$F$58)</f>
        <v>0</v>
      </c>
      <c r="C92" s="38">
        <f>'Multi'!C850*C$11*'LAFs'!C$233*(1-'Contrib'!C$96)*100/(24*'Input'!$F$58)</f>
        <v>0</v>
      </c>
      <c r="D92" s="38">
        <f>'Multi'!D850*D$11*'LAFs'!D$233*(1-'Contrib'!D$96)*100/(24*'Input'!$F$58)</f>
        <v>0</v>
      </c>
      <c r="E92" s="38">
        <f>'Multi'!E850*E$11*'LAFs'!E$233*(1-'Contrib'!E$96)*100/(24*'Input'!$F$58)</f>
        <v>0</v>
      </c>
      <c r="F92" s="38">
        <f>'Multi'!F850*F$11*'LAFs'!F$233*(1-'Contrib'!F$96)*100/(24*'Input'!$F$58)</f>
        <v>0</v>
      </c>
      <c r="G92" s="38">
        <f>'Multi'!G850*G$11*'LAFs'!G$233*(1-'Contrib'!G$96)*100/(24*'Input'!$F$58)</f>
        <v>0</v>
      </c>
      <c r="H92" s="38">
        <f>'Multi'!H850*H$11*'LAFs'!H$233*(1-'Contrib'!H$96)*100/(24*'Input'!$F$58)</f>
        <v>0</v>
      </c>
      <c r="I92" s="38">
        <f>'Multi'!I850*I$11*'LAFs'!I$233*(1-'Contrib'!I$96)*100/(24*'Input'!$F$58)</f>
        <v>0</v>
      </c>
      <c r="J92" s="38">
        <f>'Multi'!J850*J$11*'LAFs'!J$233*(1-'Contrib'!J$96)*100/(24*'Input'!$F$58)</f>
        <v>0</v>
      </c>
      <c r="K92" s="38">
        <f>'Multi'!B850*K$11*'LAFs'!B$233*(1-'Contrib'!K$96)*100/(24*'Input'!$F$58)</f>
        <v>0</v>
      </c>
      <c r="L92" s="38">
        <f>'Multi'!C850*L$11*'LAFs'!C$233*(1-'Contrib'!L$96)*100/(24*'Input'!$F$58)</f>
        <v>0</v>
      </c>
      <c r="M92" s="38">
        <f>'Multi'!D850*M$11*'LAFs'!D$233*(1-'Contrib'!M$96)*100/(24*'Input'!$F$58)</f>
        <v>0</v>
      </c>
      <c r="N92" s="38">
        <f>'Multi'!E850*N$11*'LAFs'!E$233*(1-'Contrib'!N$96)*100/(24*'Input'!$F$58)</f>
        <v>0</v>
      </c>
      <c r="O92" s="38">
        <f>'Multi'!F850*O$11*'LAFs'!F$233*(1-'Contrib'!O$96)*100/(24*'Input'!$F$58)</f>
        <v>0</v>
      </c>
      <c r="P92" s="38">
        <f>'Multi'!G850*P$11*'LAFs'!G$233*(1-'Contrib'!P$96)*100/(24*'Input'!$F$58)</f>
        <v>0</v>
      </c>
      <c r="Q92" s="38">
        <f>'Multi'!H850*Q$11*'LAFs'!H$233*(1-'Contrib'!Q$96)*100/(24*'Input'!$F$58)</f>
        <v>0</v>
      </c>
      <c r="R92" s="38">
        <f>'Multi'!I850*R$11*'LAFs'!I$233*(1-'Contrib'!R$96)*100/(24*'Input'!$F$58)</f>
        <v>0</v>
      </c>
      <c r="S92" s="38">
        <f>'Multi'!J850*S$11*'LAFs'!J$233*(1-'Contrib'!S$96)*100/(24*'Input'!$F$58)</f>
        <v>0</v>
      </c>
      <c r="T92" s="17"/>
    </row>
    <row r="93" spans="1:20">
      <c r="A93" s="4" t="s">
        <v>181</v>
      </c>
      <c r="B93" s="38">
        <f>'Multi'!B851*B$11*'LAFs'!B$234*(1-'Contrib'!B$97)*100/(24*'Input'!$F$58)</f>
        <v>0</v>
      </c>
      <c r="C93" s="38">
        <f>'Multi'!C851*C$11*'LAFs'!C$234*(1-'Contrib'!C$97)*100/(24*'Input'!$F$58)</f>
        <v>0</v>
      </c>
      <c r="D93" s="38">
        <f>'Multi'!D851*D$11*'LAFs'!D$234*(1-'Contrib'!D$97)*100/(24*'Input'!$F$58)</f>
        <v>0</v>
      </c>
      <c r="E93" s="38">
        <f>'Multi'!E851*E$11*'LAFs'!E$234*(1-'Contrib'!E$97)*100/(24*'Input'!$F$58)</f>
        <v>0</v>
      </c>
      <c r="F93" s="38">
        <f>'Multi'!F851*F$11*'LAFs'!F$234*(1-'Contrib'!F$97)*100/(24*'Input'!$F$58)</f>
        <v>0</v>
      </c>
      <c r="G93" s="38">
        <f>'Multi'!G851*G$11*'LAFs'!G$234*(1-'Contrib'!G$97)*100/(24*'Input'!$F$58)</f>
        <v>0</v>
      </c>
      <c r="H93" s="38">
        <f>'Multi'!H851*H$11*'LAFs'!H$234*(1-'Contrib'!H$97)*100/(24*'Input'!$F$58)</f>
        <v>0</v>
      </c>
      <c r="I93" s="38">
        <f>'Multi'!I851*I$11*'LAFs'!I$234*(1-'Contrib'!I$97)*100/(24*'Input'!$F$58)</f>
        <v>0</v>
      </c>
      <c r="J93" s="38">
        <f>'Multi'!J851*J$11*'LAFs'!J$234*(1-'Contrib'!J$97)*100/(24*'Input'!$F$58)</f>
        <v>0</v>
      </c>
      <c r="K93" s="38">
        <f>'Multi'!B851*K$11*'LAFs'!B$234*(1-'Contrib'!K$97)*100/(24*'Input'!$F$58)</f>
        <v>0</v>
      </c>
      <c r="L93" s="38">
        <f>'Multi'!C851*L$11*'LAFs'!C$234*(1-'Contrib'!L$97)*100/(24*'Input'!$F$58)</f>
        <v>0</v>
      </c>
      <c r="M93" s="38">
        <f>'Multi'!D851*M$11*'LAFs'!D$234*(1-'Contrib'!M$97)*100/(24*'Input'!$F$58)</f>
        <v>0</v>
      </c>
      <c r="N93" s="38">
        <f>'Multi'!E851*N$11*'LAFs'!E$234*(1-'Contrib'!N$97)*100/(24*'Input'!$F$58)</f>
        <v>0</v>
      </c>
      <c r="O93" s="38">
        <f>'Multi'!F851*O$11*'LAFs'!F$234*(1-'Contrib'!O$97)*100/(24*'Input'!$F$58)</f>
        <v>0</v>
      </c>
      <c r="P93" s="38">
        <f>'Multi'!G851*P$11*'LAFs'!G$234*(1-'Contrib'!P$97)*100/(24*'Input'!$F$58)</f>
        <v>0</v>
      </c>
      <c r="Q93" s="38">
        <f>'Multi'!H851*Q$11*'LAFs'!H$234*(1-'Contrib'!Q$97)*100/(24*'Input'!$F$58)</f>
        <v>0</v>
      </c>
      <c r="R93" s="38">
        <f>'Multi'!I851*R$11*'LAFs'!I$234*(1-'Contrib'!R$97)*100/(24*'Input'!$F$58)</f>
        <v>0</v>
      </c>
      <c r="S93" s="38">
        <f>'Multi'!J851*S$11*'LAFs'!J$234*(1-'Contrib'!S$97)*100/(24*'Input'!$F$58)</f>
        <v>0</v>
      </c>
      <c r="T93" s="17"/>
    </row>
    <row r="94" spans="1:20">
      <c r="A94" s="4" t="s">
        <v>193</v>
      </c>
      <c r="B94" s="38">
        <f>'Multi'!B852*B$11*'LAFs'!B$235*(1-'Contrib'!B$98)*100/(24*'Input'!$F$58)</f>
        <v>0</v>
      </c>
      <c r="C94" s="38">
        <f>'Multi'!C852*C$11*'LAFs'!C$235*(1-'Contrib'!C$98)*100/(24*'Input'!$F$58)</f>
        <v>0</v>
      </c>
      <c r="D94" s="38">
        <f>'Multi'!D852*D$11*'LAFs'!D$235*(1-'Contrib'!D$98)*100/(24*'Input'!$F$58)</f>
        <v>0</v>
      </c>
      <c r="E94" s="38">
        <f>'Multi'!E852*E$11*'LAFs'!E$235*(1-'Contrib'!E$98)*100/(24*'Input'!$F$58)</f>
        <v>0</v>
      </c>
      <c r="F94" s="38">
        <f>'Multi'!F852*F$11*'LAFs'!F$235*(1-'Contrib'!F$98)*100/(24*'Input'!$F$58)</f>
        <v>0</v>
      </c>
      <c r="G94" s="38">
        <f>'Multi'!G852*G$11*'LAFs'!G$235*(1-'Contrib'!G$98)*100/(24*'Input'!$F$58)</f>
        <v>0</v>
      </c>
      <c r="H94" s="38">
        <f>'Multi'!H852*H$11*'LAFs'!H$235*(1-'Contrib'!H$98)*100/(24*'Input'!$F$58)</f>
        <v>0</v>
      </c>
      <c r="I94" s="38">
        <f>'Multi'!I852*I$11*'LAFs'!I$235*(1-'Contrib'!I$98)*100/(24*'Input'!$F$58)</f>
        <v>0</v>
      </c>
      <c r="J94" s="38">
        <f>'Multi'!J852*J$11*'LAFs'!J$235*(1-'Contrib'!J$98)*100/(24*'Input'!$F$58)</f>
        <v>0</v>
      </c>
      <c r="K94" s="38">
        <f>'Multi'!B852*K$11*'LAFs'!B$235*(1-'Contrib'!K$98)*100/(24*'Input'!$F$58)</f>
        <v>0</v>
      </c>
      <c r="L94" s="38">
        <f>'Multi'!C852*L$11*'LAFs'!C$235*(1-'Contrib'!L$98)*100/(24*'Input'!$F$58)</f>
        <v>0</v>
      </c>
      <c r="M94" s="38">
        <f>'Multi'!D852*M$11*'LAFs'!D$235*(1-'Contrib'!M$98)*100/(24*'Input'!$F$58)</f>
        <v>0</v>
      </c>
      <c r="N94" s="38">
        <f>'Multi'!E852*N$11*'LAFs'!E$235*(1-'Contrib'!N$98)*100/(24*'Input'!$F$58)</f>
        <v>0</v>
      </c>
      <c r="O94" s="38">
        <f>'Multi'!F852*O$11*'LAFs'!F$235*(1-'Contrib'!O$98)*100/(24*'Input'!$F$58)</f>
        <v>0</v>
      </c>
      <c r="P94" s="38">
        <f>'Multi'!G852*P$11*'LAFs'!G$235*(1-'Contrib'!P$98)*100/(24*'Input'!$F$58)</f>
        <v>0</v>
      </c>
      <c r="Q94" s="38">
        <f>'Multi'!H852*Q$11*'LAFs'!H$235*(1-'Contrib'!Q$98)*100/(24*'Input'!$F$58)</f>
        <v>0</v>
      </c>
      <c r="R94" s="38">
        <f>'Multi'!I852*R$11*'LAFs'!I$235*(1-'Contrib'!R$98)*100/(24*'Input'!$F$58)</f>
        <v>0</v>
      </c>
      <c r="S94" s="38">
        <f>'Multi'!J852*S$11*'LAFs'!J$235*(1-'Contrib'!S$98)*100/(24*'Input'!$F$58)</f>
        <v>0</v>
      </c>
      <c r="T94" s="17"/>
    </row>
    <row r="95" spans="1:20">
      <c r="A95" s="4" t="s">
        <v>217</v>
      </c>
      <c r="B95" s="38">
        <f>'Multi'!B853*B$11*'LAFs'!B$240*(1-'Contrib'!B$103)*100/(24*'Input'!$F$58)</f>
        <v>0</v>
      </c>
      <c r="C95" s="38">
        <f>'Multi'!C853*C$11*'LAFs'!C$240*(1-'Contrib'!C$103)*100/(24*'Input'!$F$58)</f>
        <v>0</v>
      </c>
      <c r="D95" s="38">
        <f>'Multi'!D853*D$11*'LAFs'!D$240*(1-'Contrib'!D$103)*100/(24*'Input'!$F$58)</f>
        <v>0</v>
      </c>
      <c r="E95" s="38">
        <f>'Multi'!E853*E$11*'LAFs'!E$240*(1-'Contrib'!E$103)*100/(24*'Input'!$F$58)</f>
        <v>0</v>
      </c>
      <c r="F95" s="38">
        <f>'Multi'!F853*F$11*'LAFs'!F$240*(1-'Contrib'!F$103)*100/(24*'Input'!$F$58)</f>
        <v>0</v>
      </c>
      <c r="G95" s="38">
        <f>'Multi'!G853*G$11*'LAFs'!G$240*(1-'Contrib'!G$103)*100/(24*'Input'!$F$58)</f>
        <v>0</v>
      </c>
      <c r="H95" s="38">
        <f>'Multi'!H853*H$11*'LAFs'!H$240*(1-'Contrib'!H$103)*100/(24*'Input'!$F$58)</f>
        <v>0</v>
      </c>
      <c r="I95" s="38">
        <f>'Multi'!I853*I$11*'LAFs'!I$240*(1-'Contrib'!I$103)*100/(24*'Input'!$F$58)</f>
        <v>0</v>
      </c>
      <c r="J95" s="38">
        <f>'Multi'!J853*J$11*'LAFs'!J$240*(1-'Contrib'!J$103)*100/(24*'Input'!$F$58)</f>
        <v>0</v>
      </c>
      <c r="K95" s="38">
        <f>'Multi'!B853*K$11*'LAFs'!B$240*(1-'Contrib'!K$103)*100/(24*'Input'!$F$58)</f>
        <v>0</v>
      </c>
      <c r="L95" s="38">
        <f>'Multi'!C853*L$11*'LAFs'!C$240*(1-'Contrib'!L$103)*100/(24*'Input'!$F$58)</f>
        <v>0</v>
      </c>
      <c r="M95" s="38">
        <f>'Multi'!D853*M$11*'LAFs'!D$240*(1-'Contrib'!M$103)*100/(24*'Input'!$F$58)</f>
        <v>0</v>
      </c>
      <c r="N95" s="38">
        <f>'Multi'!E853*N$11*'LAFs'!E$240*(1-'Contrib'!N$103)*100/(24*'Input'!$F$58)</f>
        <v>0</v>
      </c>
      <c r="O95" s="38">
        <f>'Multi'!F853*O$11*'LAFs'!F$240*(1-'Contrib'!O$103)*100/(24*'Input'!$F$58)</f>
        <v>0</v>
      </c>
      <c r="P95" s="38">
        <f>'Multi'!G853*P$11*'LAFs'!G$240*(1-'Contrib'!P$103)*100/(24*'Input'!$F$58)</f>
        <v>0</v>
      </c>
      <c r="Q95" s="38">
        <f>'Multi'!H853*Q$11*'LAFs'!H$240*(1-'Contrib'!Q$103)*100/(24*'Input'!$F$58)</f>
        <v>0</v>
      </c>
      <c r="R95" s="38">
        <f>'Multi'!I853*R$11*'LAFs'!I$240*(1-'Contrib'!R$103)*100/(24*'Input'!$F$58)</f>
        <v>0</v>
      </c>
      <c r="S95" s="38">
        <f>'Multi'!J853*S$11*'LAFs'!J$240*(1-'Contrib'!S$103)*100/(24*'Input'!$F$58)</f>
        <v>0</v>
      </c>
      <c r="T95" s="17"/>
    </row>
    <row r="96" spans="1:20">
      <c r="A96" s="4" t="s">
        <v>185</v>
      </c>
      <c r="B96" s="38">
        <f>'Multi'!B854*B$11*'LAFs'!B$244*(1-'Contrib'!B$107)*100/(24*'Input'!$F$58)</f>
        <v>0</v>
      </c>
      <c r="C96" s="38">
        <f>'Multi'!C854*C$11*'LAFs'!C$244*(1-'Contrib'!C$107)*100/(24*'Input'!$F$58)</f>
        <v>0</v>
      </c>
      <c r="D96" s="38">
        <f>'Multi'!D854*D$11*'LAFs'!D$244*(1-'Contrib'!D$107)*100/(24*'Input'!$F$58)</f>
        <v>0</v>
      </c>
      <c r="E96" s="38">
        <f>'Multi'!E854*E$11*'LAFs'!E$244*(1-'Contrib'!E$107)*100/(24*'Input'!$F$58)</f>
        <v>0</v>
      </c>
      <c r="F96" s="38">
        <f>'Multi'!F854*F$11*'LAFs'!F$244*(1-'Contrib'!F$107)*100/(24*'Input'!$F$58)</f>
        <v>0</v>
      </c>
      <c r="G96" s="38">
        <f>'Multi'!G854*G$11*'LAFs'!G$244*(1-'Contrib'!G$107)*100/(24*'Input'!$F$58)</f>
        <v>0</v>
      </c>
      <c r="H96" s="38">
        <f>'Multi'!H854*H$11*'LAFs'!H$244*(1-'Contrib'!H$107)*100/(24*'Input'!$F$58)</f>
        <v>0</v>
      </c>
      <c r="I96" s="38">
        <f>'Multi'!I854*I$11*'LAFs'!I$244*(1-'Contrib'!I$107)*100/(24*'Input'!$F$58)</f>
        <v>0</v>
      </c>
      <c r="J96" s="38">
        <f>'Multi'!J854*J$11*'LAFs'!J$244*(1-'Contrib'!J$107)*100/(24*'Input'!$F$58)</f>
        <v>0</v>
      </c>
      <c r="K96" s="38">
        <f>'Multi'!B854*K$11*'LAFs'!B$244*(1-'Contrib'!K$107)*100/(24*'Input'!$F$58)</f>
        <v>0</v>
      </c>
      <c r="L96" s="38">
        <f>'Multi'!C854*L$11*'LAFs'!C$244*(1-'Contrib'!L$107)*100/(24*'Input'!$F$58)</f>
        <v>0</v>
      </c>
      <c r="M96" s="38">
        <f>'Multi'!D854*M$11*'LAFs'!D$244*(1-'Contrib'!M$107)*100/(24*'Input'!$F$58)</f>
        <v>0</v>
      </c>
      <c r="N96" s="38">
        <f>'Multi'!E854*N$11*'LAFs'!E$244*(1-'Contrib'!N$107)*100/(24*'Input'!$F$58)</f>
        <v>0</v>
      </c>
      <c r="O96" s="38">
        <f>'Multi'!F854*O$11*'LAFs'!F$244*(1-'Contrib'!O$107)*100/(24*'Input'!$F$58)</f>
        <v>0</v>
      </c>
      <c r="P96" s="38">
        <f>'Multi'!G854*P$11*'LAFs'!G$244*(1-'Contrib'!P$107)*100/(24*'Input'!$F$58)</f>
        <v>0</v>
      </c>
      <c r="Q96" s="38">
        <f>'Multi'!H854*Q$11*'LAFs'!H$244*(1-'Contrib'!Q$107)*100/(24*'Input'!$F$58)</f>
        <v>0</v>
      </c>
      <c r="R96" s="38">
        <f>'Multi'!I854*R$11*'LAFs'!I$244*(1-'Contrib'!R$107)*100/(24*'Input'!$F$58)</f>
        <v>0</v>
      </c>
      <c r="S96" s="38">
        <f>'Multi'!J854*S$11*'LAFs'!J$244*(1-'Contrib'!S$107)*100/(24*'Input'!$F$58)</f>
        <v>0</v>
      </c>
      <c r="T96" s="17"/>
    </row>
    <row r="97" spans="1:20">
      <c r="A97" s="4" t="s">
        <v>187</v>
      </c>
      <c r="B97" s="38">
        <f>'Multi'!B855*B$11*'LAFs'!B$246*(1-'Contrib'!B$109)*100/(24*'Input'!$F$58)</f>
        <v>0</v>
      </c>
      <c r="C97" s="38">
        <f>'Multi'!C855*C$11*'LAFs'!C$246*(1-'Contrib'!C$109)*100/(24*'Input'!$F$58)</f>
        <v>0</v>
      </c>
      <c r="D97" s="38">
        <f>'Multi'!D855*D$11*'LAFs'!D$246*(1-'Contrib'!D$109)*100/(24*'Input'!$F$58)</f>
        <v>0</v>
      </c>
      <c r="E97" s="38">
        <f>'Multi'!E855*E$11*'LAFs'!E$246*(1-'Contrib'!E$109)*100/(24*'Input'!$F$58)</f>
        <v>0</v>
      </c>
      <c r="F97" s="38">
        <f>'Multi'!F855*F$11*'LAFs'!F$246*(1-'Contrib'!F$109)*100/(24*'Input'!$F$58)</f>
        <v>0</v>
      </c>
      <c r="G97" s="38">
        <f>'Multi'!G855*G$11*'LAFs'!G$246*(1-'Contrib'!G$109)*100/(24*'Input'!$F$58)</f>
        <v>0</v>
      </c>
      <c r="H97" s="38">
        <f>'Multi'!H855*H$11*'LAFs'!H$246*(1-'Contrib'!H$109)*100/(24*'Input'!$F$58)</f>
        <v>0</v>
      </c>
      <c r="I97" s="38">
        <f>'Multi'!I855*I$11*'LAFs'!I$246*(1-'Contrib'!I$109)*100/(24*'Input'!$F$58)</f>
        <v>0</v>
      </c>
      <c r="J97" s="38">
        <f>'Multi'!J855*J$11*'LAFs'!J$246*(1-'Contrib'!J$109)*100/(24*'Input'!$F$58)</f>
        <v>0</v>
      </c>
      <c r="K97" s="38">
        <f>'Multi'!B855*K$11*'LAFs'!B$246*(1-'Contrib'!K$109)*100/(24*'Input'!$F$58)</f>
        <v>0</v>
      </c>
      <c r="L97" s="38">
        <f>'Multi'!C855*L$11*'LAFs'!C$246*(1-'Contrib'!L$109)*100/(24*'Input'!$F$58)</f>
        <v>0</v>
      </c>
      <c r="M97" s="38">
        <f>'Multi'!D855*M$11*'LAFs'!D$246*(1-'Contrib'!M$109)*100/(24*'Input'!$F$58)</f>
        <v>0</v>
      </c>
      <c r="N97" s="38">
        <f>'Multi'!E855*N$11*'LAFs'!E$246*(1-'Contrib'!N$109)*100/(24*'Input'!$F$58)</f>
        <v>0</v>
      </c>
      <c r="O97" s="38">
        <f>'Multi'!F855*O$11*'LAFs'!F$246*(1-'Contrib'!O$109)*100/(24*'Input'!$F$58)</f>
        <v>0</v>
      </c>
      <c r="P97" s="38">
        <f>'Multi'!G855*P$11*'LAFs'!G$246*(1-'Contrib'!P$109)*100/(24*'Input'!$F$58)</f>
        <v>0</v>
      </c>
      <c r="Q97" s="38">
        <f>'Multi'!H855*Q$11*'LAFs'!H$246*(1-'Contrib'!Q$109)*100/(24*'Input'!$F$58)</f>
        <v>0</v>
      </c>
      <c r="R97" s="38">
        <f>'Multi'!I855*R$11*'LAFs'!I$246*(1-'Contrib'!R$109)*100/(24*'Input'!$F$58)</f>
        <v>0</v>
      </c>
      <c r="S97" s="38">
        <f>'Multi'!J855*S$11*'LAFs'!J$246*(1-'Contrib'!S$109)*100/(24*'Input'!$F$58)</f>
        <v>0</v>
      </c>
      <c r="T97" s="17"/>
    </row>
    <row r="98" spans="1:20">
      <c r="A98" s="4" t="s">
        <v>195</v>
      </c>
      <c r="B98" s="38">
        <f>'Multi'!B856*B$11*'LAFs'!B$248*(1-'Contrib'!B$111)*100/(24*'Input'!$F$58)</f>
        <v>0</v>
      </c>
      <c r="C98" s="38">
        <f>'Multi'!C856*C$11*'LAFs'!C$248*(1-'Contrib'!C$111)*100/(24*'Input'!$F$58)</f>
        <v>0</v>
      </c>
      <c r="D98" s="38">
        <f>'Multi'!D856*D$11*'LAFs'!D$248*(1-'Contrib'!D$111)*100/(24*'Input'!$F$58)</f>
        <v>0</v>
      </c>
      <c r="E98" s="38">
        <f>'Multi'!E856*E$11*'LAFs'!E$248*(1-'Contrib'!E$111)*100/(24*'Input'!$F$58)</f>
        <v>0</v>
      </c>
      <c r="F98" s="38">
        <f>'Multi'!F856*F$11*'LAFs'!F$248*(1-'Contrib'!F$111)*100/(24*'Input'!$F$58)</f>
        <v>0</v>
      </c>
      <c r="G98" s="38">
        <f>'Multi'!G856*G$11*'LAFs'!G$248*(1-'Contrib'!G$111)*100/(24*'Input'!$F$58)</f>
        <v>0</v>
      </c>
      <c r="H98" s="38">
        <f>'Multi'!H856*H$11*'LAFs'!H$248*(1-'Contrib'!H$111)*100/(24*'Input'!$F$58)</f>
        <v>0</v>
      </c>
      <c r="I98" s="38">
        <f>'Multi'!I856*I$11*'LAFs'!I$248*(1-'Contrib'!I$111)*100/(24*'Input'!$F$58)</f>
        <v>0</v>
      </c>
      <c r="J98" s="38">
        <f>'Multi'!J856*J$11*'LAFs'!J$248*(1-'Contrib'!J$111)*100/(24*'Input'!$F$58)</f>
        <v>0</v>
      </c>
      <c r="K98" s="38">
        <f>'Multi'!B856*K$11*'LAFs'!B$248*(1-'Contrib'!K$111)*100/(24*'Input'!$F$58)</f>
        <v>0</v>
      </c>
      <c r="L98" s="38">
        <f>'Multi'!C856*L$11*'LAFs'!C$248*(1-'Contrib'!L$111)*100/(24*'Input'!$F$58)</f>
        <v>0</v>
      </c>
      <c r="M98" s="38">
        <f>'Multi'!D856*M$11*'LAFs'!D$248*(1-'Contrib'!M$111)*100/(24*'Input'!$F$58)</f>
        <v>0</v>
      </c>
      <c r="N98" s="38">
        <f>'Multi'!E856*N$11*'LAFs'!E$248*(1-'Contrib'!N$111)*100/(24*'Input'!$F$58)</f>
        <v>0</v>
      </c>
      <c r="O98" s="38">
        <f>'Multi'!F856*O$11*'LAFs'!F$248*(1-'Contrib'!O$111)*100/(24*'Input'!$F$58)</f>
        <v>0</v>
      </c>
      <c r="P98" s="38">
        <f>'Multi'!G856*P$11*'LAFs'!G$248*(1-'Contrib'!P$111)*100/(24*'Input'!$F$58)</f>
        <v>0</v>
      </c>
      <c r="Q98" s="38">
        <f>'Multi'!H856*Q$11*'LAFs'!H$248*(1-'Contrib'!Q$111)*100/(24*'Input'!$F$58)</f>
        <v>0</v>
      </c>
      <c r="R98" s="38">
        <f>'Multi'!I856*R$11*'LAFs'!I$248*(1-'Contrib'!R$111)*100/(24*'Input'!$F$58)</f>
        <v>0</v>
      </c>
      <c r="S98" s="38">
        <f>'Multi'!J856*S$11*'LAFs'!J$248*(1-'Contrib'!S$111)*100/(24*'Input'!$F$58)</f>
        <v>0</v>
      </c>
      <c r="T98" s="17"/>
    </row>
    <row r="100" spans="1:20" ht="21" customHeight="1">
      <c r="A100" s="1" t="s">
        <v>981</v>
      </c>
    </row>
    <row r="101" spans="1:20">
      <c r="A101" s="2" t="s">
        <v>351</v>
      </c>
    </row>
    <row r="102" spans="1:20">
      <c r="A102" s="33" t="s">
        <v>982</v>
      </c>
    </row>
    <row r="103" spans="1:20">
      <c r="A103" s="33" t="s">
        <v>977</v>
      </c>
    </row>
    <row r="104" spans="1:20">
      <c r="A104" s="33" t="s">
        <v>798</v>
      </c>
    </row>
    <row r="105" spans="1:20">
      <c r="A105" s="33" t="s">
        <v>973</v>
      </c>
    </row>
    <row r="106" spans="1:20">
      <c r="A106" s="33" t="s">
        <v>741</v>
      </c>
    </row>
    <row r="107" spans="1:20">
      <c r="A107" s="2" t="s">
        <v>978</v>
      </c>
    </row>
    <row r="109" spans="1:20">
      <c r="B109" s="15" t="s">
        <v>142</v>
      </c>
      <c r="C109" s="15" t="s">
        <v>306</v>
      </c>
      <c r="D109" s="15" t="s">
        <v>307</v>
      </c>
      <c r="E109" s="15" t="s">
        <v>308</v>
      </c>
      <c r="F109" s="15" t="s">
        <v>309</v>
      </c>
      <c r="G109" s="15" t="s">
        <v>310</v>
      </c>
      <c r="H109" s="15" t="s">
        <v>311</v>
      </c>
      <c r="I109" s="15" t="s">
        <v>312</v>
      </c>
      <c r="J109" s="15" t="s">
        <v>313</v>
      </c>
      <c r="K109" s="15" t="s">
        <v>294</v>
      </c>
      <c r="L109" s="15" t="s">
        <v>877</v>
      </c>
      <c r="M109" s="15" t="s">
        <v>878</v>
      </c>
      <c r="N109" s="15" t="s">
        <v>879</v>
      </c>
      <c r="O109" s="15" t="s">
        <v>880</v>
      </c>
      <c r="P109" s="15" t="s">
        <v>881</v>
      </c>
      <c r="Q109" s="15" t="s">
        <v>882</v>
      </c>
      <c r="R109" s="15" t="s">
        <v>883</v>
      </c>
      <c r="S109" s="15" t="s">
        <v>884</v>
      </c>
    </row>
    <row r="110" spans="1:20">
      <c r="A110" s="4" t="s">
        <v>178</v>
      </c>
      <c r="B110" s="38">
        <f>'Multi'!B865*B$11*'LAFs'!B$231*(1-'Contrib'!B$94)*100/(24*'Input'!$F$58)</f>
        <v>0</v>
      </c>
      <c r="C110" s="38">
        <f>'Multi'!C865*C$11*'LAFs'!C$231*(1-'Contrib'!C$94)*100/(24*'Input'!$F$58)</f>
        <v>0</v>
      </c>
      <c r="D110" s="38">
        <f>'Multi'!D865*D$11*'LAFs'!D$231*(1-'Contrib'!D$94)*100/(24*'Input'!$F$58)</f>
        <v>0</v>
      </c>
      <c r="E110" s="38">
        <f>'Multi'!E865*E$11*'LAFs'!E$231*(1-'Contrib'!E$94)*100/(24*'Input'!$F$58)</f>
        <v>0</v>
      </c>
      <c r="F110" s="38">
        <f>'Multi'!F865*F$11*'LAFs'!F$231*(1-'Contrib'!F$94)*100/(24*'Input'!$F$58)</f>
        <v>0</v>
      </c>
      <c r="G110" s="38">
        <f>'Multi'!G865*G$11*'LAFs'!G$231*(1-'Contrib'!G$94)*100/(24*'Input'!$F$58)</f>
        <v>0</v>
      </c>
      <c r="H110" s="38">
        <f>'Multi'!H865*H$11*'LAFs'!H$231*(1-'Contrib'!H$94)*100/(24*'Input'!$F$58)</f>
        <v>0</v>
      </c>
      <c r="I110" s="38">
        <f>'Multi'!I865*I$11*'LAFs'!I$231*(1-'Contrib'!I$94)*100/(24*'Input'!$F$58)</f>
        <v>0</v>
      </c>
      <c r="J110" s="38">
        <f>'Multi'!J865*J$11*'LAFs'!J$231*(1-'Contrib'!J$94)*100/(24*'Input'!$F$58)</f>
        <v>0</v>
      </c>
      <c r="K110" s="38">
        <f>'Multi'!B865*K$11*'LAFs'!B$231*(1-'Contrib'!K$94)*100/(24*'Input'!$F$58)</f>
        <v>0</v>
      </c>
      <c r="L110" s="38">
        <f>'Multi'!C865*L$11*'LAFs'!C$231*(1-'Contrib'!L$94)*100/(24*'Input'!$F$58)</f>
        <v>0</v>
      </c>
      <c r="M110" s="38">
        <f>'Multi'!D865*M$11*'LAFs'!D$231*(1-'Contrib'!M$94)*100/(24*'Input'!$F$58)</f>
        <v>0</v>
      </c>
      <c r="N110" s="38">
        <f>'Multi'!E865*N$11*'LAFs'!E$231*(1-'Contrib'!N$94)*100/(24*'Input'!$F$58)</f>
        <v>0</v>
      </c>
      <c r="O110" s="38">
        <f>'Multi'!F865*O$11*'LAFs'!F$231*(1-'Contrib'!O$94)*100/(24*'Input'!$F$58)</f>
        <v>0</v>
      </c>
      <c r="P110" s="38">
        <f>'Multi'!G865*P$11*'LAFs'!G$231*(1-'Contrib'!P$94)*100/(24*'Input'!$F$58)</f>
        <v>0</v>
      </c>
      <c r="Q110" s="38">
        <f>'Multi'!H865*Q$11*'LAFs'!H$231*(1-'Contrib'!Q$94)*100/(24*'Input'!$F$58)</f>
        <v>0</v>
      </c>
      <c r="R110" s="38">
        <f>'Multi'!I865*R$11*'LAFs'!I$231*(1-'Contrib'!R$94)*100/(24*'Input'!$F$58)</f>
        <v>0</v>
      </c>
      <c r="S110" s="38">
        <f>'Multi'!J865*S$11*'LAFs'!J$231*(1-'Contrib'!S$94)*100/(24*'Input'!$F$58)</f>
        <v>0</v>
      </c>
      <c r="T110" s="17"/>
    </row>
    <row r="111" spans="1:20">
      <c r="A111" s="4" t="s">
        <v>179</v>
      </c>
      <c r="B111" s="38">
        <f>'Multi'!B866*B$11*'LAFs'!B$232*(1-'Contrib'!B$95)*100/(24*'Input'!$F$58)</f>
        <v>0</v>
      </c>
      <c r="C111" s="38">
        <f>'Multi'!C866*C$11*'LAFs'!C$232*(1-'Contrib'!C$95)*100/(24*'Input'!$F$58)</f>
        <v>0</v>
      </c>
      <c r="D111" s="38">
        <f>'Multi'!D866*D$11*'LAFs'!D$232*(1-'Contrib'!D$95)*100/(24*'Input'!$F$58)</f>
        <v>0</v>
      </c>
      <c r="E111" s="38">
        <f>'Multi'!E866*E$11*'LAFs'!E$232*(1-'Contrib'!E$95)*100/(24*'Input'!$F$58)</f>
        <v>0</v>
      </c>
      <c r="F111" s="38">
        <f>'Multi'!F866*F$11*'LAFs'!F$232*(1-'Contrib'!F$95)*100/(24*'Input'!$F$58)</f>
        <v>0</v>
      </c>
      <c r="G111" s="38">
        <f>'Multi'!G866*G$11*'LAFs'!G$232*(1-'Contrib'!G$95)*100/(24*'Input'!$F$58)</f>
        <v>0</v>
      </c>
      <c r="H111" s="38">
        <f>'Multi'!H866*H$11*'LAFs'!H$232*(1-'Contrib'!H$95)*100/(24*'Input'!$F$58)</f>
        <v>0</v>
      </c>
      <c r="I111" s="38">
        <f>'Multi'!I866*I$11*'LAFs'!I$232*(1-'Contrib'!I$95)*100/(24*'Input'!$F$58)</f>
        <v>0</v>
      </c>
      <c r="J111" s="38">
        <f>'Multi'!J866*J$11*'LAFs'!J$232*(1-'Contrib'!J$95)*100/(24*'Input'!$F$58)</f>
        <v>0</v>
      </c>
      <c r="K111" s="38">
        <f>'Multi'!B866*K$11*'LAFs'!B$232*(1-'Contrib'!K$95)*100/(24*'Input'!$F$58)</f>
        <v>0</v>
      </c>
      <c r="L111" s="38">
        <f>'Multi'!C866*L$11*'LAFs'!C$232*(1-'Contrib'!L$95)*100/(24*'Input'!$F$58)</f>
        <v>0</v>
      </c>
      <c r="M111" s="38">
        <f>'Multi'!D866*M$11*'LAFs'!D$232*(1-'Contrib'!M$95)*100/(24*'Input'!$F$58)</f>
        <v>0</v>
      </c>
      <c r="N111" s="38">
        <f>'Multi'!E866*N$11*'LAFs'!E$232*(1-'Contrib'!N$95)*100/(24*'Input'!$F$58)</f>
        <v>0</v>
      </c>
      <c r="O111" s="38">
        <f>'Multi'!F866*O$11*'LAFs'!F$232*(1-'Contrib'!O$95)*100/(24*'Input'!$F$58)</f>
        <v>0</v>
      </c>
      <c r="P111" s="38">
        <f>'Multi'!G866*P$11*'LAFs'!G$232*(1-'Contrib'!P$95)*100/(24*'Input'!$F$58)</f>
        <v>0</v>
      </c>
      <c r="Q111" s="38">
        <f>'Multi'!H866*Q$11*'LAFs'!H$232*(1-'Contrib'!Q$95)*100/(24*'Input'!$F$58)</f>
        <v>0</v>
      </c>
      <c r="R111" s="38">
        <f>'Multi'!I866*R$11*'LAFs'!I$232*(1-'Contrib'!R$95)*100/(24*'Input'!$F$58)</f>
        <v>0</v>
      </c>
      <c r="S111" s="38">
        <f>'Multi'!J866*S$11*'LAFs'!J$232*(1-'Contrib'!S$95)*100/(24*'Input'!$F$58)</f>
        <v>0</v>
      </c>
      <c r="T111" s="17"/>
    </row>
    <row r="112" spans="1:20">
      <c r="A112" s="4" t="s">
        <v>180</v>
      </c>
      <c r="B112" s="38">
        <f>'Multi'!B867*B$11*'LAFs'!B$233*(1-'Contrib'!B$96)*100/(24*'Input'!$F$58)</f>
        <v>0</v>
      </c>
      <c r="C112" s="38">
        <f>'Multi'!C867*C$11*'LAFs'!C$233*(1-'Contrib'!C$96)*100/(24*'Input'!$F$58)</f>
        <v>0</v>
      </c>
      <c r="D112" s="38">
        <f>'Multi'!D867*D$11*'LAFs'!D$233*(1-'Contrib'!D$96)*100/(24*'Input'!$F$58)</f>
        <v>0</v>
      </c>
      <c r="E112" s="38">
        <f>'Multi'!E867*E$11*'LAFs'!E$233*(1-'Contrib'!E$96)*100/(24*'Input'!$F$58)</f>
        <v>0</v>
      </c>
      <c r="F112" s="38">
        <f>'Multi'!F867*F$11*'LAFs'!F$233*(1-'Contrib'!F$96)*100/(24*'Input'!$F$58)</f>
        <v>0</v>
      </c>
      <c r="G112" s="38">
        <f>'Multi'!G867*G$11*'LAFs'!G$233*(1-'Contrib'!G$96)*100/(24*'Input'!$F$58)</f>
        <v>0</v>
      </c>
      <c r="H112" s="38">
        <f>'Multi'!H867*H$11*'LAFs'!H$233*(1-'Contrib'!H$96)*100/(24*'Input'!$F$58)</f>
        <v>0</v>
      </c>
      <c r="I112" s="38">
        <f>'Multi'!I867*I$11*'LAFs'!I$233*(1-'Contrib'!I$96)*100/(24*'Input'!$F$58)</f>
        <v>0</v>
      </c>
      <c r="J112" s="38">
        <f>'Multi'!J867*J$11*'LAFs'!J$233*(1-'Contrib'!J$96)*100/(24*'Input'!$F$58)</f>
        <v>0</v>
      </c>
      <c r="K112" s="38">
        <f>'Multi'!B867*K$11*'LAFs'!B$233*(1-'Contrib'!K$96)*100/(24*'Input'!$F$58)</f>
        <v>0</v>
      </c>
      <c r="L112" s="38">
        <f>'Multi'!C867*L$11*'LAFs'!C$233*(1-'Contrib'!L$96)*100/(24*'Input'!$F$58)</f>
        <v>0</v>
      </c>
      <c r="M112" s="38">
        <f>'Multi'!D867*M$11*'LAFs'!D$233*(1-'Contrib'!M$96)*100/(24*'Input'!$F$58)</f>
        <v>0</v>
      </c>
      <c r="N112" s="38">
        <f>'Multi'!E867*N$11*'LAFs'!E$233*(1-'Contrib'!N$96)*100/(24*'Input'!$F$58)</f>
        <v>0</v>
      </c>
      <c r="O112" s="38">
        <f>'Multi'!F867*O$11*'LAFs'!F$233*(1-'Contrib'!O$96)*100/(24*'Input'!$F$58)</f>
        <v>0</v>
      </c>
      <c r="P112" s="38">
        <f>'Multi'!G867*P$11*'LAFs'!G$233*(1-'Contrib'!P$96)*100/(24*'Input'!$F$58)</f>
        <v>0</v>
      </c>
      <c r="Q112" s="38">
        <f>'Multi'!H867*Q$11*'LAFs'!H$233*(1-'Contrib'!Q$96)*100/(24*'Input'!$F$58)</f>
        <v>0</v>
      </c>
      <c r="R112" s="38">
        <f>'Multi'!I867*R$11*'LAFs'!I$233*(1-'Contrib'!R$96)*100/(24*'Input'!$F$58)</f>
        <v>0</v>
      </c>
      <c r="S112" s="38">
        <f>'Multi'!J867*S$11*'LAFs'!J$233*(1-'Contrib'!S$96)*100/(24*'Input'!$F$58)</f>
        <v>0</v>
      </c>
      <c r="T112" s="17"/>
    </row>
    <row r="113" spans="1:20">
      <c r="A113" s="4" t="s">
        <v>181</v>
      </c>
      <c r="B113" s="38">
        <f>'Multi'!B868*B$11*'LAFs'!B$234*(1-'Contrib'!B$97)*100/(24*'Input'!$F$58)</f>
        <v>0</v>
      </c>
      <c r="C113" s="38">
        <f>'Multi'!C868*C$11*'LAFs'!C$234*(1-'Contrib'!C$97)*100/(24*'Input'!$F$58)</f>
        <v>0</v>
      </c>
      <c r="D113" s="38">
        <f>'Multi'!D868*D$11*'LAFs'!D$234*(1-'Contrib'!D$97)*100/(24*'Input'!$F$58)</f>
        <v>0</v>
      </c>
      <c r="E113" s="38">
        <f>'Multi'!E868*E$11*'LAFs'!E$234*(1-'Contrib'!E$97)*100/(24*'Input'!$F$58)</f>
        <v>0</v>
      </c>
      <c r="F113" s="38">
        <f>'Multi'!F868*F$11*'LAFs'!F$234*(1-'Contrib'!F$97)*100/(24*'Input'!$F$58)</f>
        <v>0</v>
      </c>
      <c r="G113" s="38">
        <f>'Multi'!G868*G$11*'LAFs'!G$234*(1-'Contrib'!G$97)*100/(24*'Input'!$F$58)</f>
        <v>0</v>
      </c>
      <c r="H113" s="38">
        <f>'Multi'!H868*H$11*'LAFs'!H$234*(1-'Contrib'!H$97)*100/(24*'Input'!$F$58)</f>
        <v>0</v>
      </c>
      <c r="I113" s="38">
        <f>'Multi'!I868*I$11*'LAFs'!I$234*(1-'Contrib'!I$97)*100/(24*'Input'!$F$58)</f>
        <v>0</v>
      </c>
      <c r="J113" s="38">
        <f>'Multi'!J868*J$11*'LAFs'!J$234*(1-'Contrib'!J$97)*100/(24*'Input'!$F$58)</f>
        <v>0</v>
      </c>
      <c r="K113" s="38">
        <f>'Multi'!B868*K$11*'LAFs'!B$234*(1-'Contrib'!K$97)*100/(24*'Input'!$F$58)</f>
        <v>0</v>
      </c>
      <c r="L113" s="38">
        <f>'Multi'!C868*L$11*'LAFs'!C$234*(1-'Contrib'!L$97)*100/(24*'Input'!$F$58)</f>
        <v>0</v>
      </c>
      <c r="M113" s="38">
        <f>'Multi'!D868*M$11*'LAFs'!D$234*(1-'Contrib'!M$97)*100/(24*'Input'!$F$58)</f>
        <v>0</v>
      </c>
      <c r="N113" s="38">
        <f>'Multi'!E868*N$11*'LAFs'!E$234*(1-'Contrib'!N$97)*100/(24*'Input'!$F$58)</f>
        <v>0</v>
      </c>
      <c r="O113" s="38">
        <f>'Multi'!F868*O$11*'LAFs'!F$234*(1-'Contrib'!O$97)*100/(24*'Input'!$F$58)</f>
        <v>0</v>
      </c>
      <c r="P113" s="38">
        <f>'Multi'!G868*P$11*'LAFs'!G$234*(1-'Contrib'!P$97)*100/(24*'Input'!$F$58)</f>
        <v>0</v>
      </c>
      <c r="Q113" s="38">
        <f>'Multi'!H868*Q$11*'LAFs'!H$234*(1-'Contrib'!Q$97)*100/(24*'Input'!$F$58)</f>
        <v>0</v>
      </c>
      <c r="R113" s="38">
        <f>'Multi'!I868*R$11*'LAFs'!I$234*(1-'Contrib'!R$97)*100/(24*'Input'!$F$58)</f>
        <v>0</v>
      </c>
      <c r="S113" s="38">
        <f>'Multi'!J868*S$11*'LAFs'!J$234*(1-'Contrib'!S$97)*100/(24*'Input'!$F$58)</f>
        <v>0</v>
      </c>
      <c r="T113" s="17"/>
    </row>
    <row r="114" spans="1:20">
      <c r="A114" s="4" t="s">
        <v>193</v>
      </c>
      <c r="B114" s="38">
        <f>'Multi'!B869*B$11*'LAFs'!B$235*(1-'Contrib'!B$98)*100/(24*'Input'!$F$58)</f>
        <v>0</v>
      </c>
      <c r="C114" s="38">
        <f>'Multi'!C869*C$11*'LAFs'!C$235*(1-'Contrib'!C$98)*100/(24*'Input'!$F$58)</f>
        <v>0</v>
      </c>
      <c r="D114" s="38">
        <f>'Multi'!D869*D$11*'LAFs'!D$235*(1-'Contrib'!D$98)*100/(24*'Input'!$F$58)</f>
        <v>0</v>
      </c>
      <c r="E114" s="38">
        <f>'Multi'!E869*E$11*'LAFs'!E$235*(1-'Contrib'!E$98)*100/(24*'Input'!$F$58)</f>
        <v>0</v>
      </c>
      <c r="F114" s="38">
        <f>'Multi'!F869*F$11*'LAFs'!F$235*(1-'Contrib'!F$98)*100/(24*'Input'!$F$58)</f>
        <v>0</v>
      </c>
      <c r="G114" s="38">
        <f>'Multi'!G869*G$11*'LAFs'!G$235*(1-'Contrib'!G$98)*100/(24*'Input'!$F$58)</f>
        <v>0</v>
      </c>
      <c r="H114" s="38">
        <f>'Multi'!H869*H$11*'LAFs'!H$235*(1-'Contrib'!H$98)*100/(24*'Input'!$F$58)</f>
        <v>0</v>
      </c>
      <c r="I114" s="38">
        <f>'Multi'!I869*I$11*'LAFs'!I$235*(1-'Contrib'!I$98)*100/(24*'Input'!$F$58)</f>
        <v>0</v>
      </c>
      <c r="J114" s="38">
        <f>'Multi'!J869*J$11*'LAFs'!J$235*(1-'Contrib'!J$98)*100/(24*'Input'!$F$58)</f>
        <v>0</v>
      </c>
      <c r="K114" s="38">
        <f>'Multi'!B869*K$11*'LAFs'!B$235*(1-'Contrib'!K$98)*100/(24*'Input'!$F$58)</f>
        <v>0</v>
      </c>
      <c r="L114" s="38">
        <f>'Multi'!C869*L$11*'LAFs'!C$235*(1-'Contrib'!L$98)*100/(24*'Input'!$F$58)</f>
        <v>0</v>
      </c>
      <c r="M114" s="38">
        <f>'Multi'!D869*M$11*'LAFs'!D$235*(1-'Contrib'!M$98)*100/(24*'Input'!$F$58)</f>
        <v>0</v>
      </c>
      <c r="N114" s="38">
        <f>'Multi'!E869*N$11*'LAFs'!E$235*(1-'Contrib'!N$98)*100/(24*'Input'!$F$58)</f>
        <v>0</v>
      </c>
      <c r="O114" s="38">
        <f>'Multi'!F869*O$11*'LAFs'!F$235*(1-'Contrib'!O$98)*100/(24*'Input'!$F$58)</f>
        <v>0</v>
      </c>
      <c r="P114" s="38">
        <f>'Multi'!G869*P$11*'LAFs'!G$235*(1-'Contrib'!P$98)*100/(24*'Input'!$F$58)</f>
        <v>0</v>
      </c>
      <c r="Q114" s="38">
        <f>'Multi'!H869*Q$11*'LAFs'!H$235*(1-'Contrib'!Q$98)*100/(24*'Input'!$F$58)</f>
        <v>0</v>
      </c>
      <c r="R114" s="38">
        <f>'Multi'!I869*R$11*'LAFs'!I$235*(1-'Contrib'!R$98)*100/(24*'Input'!$F$58)</f>
        <v>0</v>
      </c>
      <c r="S114" s="38">
        <f>'Multi'!J869*S$11*'LAFs'!J$235*(1-'Contrib'!S$98)*100/(24*'Input'!$F$58)</f>
        <v>0</v>
      </c>
      <c r="T114" s="17"/>
    </row>
    <row r="115" spans="1:20">
      <c r="A115" s="4" t="s">
        <v>217</v>
      </c>
      <c r="B115" s="38">
        <f>'Multi'!B870*B$11*'LAFs'!B$240*(1-'Contrib'!B$103)*100/(24*'Input'!$F$58)</f>
        <v>0</v>
      </c>
      <c r="C115" s="38">
        <f>'Multi'!C870*C$11*'LAFs'!C$240*(1-'Contrib'!C$103)*100/(24*'Input'!$F$58)</f>
        <v>0</v>
      </c>
      <c r="D115" s="38">
        <f>'Multi'!D870*D$11*'LAFs'!D$240*(1-'Contrib'!D$103)*100/(24*'Input'!$F$58)</f>
        <v>0</v>
      </c>
      <c r="E115" s="38">
        <f>'Multi'!E870*E$11*'LAFs'!E$240*(1-'Contrib'!E$103)*100/(24*'Input'!$F$58)</f>
        <v>0</v>
      </c>
      <c r="F115" s="38">
        <f>'Multi'!F870*F$11*'LAFs'!F$240*(1-'Contrib'!F$103)*100/(24*'Input'!$F$58)</f>
        <v>0</v>
      </c>
      <c r="G115" s="38">
        <f>'Multi'!G870*G$11*'LAFs'!G$240*(1-'Contrib'!G$103)*100/(24*'Input'!$F$58)</f>
        <v>0</v>
      </c>
      <c r="H115" s="38">
        <f>'Multi'!H870*H$11*'LAFs'!H$240*(1-'Contrib'!H$103)*100/(24*'Input'!$F$58)</f>
        <v>0</v>
      </c>
      <c r="I115" s="38">
        <f>'Multi'!I870*I$11*'LAFs'!I$240*(1-'Contrib'!I$103)*100/(24*'Input'!$F$58)</f>
        <v>0</v>
      </c>
      <c r="J115" s="38">
        <f>'Multi'!J870*J$11*'LAFs'!J$240*(1-'Contrib'!J$103)*100/(24*'Input'!$F$58)</f>
        <v>0</v>
      </c>
      <c r="K115" s="38">
        <f>'Multi'!B870*K$11*'LAFs'!B$240*(1-'Contrib'!K$103)*100/(24*'Input'!$F$58)</f>
        <v>0</v>
      </c>
      <c r="L115" s="38">
        <f>'Multi'!C870*L$11*'LAFs'!C$240*(1-'Contrib'!L$103)*100/(24*'Input'!$F$58)</f>
        <v>0</v>
      </c>
      <c r="M115" s="38">
        <f>'Multi'!D870*M$11*'LAFs'!D$240*(1-'Contrib'!M$103)*100/(24*'Input'!$F$58)</f>
        <v>0</v>
      </c>
      <c r="N115" s="38">
        <f>'Multi'!E870*N$11*'LAFs'!E$240*(1-'Contrib'!N$103)*100/(24*'Input'!$F$58)</f>
        <v>0</v>
      </c>
      <c r="O115" s="38">
        <f>'Multi'!F870*O$11*'LAFs'!F$240*(1-'Contrib'!O$103)*100/(24*'Input'!$F$58)</f>
        <v>0</v>
      </c>
      <c r="P115" s="38">
        <f>'Multi'!G870*P$11*'LAFs'!G$240*(1-'Contrib'!P$103)*100/(24*'Input'!$F$58)</f>
        <v>0</v>
      </c>
      <c r="Q115" s="38">
        <f>'Multi'!H870*Q$11*'LAFs'!H$240*(1-'Contrib'!Q$103)*100/(24*'Input'!$F$58)</f>
        <v>0</v>
      </c>
      <c r="R115" s="38">
        <f>'Multi'!I870*R$11*'LAFs'!I$240*(1-'Contrib'!R$103)*100/(24*'Input'!$F$58)</f>
        <v>0</v>
      </c>
      <c r="S115" s="38">
        <f>'Multi'!J870*S$11*'LAFs'!J$240*(1-'Contrib'!S$103)*100/(24*'Input'!$F$58)</f>
        <v>0</v>
      </c>
      <c r="T115" s="17"/>
    </row>
    <row r="116" spans="1:20">
      <c r="A116" s="4" t="s">
        <v>185</v>
      </c>
      <c r="B116" s="38">
        <f>'Multi'!B871*B$11*'LAFs'!B$244*(1-'Contrib'!B$107)*100/(24*'Input'!$F$58)</f>
        <v>0</v>
      </c>
      <c r="C116" s="38">
        <f>'Multi'!C871*C$11*'LAFs'!C$244*(1-'Contrib'!C$107)*100/(24*'Input'!$F$58)</f>
        <v>0</v>
      </c>
      <c r="D116" s="38">
        <f>'Multi'!D871*D$11*'LAFs'!D$244*(1-'Contrib'!D$107)*100/(24*'Input'!$F$58)</f>
        <v>0</v>
      </c>
      <c r="E116" s="38">
        <f>'Multi'!E871*E$11*'LAFs'!E$244*(1-'Contrib'!E$107)*100/(24*'Input'!$F$58)</f>
        <v>0</v>
      </c>
      <c r="F116" s="38">
        <f>'Multi'!F871*F$11*'LAFs'!F$244*(1-'Contrib'!F$107)*100/(24*'Input'!$F$58)</f>
        <v>0</v>
      </c>
      <c r="G116" s="38">
        <f>'Multi'!G871*G$11*'LAFs'!G$244*(1-'Contrib'!G$107)*100/(24*'Input'!$F$58)</f>
        <v>0</v>
      </c>
      <c r="H116" s="38">
        <f>'Multi'!H871*H$11*'LAFs'!H$244*(1-'Contrib'!H$107)*100/(24*'Input'!$F$58)</f>
        <v>0</v>
      </c>
      <c r="I116" s="38">
        <f>'Multi'!I871*I$11*'LAFs'!I$244*(1-'Contrib'!I$107)*100/(24*'Input'!$F$58)</f>
        <v>0</v>
      </c>
      <c r="J116" s="38">
        <f>'Multi'!J871*J$11*'LAFs'!J$244*(1-'Contrib'!J$107)*100/(24*'Input'!$F$58)</f>
        <v>0</v>
      </c>
      <c r="K116" s="38">
        <f>'Multi'!B871*K$11*'LAFs'!B$244*(1-'Contrib'!K$107)*100/(24*'Input'!$F$58)</f>
        <v>0</v>
      </c>
      <c r="L116" s="38">
        <f>'Multi'!C871*L$11*'LAFs'!C$244*(1-'Contrib'!L$107)*100/(24*'Input'!$F$58)</f>
        <v>0</v>
      </c>
      <c r="M116" s="38">
        <f>'Multi'!D871*M$11*'LAFs'!D$244*(1-'Contrib'!M$107)*100/(24*'Input'!$F$58)</f>
        <v>0</v>
      </c>
      <c r="N116" s="38">
        <f>'Multi'!E871*N$11*'LAFs'!E$244*(1-'Contrib'!N$107)*100/(24*'Input'!$F$58)</f>
        <v>0</v>
      </c>
      <c r="O116" s="38">
        <f>'Multi'!F871*O$11*'LAFs'!F$244*(1-'Contrib'!O$107)*100/(24*'Input'!$F$58)</f>
        <v>0</v>
      </c>
      <c r="P116" s="38">
        <f>'Multi'!G871*P$11*'LAFs'!G$244*(1-'Contrib'!P$107)*100/(24*'Input'!$F$58)</f>
        <v>0</v>
      </c>
      <c r="Q116" s="38">
        <f>'Multi'!H871*Q$11*'LAFs'!H$244*(1-'Contrib'!Q$107)*100/(24*'Input'!$F$58)</f>
        <v>0</v>
      </c>
      <c r="R116" s="38">
        <f>'Multi'!I871*R$11*'LAFs'!I$244*(1-'Contrib'!R$107)*100/(24*'Input'!$F$58)</f>
        <v>0</v>
      </c>
      <c r="S116" s="38">
        <f>'Multi'!J871*S$11*'LAFs'!J$244*(1-'Contrib'!S$107)*100/(24*'Input'!$F$58)</f>
        <v>0</v>
      </c>
      <c r="T116" s="17"/>
    </row>
    <row r="117" spans="1:20">
      <c r="A117" s="4" t="s">
        <v>187</v>
      </c>
      <c r="B117" s="38">
        <f>'Multi'!B872*B$11*'LAFs'!B$246*(1-'Contrib'!B$109)*100/(24*'Input'!$F$58)</f>
        <v>0</v>
      </c>
      <c r="C117" s="38">
        <f>'Multi'!C872*C$11*'LAFs'!C$246*(1-'Contrib'!C$109)*100/(24*'Input'!$F$58)</f>
        <v>0</v>
      </c>
      <c r="D117" s="38">
        <f>'Multi'!D872*D$11*'LAFs'!D$246*(1-'Contrib'!D$109)*100/(24*'Input'!$F$58)</f>
        <v>0</v>
      </c>
      <c r="E117" s="38">
        <f>'Multi'!E872*E$11*'LAFs'!E$246*(1-'Contrib'!E$109)*100/(24*'Input'!$F$58)</f>
        <v>0</v>
      </c>
      <c r="F117" s="38">
        <f>'Multi'!F872*F$11*'LAFs'!F$246*(1-'Contrib'!F$109)*100/(24*'Input'!$F$58)</f>
        <v>0</v>
      </c>
      <c r="G117" s="38">
        <f>'Multi'!G872*G$11*'LAFs'!G$246*(1-'Contrib'!G$109)*100/(24*'Input'!$F$58)</f>
        <v>0</v>
      </c>
      <c r="H117" s="38">
        <f>'Multi'!H872*H$11*'LAFs'!H$246*(1-'Contrib'!H$109)*100/(24*'Input'!$F$58)</f>
        <v>0</v>
      </c>
      <c r="I117" s="38">
        <f>'Multi'!I872*I$11*'LAFs'!I$246*(1-'Contrib'!I$109)*100/(24*'Input'!$F$58)</f>
        <v>0</v>
      </c>
      <c r="J117" s="38">
        <f>'Multi'!J872*J$11*'LAFs'!J$246*(1-'Contrib'!J$109)*100/(24*'Input'!$F$58)</f>
        <v>0</v>
      </c>
      <c r="K117" s="38">
        <f>'Multi'!B872*K$11*'LAFs'!B$246*(1-'Contrib'!K$109)*100/(24*'Input'!$F$58)</f>
        <v>0</v>
      </c>
      <c r="L117" s="38">
        <f>'Multi'!C872*L$11*'LAFs'!C$246*(1-'Contrib'!L$109)*100/(24*'Input'!$F$58)</f>
        <v>0</v>
      </c>
      <c r="M117" s="38">
        <f>'Multi'!D872*M$11*'LAFs'!D$246*(1-'Contrib'!M$109)*100/(24*'Input'!$F$58)</f>
        <v>0</v>
      </c>
      <c r="N117" s="38">
        <f>'Multi'!E872*N$11*'LAFs'!E$246*(1-'Contrib'!N$109)*100/(24*'Input'!$F$58)</f>
        <v>0</v>
      </c>
      <c r="O117" s="38">
        <f>'Multi'!F872*O$11*'LAFs'!F$246*(1-'Contrib'!O$109)*100/(24*'Input'!$F$58)</f>
        <v>0</v>
      </c>
      <c r="P117" s="38">
        <f>'Multi'!G872*P$11*'LAFs'!G$246*(1-'Contrib'!P$109)*100/(24*'Input'!$F$58)</f>
        <v>0</v>
      </c>
      <c r="Q117" s="38">
        <f>'Multi'!H872*Q$11*'LAFs'!H$246*(1-'Contrib'!Q$109)*100/(24*'Input'!$F$58)</f>
        <v>0</v>
      </c>
      <c r="R117" s="38">
        <f>'Multi'!I872*R$11*'LAFs'!I$246*(1-'Contrib'!R$109)*100/(24*'Input'!$F$58)</f>
        <v>0</v>
      </c>
      <c r="S117" s="38">
        <f>'Multi'!J872*S$11*'LAFs'!J$246*(1-'Contrib'!S$109)*100/(24*'Input'!$F$58)</f>
        <v>0</v>
      </c>
      <c r="T117" s="17"/>
    </row>
    <row r="118" spans="1:20">
      <c r="A118" s="4" t="s">
        <v>195</v>
      </c>
      <c r="B118" s="38">
        <f>'Multi'!B873*B$11*'LAFs'!B$248*(1-'Contrib'!B$111)*100/(24*'Input'!$F$58)</f>
        <v>0</v>
      </c>
      <c r="C118" s="38">
        <f>'Multi'!C873*C$11*'LAFs'!C$248*(1-'Contrib'!C$111)*100/(24*'Input'!$F$58)</f>
        <v>0</v>
      </c>
      <c r="D118" s="38">
        <f>'Multi'!D873*D$11*'LAFs'!D$248*(1-'Contrib'!D$111)*100/(24*'Input'!$F$58)</f>
        <v>0</v>
      </c>
      <c r="E118" s="38">
        <f>'Multi'!E873*E$11*'LAFs'!E$248*(1-'Contrib'!E$111)*100/(24*'Input'!$F$58)</f>
        <v>0</v>
      </c>
      <c r="F118" s="38">
        <f>'Multi'!F873*F$11*'LAFs'!F$248*(1-'Contrib'!F$111)*100/(24*'Input'!$F$58)</f>
        <v>0</v>
      </c>
      <c r="G118" s="38">
        <f>'Multi'!G873*G$11*'LAFs'!G$248*(1-'Contrib'!G$111)*100/(24*'Input'!$F$58)</f>
        <v>0</v>
      </c>
      <c r="H118" s="38">
        <f>'Multi'!H873*H$11*'LAFs'!H$248*(1-'Contrib'!H$111)*100/(24*'Input'!$F$58)</f>
        <v>0</v>
      </c>
      <c r="I118" s="38">
        <f>'Multi'!I873*I$11*'LAFs'!I$248*(1-'Contrib'!I$111)*100/(24*'Input'!$F$58)</f>
        <v>0</v>
      </c>
      <c r="J118" s="38">
        <f>'Multi'!J873*J$11*'LAFs'!J$248*(1-'Contrib'!J$111)*100/(24*'Input'!$F$58)</f>
        <v>0</v>
      </c>
      <c r="K118" s="38">
        <f>'Multi'!B873*K$11*'LAFs'!B$248*(1-'Contrib'!K$111)*100/(24*'Input'!$F$58)</f>
        <v>0</v>
      </c>
      <c r="L118" s="38">
        <f>'Multi'!C873*L$11*'LAFs'!C$248*(1-'Contrib'!L$111)*100/(24*'Input'!$F$58)</f>
        <v>0</v>
      </c>
      <c r="M118" s="38">
        <f>'Multi'!D873*M$11*'LAFs'!D$248*(1-'Contrib'!M$111)*100/(24*'Input'!$F$58)</f>
        <v>0</v>
      </c>
      <c r="N118" s="38">
        <f>'Multi'!E873*N$11*'LAFs'!E$248*(1-'Contrib'!N$111)*100/(24*'Input'!$F$58)</f>
        <v>0</v>
      </c>
      <c r="O118" s="38">
        <f>'Multi'!F873*O$11*'LAFs'!F$248*(1-'Contrib'!O$111)*100/(24*'Input'!$F$58)</f>
        <v>0</v>
      </c>
      <c r="P118" s="38">
        <f>'Multi'!G873*P$11*'LAFs'!G$248*(1-'Contrib'!P$111)*100/(24*'Input'!$F$58)</f>
        <v>0</v>
      </c>
      <c r="Q118" s="38">
        <f>'Multi'!H873*Q$11*'LAFs'!H$248*(1-'Contrib'!Q$111)*100/(24*'Input'!$F$58)</f>
        <v>0</v>
      </c>
      <c r="R118" s="38">
        <f>'Multi'!I873*R$11*'LAFs'!I$248*(1-'Contrib'!R$111)*100/(24*'Input'!$F$58)</f>
        <v>0</v>
      </c>
      <c r="S118" s="38">
        <f>'Multi'!J873*S$11*'LAFs'!J$248*(1-'Contrib'!S$111)*100/(24*'Input'!$F$58)</f>
        <v>0</v>
      </c>
      <c r="T118" s="17"/>
    </row>
  </sheetData>
  <sheetProtection sheet="1" objects="1" scenarios="1"/>
  <hyperlinks>
    <hyperlink ref="A6" location="'DRM'!B129" display="x1 = 2109. Network model annuity by simultaneous maximum load for each network level (£/kW/year)"/>
    <hyperlink ref="A7" location="'Otex'!B107" display="x2 = 2710. Unit operating expenditure based on simultaneous maximum load (£/kW/year)"/>
    <hyperlink ref="A15" location="'Yard'!B10" display="x1 = 2901. Unit cost at each level, £/kW/year (relative to system simultaneous maximum load)"/>
    <hyperlink ref="A16" location="'Loads'!B42" display="x2 = 2302. Load coefficient"/>
    <hyperlink ref="A17" location="'LAFs'!B224" display="x3 = 2012. Loss adjustment factors between end user meter reading and each network level, scaled by network use"/>
    <hyperlink ref="A18" location="'Contrib'!B87" display="x4 = 2804. Proportion of annual charge covered by contributions (for all charging levels)"/>
    <hyperlink ref="A19" location="'Input'!F57" display="x5 = 1010. Days in the charging year (in Financial and general assumptions)"/>
    <hyperlink ref="A50" location="'Multi'!B818" display="x1 = 2460. Unit rate 1 pseudo load coefficient by network level (combined)"/>
    <hyperlink ref="A51" location="'Yard'!B10" display="x2 = 2901. Unit cost at each level, £/kW/year (relative to system simultaneous maximum load)"/>
    <hyperlink ref="A52" location="'LAFs'!B224" display="x3 = 2012. Loss adjustment factors between end user meter reading and each network level, scaled by network use"/>
    <hyperlink ref="A53" location="'Contrib'!B87" display="x4 = 2804. Proportion of annual charge covered by contributions (for all charging levels)"/>
    <hyperlink ref="A54" location="'Input'!F57" display="x5 = 1010. Days in the charging year (in Financial and general assumptions)"/>
    <hyperlink ref="A80" location="'Multi'!B845" display="x1 = 2461. Unit rate 2 pseudo load coefficient by network level (combined)"/>
    <hyperlink ref="A81" location="'Yard'!B10" display="x2 = 2901. Unit cost at each level, £/kW/year (relative to system simultaneous maximum load)"/>
    <hyperlink ref="A82" location="'LAFs'!B224" display="x3 = 2012. Loss adjustment factors between end user meter reading and each network level, scaled by network use"/>
    <hyperlink ref="A83" location="'Contrib'!B87" display="x4 = 2804. Proportion of annual charge covered by contributions (for all charging levels)"/>
    <hyperlink ref="A84" location="'Input'!F57" display="x5 = 1010. Days in the charging year (in Financial and general assumptions)"/>
    <hyperlink ref="A102" location="'Multi'!B864" display="x1 = 2462. Unit rate 3 pseudo load coefficient by network level (combined)"/>
    <hyperlink ref="A103" location="'Yard'!B10" display="x2 = 2901. Unit cost at each level, £/kW/year (relative to system simultaneous maximum load)"/>
    <hyperlink ref="A104" location="'LAFs'!B224" display="x3 = 2012. Loss adjustment factors between end user meter reading and each network level, scaled by network use"/>
    <hyperlink ref="A105" location="'Contrib'!B87" display="x4 = 2804. Proportion of annual charge covered by contributions (for all charging levels)"/>
    <hyperlink ref="A106" location="'Input'!F57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"Allocation to standing charges for "&amp;'Input'!B7&amp;" in "&amp;'Input'!C7&amp;" ("&amp;'Input'!D7&amp;")"</f>
        <v>0</v>
      </c>
    </row>
    <row r="2" spans="1:20">
      <c r="A2" s="2" t="s">
        <v>983</v>
      </c>
    </row>
    <row r="4" spans="1:20" ht="21" customHeight="1">
      <c r="A4" s="1" t="s">
        <v>984</v>
      </c>
    </row>
    <row r="5" spans="1:20">
      <c r="A5" s="2" t="s">
        <v>351</v>
      </c>
    </row>
    <row r="6" spans="1:20">
      <c r="A6" s="33" t="s">
        <v>972</v>
      </c>
    </row>
    <row r="7" spans="1:20">
      <c r="A7" s="33" t="s">
        <v>985</v>
      </c>
    </row>
    <row r="8" spans="1:20">
      <c r="A8" s="2" t="s">
        <v>986</v>
      </c>
    </row>
    <row r="10" spans="1:20">
      <c r="B10" s="15" t="s">
        <v>142</v>
      </c>
      <c r="C10" s="15" t="s">
        <v>306</v>
      </c>
      <c r="D10" s="15" t="s">
        <v>307</v>
      </c>
      <c r="E10" s="15" t="s">
        <v>308</v>
      </c>
      <c r="F10" s="15" t="s">
        <v>309</v>
      </c>
      <c r="G10" s="15" t="s">
        <v>310</v>
      </c>
      <c r="H10" s="15" t="s">
        <v>311</v>
      </c>
      <c r="I10" s="15" t="s">
        <v>312</v>
      </c>
      <c r="J10" s="15" t="s">
        <v>313</v>
      </c>
      <c r="K10" s="15" t="s">
        <v>294</v>
      </c>
      <c r="L10" s="15" t="s">
        <v>877</v>
      </c>
      <c r="M10" s="15" t="s">
        <v>878</v>
      </c>
      <c r="N10" s="15" t="s">
        <v>879</v>
      </c>
      <c r="O10" s="15" t="s">
        <v>880</v>
      </c>
      <c r="P10" s="15" t="s">
        <v>881</v>
      </c>
      <c r="Q10" s="15" t="s">
        <v>882</v>
      </c>
      <c r="R10" s="15" t="s">
        <v>883</v>
      </c>
      <c r="S10" s="15" t="s">
        <v>884</v>
      </c>
    </row>
    <row r="11" spans="1:20">
      <c r="A11" s="4" t="s">
        <v>987</v>
      </c>
      <c r="B11" s="38">
        <f>'Yard'!B11/(1+'AMD'!B187)</f>
        <v>0</v>
      </c>
      <c r="C11" s="38">
        <f>'Yard'!C11/(1+'AMD'!C187)</f>
        <v>0</v>
      </c>
      <c r="D11" s="38">
        <f>'Yard'!D11/(1+'AMD'!D187)</f>
        <v>0</v>
      </c>
      <c r="E11" s="38">
        <f>'Yard'!E11/(1+'AMD'!E187)</f>
        <v>0</v>
      </c>
      <c r="F11" s="38">
        <f>'Yard'!F11/(1+'AMD'!F187)</f>
        <v>0</v>
      </c>
      <c r="G11" s="38">
        <f>'Yard'!G11/(1+'AMD'!G187)</f>
        <v>0</v>
      </c>
      <c r="H11" s="38">
        <f>'Yard'!H11/(1+'AMD'!H187)</f>
        <v>0</v>
      </c>
      <c r="I11" s="38">
        <f>'Yard'!I11/(1+'AMD'!I187)</f>
        <v>0</v>
      </c>
      <c r="J11" s="38">
        <f>'Yard'!J11/(1+'AMD'!J187)</f>
        <v>0</v>
      </c>
      <c r="K11" s="38">
        <f>'Yard'!K11/(1+'AMD'!B187)</f>
        <v>0</v>
      </c>
      <c r="L11" s="38">
        <f>'Yard'!L11/(1+'AMD'!C187)</f>
        <v>0</v>
      </c>
      <c r="M11" s="38">
        <f>'Yard'!M11/(1+'AMD'!D187)</f>
        <v>0</v>
      </c>
      <c r="N11" s="38">
        <f>'Yard'!N11/(1+'AMD'!E187)</f>
        <v>0</v>
      </c>
      <c r="O11" s="38">
        <f>'Yard'!O11/(1+'AMD'!F187)</f>
        <v>0</v>
      </c>
      <c r="P11" s="38">
        <f>'Yard'!P11/(1+'AMD'!G187)</f>
        <v>0</v>
      </c>
      <c r="Q11" s="38">
        <f>'Yard'!Q11/(1+'AMD'!H187)</f>
        <v>0</v>
      </c>
      <c r="R11" s="38">
        <f>'Yard'!R11/(1+'AMD'!I187)</f>
        <v>0</v>
      </c>
      <c r="S11" s="38">
        <f>'Yard'!S11/(1+'AMD'!J187)</f>
        <v>0</v>
      </c>
      <c r="T11" s="17"/>
    </row>
    <row r="13" spans="1:20" ht="21" customHeight="1">
      <c r="A13" s="1" t="s">
        <v>988</v>
      </c>
    </row>
    <row r="14" spans="1:20">
      <c r="A14" s="2" t="s">
        <v>989</v>
      </c>
    </row>
    <row r="15" spans="1:20">
      <c r="A15" s="2" t="s">
        <v>351</v>
      </c>
    </row>
    <row r="16" spans="1:20">
      <c r="A16" s="33" t="s">
        <v>990</v>
      </c>
    </row>
    <row r="17" spans="1:20">
      <c r="A17" s="33" t="s">
        <v>991</v>
      </c>
    </row>
    <row r="18" spans="1:20">
      <c r="A18" s="33" t="s">
        <v>992</v>
      </c>
    </row>
    <row r="19" spans="1:20">
      <c r="A19" s="33" t="s">
        <v>993</v>
      </c>
    </row>
    <row r="20" spans="1:20">
      <c r="A20" s="33" t="s">
        <v>741</v>
      </c>
    </row>
    <row r="21" spans="1:20">
      <c r="A21" s="33" t="s">
        <v>994</v>
      </c>
    </row>
    <row r="22" spans="1:20">
      <c r="A22" s="2" t="s">
        <v>995</v>
      </c>
    </row>
    <row r="24" spans="1:20">
      <c r="B24" s="15" t="s">
        <v>142</v>
      </c>
      <c r="C24" s="15" t="s">
        <v>306</v>
      </c>
      <c r="D24" s="15" t="s">
        <v>307</v>
      </c>
      <c r="E24" s="15" t="s">
        <v>308</v>
      </c>
      <c r="F24" s="15" t="s">
        <v>309</v>
      </c>
      <c r="G24" s="15" t="s">
        <v>310</v>
      </c>
      <c r="H24" s="15" t="s">
        <v>311</v>
      </c>
      <c r="I24" s="15" t="s">
        <v>312</v>
      </c>
      <c r="J24" s="15" t="s">
        <v>313</v>
      </c>
      <c r="K24" s="15" t="s">
        <v>294</v>
      </c>
      <c r="L24" s="15" t="s">
        <v>877</v>
      </c>
      <c r="M24" s="15" t="s">
        <v>878</v>
      </c>
      <c r="N24" s="15" t="s">
        <v>879</v>
      </c>
      <c r="O24" s="15" t="s">
        <v>880</v>
      </c>
      <c r="P24" s="15" t="s">
        <v>881</v>
      </c>
      <c r="Q24" s="15" t="s">
        <v>882</v>
      </c>
      <c r="R24" s="15" t="s">
        <v>883</v>
      </c>
      <c r="S24" s="15" t="s">
        <v>884</v>
      </c>
    </row>
    <row r="25" spans="1:20">
      <c r="A25" s="4" t="s">
        <v>174</v>
      </c>
      <c r="B25" s="38">
        <f>100*'AMD'!B38*'LAFs'!B$225*B$11*'Input'!$E$58/'Input'!$F$58*(1-'Contrib'!B$88)</f>
        <v>0</v>
      </c>
      <c r="C25" s="38">
        <f>100*'AMD'!C38*'LAFs'!C$225*C$11*'Input'!$E$58/'Input'!$F$58*(1-'Contrib'!C$88)</f>
        <v>0</v>
      </c>
      <c r="D25" s="38">
        <f>100*'AMD'!D38*'LAFs'!D$225*D$11*'Input'!$E$58/'Input'!$F$58*(1-'Contrib'!D$88)</f>
        <v>0</v>
      </c>
      <c r="E25" s="38">
        <f>100*'AMD'!E38*'LAFs'!E$225*E$11*'Input'!$E$58/'Input'!$F$58*(1-'Contrib'!E$88)</f>
        <v>0</v>
      </c>
      <c r="F25" s="38">
        <f>100*'AMD'!F38*'LAFs'!F$225*F$11*'Input'!$E$58/'Input'!$F$58*(1-'Contrib'!F$88)</f>
        <v>0</v>
      </c>
      <c r="G25" s="38">
        <f>100*'AMD'!G38*'LAFs'!G$225*G$11*'Input'!$E$58/'Input'!$F$58*(1-'Contrib'!G$88)</f>
        <v>0</v>
      </c>
      <c r="H25" s="38">
        <f>100*'AMD'!H38*'LAFs'!H$225*H$11*'Input'!$E$58/'Input'!$F$58*(1-'Contrib'!H$88)</f>
        <v>0</v>
      </c>
      <c r="I25" s="38">
        <f>100*'AMD'!I38*'LAFs'!I$225*I$11*'Input'!$E$58/'Input'!$F$58*(1-'Contrib'!I$88)</f>
        <v>0</v>
      </c>
      <c r="J25" s="38">
        <f>100*'AMD'!J38*'LAFs'!J$225*J$11*'Input'!$E$58/'Input'!$F$58*(1-'Contrib'!J$88)</f>
        <v>0</v>
      </c>
      <c r="K25" s="38">
        <f>100*'AMD'!B38*'LAFs'!B$225*K$11*'Input'!$E$58/'Input'!$F$58*(1-'Contrib'!K$88)</f>
        <v>0</v>
      </c>
      <c r="L25" s="38">
        <f>100*'AMD'!C38*'LAFs'!C$225*L$11*'Input'!$E$58/'Input'!$F$58*(1-'Contrib'!L$88)</f>
        <v>0</v>
      </c>
      <c r="M25" s="38">
        <f>100*'AMD'!D38*'LAFs'!D$225*M$11*'Input'!$E$58/'Input'!$F$58*(1-'Contrib'!M$88)</f>
        <v>0</v>
      </c>
      <c r="N25" s="38">
        <f>100*'AMD'!E38*'LAFs'!E$225*N$11*'Input'!$E$58/'Input'!$F$58*(1-'Contrib'!N$88)</f>
        <v>0</v>
      </c>
      <c r="O25" s="38">
        <f>100*'AMD'!F38*'LAFs'!F$225*O$11*'Input'!$E$58/'Input'!$F$58*(1-'Contrib'!O$88)</f>
        <v>0</v>
      </c>
      <c r="P25" s="38">
        <f>100*'AMD'!G38*'LAFs'!G$225*P$11*'Input'!$E$58/'Input'!$F$58*(1-'Contrib'!P$88)</f>
        <v>0</v>
      </c>
      <c r="Q25" s="38">
        <f>100*'AMD'!H38*'LAFs'!H$225*Q$11*'Input'!$E$58/'Input'!$F$58*(1-'Contrib'!Q$88)</f>
        <v>0</v>
      </c>
      <c r="R25" s="38">
        <f>100*'AMD'!I38*'LAFs'!I$225*R$11*'Input'!$E$58/'Input'!$F$58*(1-'Contrib'!R$88)</f>
        <v>0</v>
      </c>
      <c r="S25" s="38">
        <f>100*'AMD'!J38*'LAFs'!J$225*S$11*'Input'!$E$58/'Input'!$F$58*(1-'Contrib'!S$88)</f>
        <v>0</v>
      </c>
      <c r="T25" s="17"/>
    </row>
    <row r="26" spans="1:20">
      <c r="A26" s="4" t="s">
        <v>175</v>
      </c>
      <c r="B26" s="38">
        <f>100*'AMD'!B39*'LAFs'!B$226*B$11*'Input'!$E$58/'Input'!$F$58*(1-'Contrib'!B$89)</f>
        <v>0</v>
      </c>
      <c r="C26" s="38">
        <f>100*'AMD'!C39*'LAFs'!C$226*C$11*'Input'!$E$58/'Input'!$F$58*(1-'Contrib'!C$89)</f>
        <v>0</v>
      </c>
      <c r="D26" s="38">
        <f>100*'AMD'!D39*'LAFs'!D$226*D$11*'Input'!$E$58/'Input'!$F$58*(1-'Contrib'!D$89)</f>
        <v>0</v>
      </c>
      <c r="E26" s="38">
        <f>100*'AMD'!E39*'LAFs'!E$226*E$11*'Input'!$E$58/'Input'!$F$58*(1-'Contrib'!E$89)</f>
        <v>0</v>
      </c>
      <c r="F26" s="38">
        <f>100*'AMD'!F39*'LAFs'!F$226*F$11*'Input'!$E$58/'Input'!$F$58*(1-'Contrib'!F$89)</f>
        <v>0</v>
      </c>
      <c r="G26" s="38">
        <f>100*'AMD'!G39*'LAFs'!G$226*G$11*'Input'!$E$58/'Input'!$F$58*(1-'Contrib'!G$89)</f>
        <v>0</v>
      </c>
      <c r="H26" s="38">
        <f>100*'AMD'!H39*'LAFs'!H$226*H$11*'Input'!$E$58/'Input'!$F$58*(1-'Contrib'!H$89)</f>
        <v>0</v>
      </c>
      <c r="I26" s="38">
        <f>100*'AMD'!I39*'LAFs'!I$226*I$11*'Input'!$E$58/'Input'!$F$58*(1-'Contrib'!I$89)</f>
        <v>0</v>
      </c>
      <c r="J26" s="38">
        <f>100*'AMD'!J39*'LAFs'!J$226*J$11*'Input'!$E$58/'Input'!$F$58*(1-'Contrib'!J$89)</f>
        <v>0</v>
      </c>
      <c r="K26" s="38">
        <f>100*'AMD'!B39*'LAFs'!B$226*K$11*'Input'!$E$58/'Input'!$F$58*(1-'Contrib'!K$89)</f>
        <v>0</v>
      </c>
      <c r="L26" s="38">
        <f>100*'AMD'!C39*'LAFs'!C$226*L$11*'Input'!$E$58/'Input'!$F$58*(1-'Contrib'!L$89)</f>
        <v>0</v>
      </c>
      <c r="M26" s="38">
        <f>100*'AMD'!D39*'LAFs'!D$226*M$11*'Input'!$E$58/'Input'!$F$58*(1-'Contrib'!M$89)</f>
        <v>0</v>
      </c>
      <c r="N26" s="38">
        <f>100*'AMD'!E39*'LAFs'!E$226*N$11*'Input'!$E$58/'Input'!$F$58*(1-'Contrib'!N$89)</f>
        <v>0</v>
      </c>
      <c r="O26" s="38">
        <f>100*'AMD'!F39*'LAFs'!F$226*O$11*'Input'!$E$58/'Input'!$F$58*(1-'Contrib'!O$89)</f>
        <v>0</v>
      </c>
      <c r="P26" s="38">
        <f>100*'AMD'!G39*'LAFs'!G$226*P$11*'Input'!$E$58/'Input'!$F$58*(1-'Contrib'!P$89)</f>
        <v>0</v>
      </c>
      <c r="Q26" s="38">
        <f>100*'AMD'!H39*'LAFs'!H$226*Q$11*'Input'!$E$58/'Input'!$F$58*(1-'Contrib'!Q$89)</f>
        <v>0</v>
      </c>
      <c r="R26" s="38">
        <f>100*'AMD'!I39*'LAFs'!I$226*R$11*'Input'!$E$58/'Input'!$F$58*(1-'Contrib'!R$89)</f>
        <v>0</v>
      </c>
      <c r="S26" s="38">
        <f>100*'AMD'!J39*'LAFs'!J$226*S$11*'Input'!$E$58/'Input'!$F$58*(1-'Contrib'!S$89)</f>
        <v>0</v>
      </c>
      <c r="T26" s="17"/>
    </row>
    <row r="27" spans="1:20">
      <c r="A27" s="4" t="s">
        <v>211</v>
      </c>
      <c r="B27" s="38">
        <f>100*'AMD'!B40*'LAFs'!B$227*B$11*'Input'!$E$58/'Input'!$F$58*(1-'Contrib'!B$90)</f>
        <v>0</v>
      </c>
      <c r="C27" s="38">
        <f>100*'AMD'!C40*'LAFs'!C$227*C$11*'Input'!$E$58/'Input'!$F$58*(1-'Contrib'!C$90)</f>
        <v>0</v>
      </c>
      <c r="D27" s="38">
        <f>100*'AMD'!D40*'LAFs'!D$227*D$11*'Input'!$E$58/'Input'!$F$58*(1-'Contrib'!D$90)</f>
        <v>0</v>
      </c>
      <c r="E27" s="38">
        <f>100*'AMD'!E40*'LAFs'!E$227*E$11*'Input'!$E$58/'Input'!$F$58*(1-'Contrib'!E$90)</f>
        <v>0</v>
      </c>
      <c r="F27" s="38">
        <f>100*'AMD'!F40*'LAFs'!F$227*F$11*'Input'!$E$58/'Input'!$F$58*(1-'Contrib'!F$90)</f>
        <v>0</v>
      </c>
      <c r="G27" s="38">
        <f>100*'AMD'!G40*'LAFs'!G$227*G$11*'Input'!$E$58/'Input'!$F$58*(1-'Contrib'!G$90)</f>
        <v>0</v>
      </c>
      <c r="H27" s="38">
        <f>100*'AMD'!H40*'LAFs'!H$227*H$11*'Input'!$E$58/'Input'!$F$58*(1-'Contrib'!H$90)</f>
        <v>0</v>
      </c>
      <c r="I27" s="38">
        <f>100*'AMD'!I40*'LAFs'!I$227*I$11*'Input'!$E$58/'Input'!$F$58*(1-'Contrib'!I$90)</f>
        <v>0</v>
      </c>
      <c r="J27" s="38">
        <f>100*'AMD'!J40*'LAFs'!J$227*J$11*'Input'!$E$58/'Input'!$F$58*(1-'Contrib'!J$90)</f>
        <v>0</v>
      </c>
      <c r="K27" s="38">
        <f>100*'AMD'!B40*'LAFs'!B$227*K$11*'Input'!$E$58/'Input'!$F$58*(1-'Contrib'!K$90)</f>
        <v>0</v>
      </c>
      <c r="L27" s="38">
        <f>100*'AMD'!C40*'LAFs'!C$227*L$11*'Input'!$E$58/'Input'!$F$58*(1-'Contrib'!L$90)</f>
        <v>0</v>
      </c>
      <c r="M27" s="38">
        <f>100*'AMD'!D40*'LAFs'!D$227*M$11*'Input'!$E$58/'Input'!$F$58*(1-'Contrib'!M$90)</f>
        <v>0</v>
      </c>
      <c r="N27" s="38">
        <f>100*'AMD'!E40*'LAFs'!E$227*N$11*'Input'!$E$58/'Input'!$F$58*(1-'Contrib'!N$90)</f>
        <v>0</v>
      </c>
      <c r="O27" s="38">
        <f>100*'AMD'!F40*'LAFs'!F$227*O$11*'Input'!$E$58/'Input'!$F$58*(1-'Contrib'!O$90)</f>
        <v>0</v>
      </c>
      <c r="P27" s="38">
        <f>100*'AMD'!G40*'LAFs'!G$227*P$11*'Input'!$E$58/'Input'!$F$58*(1-'Contrib'!P$90)</f>
        <v>0</v>
      </c>
      <c r="Q27" s="38">
        <f>100*'AMD'!H40*'LAFs'!H$227*Q$11*'Input'!$E$58/'Input'!$F$58*(1-'Contrib'!Q$90)</f>
        <v>0</v>
      </c>
      <c r="R27" s="38">
        <f>100*'AMD'!I40*'LAFs'!I$227*R$11*'Input'!$E$58/'Input'!$F$58*(1-'Contrib'!R$90)</f>
        <v>0</v>
      </c>
      <c r="S27" s="38">
        <f>100*'AMD'!J40*'LAFs'!J$227*S$11*'Input'!$E$58/'Input'!$F$58*(1-'Contrib'!S$90)</f>
        <v>0</v>
      </c>
      <c r="T27" s="17"/>
    </row>
    <row r="28" spans="1:20">
      <c r="A28" s="4" t="s">
        <v>176</v>
      </c>
      <c r="B28" s="38">
        <f>100*'AMD'!B41*'LAFs'!B$228*B$11*'Input'!$E$58/'Input'!$F$58*(1-'Contrib'!B$91)</f>
        <v>0</v>
      </c>
      <c r="C28" s="38">
        <f>100*'AMD'!C41*'LAFs'!C$228*C$11*'Input'!$E$58/'Input'!$F$58*(1-'Contrib'!C$91)</f>
        <v>0</v>
      </c>
      <c r="D28" s="38">
        <f>100*'AMD'!D41*'LAFs'!D$228*D$11*'Input'!$E$58/'Input'!$F$58*(1-'Contrib'!D$91)</f>
        <v>0</v>
      </c>
      <c r="E28" s="38">
        <f>100*'AMD'!E41*'LAFs'!E$228*E$11*'Input'!$E$58/'Input'!$F$58*(1-'Contrib'!E$91)</f>
        <v>0</v>
      </c>
      <c r="F28" s="38">
        <f>100*'AMD'!F41*'LAFs'!F$228*F$11*'Input'!$E$58/'Input'!$F$58*(1-'Contrib'!F$91)</f>
        <v>0</v>
      </c>
      <c r="G28" s="38">
        <f>100*'AMD'!G41*'LAFs'!G$228*G$11*'Input'!$E$58/'Input'!$F$58*(1-'Contrib'!G$91)</f>
        <v>0</v>
      </c>
      <c r="H28" s="38">
        <f>100*'AMD'!H41*'LAFs'!H$228*H$11*'Input'!$E$58/'Input'!$F$58*(1-'Contrib'!H$91)</f>
        <v>0</v>
      </c>
      <c r="I28" s="38">
        <f>100*'AMD'!I41*'LAFs'!I$228*I$11*'Input'!$E$58/'Input'!$F$58*(1-'Contrib'!I$91)</f>
        <v>0</v>
      </c>
      <c r="J28" s="38">
        <f>100*'AMD'!J41*'LAFs'!J$228*J$11*'Input'!$E$58/'Input'!$F$58*(1-'Contrib'!J$91)</f>
        <v>0</v>
      </c>
      <c r="K28" s="38">
        <f>100*'AMD'!B41*'LAFs'!B$228*K$11*'Input'!$E$58/'Input'!$F$58*(1-'Contrib'!K$91)</f>
        <v>0</v>
      </c>
      <c r="L28" s="38">
        <f>100*'AMD'!C41*'LAFs'!C$228*L$11*'Input'!$E$58/'Input'!$F$58*(1-'Contrib'!L$91)</f>
        <v>0</v>
      </c>
      <c r="M28" s="38">
        <f>100*'AMD'!D41*'LAFs'!D$228*M$11*'Input'!$E$58/'Input'!$F$58*(1-'Contrib'!M$91)</f>
        <v>0</v>
      </c>
      <c r="N28" s="38">
        <f>100*'AMD'!E41*'LAFs'!E$228*N$11*'Input'!$E$58/'Input'!$F$58*(1-'Contrib'!N$91)</f>
        <v>0</v>
      </c>
      <c r="O28" s="38">
        <f>100*'AMD'!F41*'LAFs'!F$228*O$11*'Input'!$E$58/'Input'!$F$58*(1-'Contrib'!O$91)</f>
        <v>0</v>
      </c>
      <c r="P28" s="38">
        <f>100*'AMD'!G41*'LAFs'!G$228*P$11*'Input'!$E$58/'Input'!$F$58*(1-'Contrib'!P$91)</f>
        <v>0</v>
      </c>
      <c r="Q28" s="38">
        <f>100*'AMD'!H41*'LAFs'!H$228*Q$11*'Input'!$E$58/'Input'!$F$58*(1-'Contrib'!Q$91)</f>
        <v>0</v>
      </c>
      <c r="R28" s="38">
        <f>100*'AMD'!I41*'LAFs'!I$228*R$11*'Input'!$E$58/'Input'!$F$58*(1-'Contrib'!R$91)</f>
        <v>0</v>
      </c>
      <c r="S28" s="38">
        <f>100*'AMD'!J41*'LAFs'!J$228*S$11*'Input'!$E$58/'Input'!$F$58*(1-'Contrib'!S$91)</f>
        <v>0</v>
      </c>
      <c r="T28" s="17"/>
    </row>
    <row r="29" spans="1:20">
      <c r="A29" s="4" t="s">
        <v>177</v>
      </c>
      <c r="B29" s="38">
        <f>100*'AMD'!B42*'LAFs'!B$229*B$11*'Input'!$E$58/'Input'!$F$58*(1-'Contrib'!B$92)</f>
        <v>0</v>
      </c>
      <c r="C29" s="38">
        <f>100*'AMD'!C42*'LAFs'!C$229*C$11*'Input'!$E$58/'Input'!$F$58*(1-'Contrib'!C$92)</f>
        <v>0</v>
      </c>
      <c r="D29" s="38">
        <f>100*'AMD'!D42*'LAFs'!D$229*D$11*'Input'!$E$58/'Input'!$F$58*(1-'Contrib'!D$92)</f>
        <v>0</v>
      </c>
      <c r="E29" s="38">
        <f>100*'AMD'!E42*'LAFs'!E$229*E$11*'Input'!$E$58/'Input'!$F$58*(1-'Contrib'!E$92)</f>
        <v>0</v>
      </c>
      <c r="F29" s="38">
        <f>100*'AMD'!F42*'LAFs'!F$229*F$11*'Input'!$E$58/'Input'!$F$58*(1-'Contrib'!F$92)</f>
        <v>0</v>
      </c>
      <c r="G29" s="38">
        <f>100*'AMD'!G42*'LAFs'!G$229*G$11*'Input'!$E$58/'Input'!$F$58*(1-'Contrib'!G$92)</f>
        <v>0</v>
      </c>
      <c r="H29" s="38">
        <f>100*'AMD'!H42*'LAFs'!H$229*H$11*'Input'!$E$58/'Input'!$F$58*(1-'Contrib'!H$92)</f>
        <v>0</v>
      </c>
      <c r="I29" s="38">
        <f>100*'AMD'!I42*'LAFs'!I$229*I$11*'Input'!$E$58/'Input'!$F$58*(1-'Contrib'!I$92)</f>
        <v>0</v>
      </c>
      <c r="J29" s="38">
        <f>100*'AMD'!J42*'LAFs'!J$229*J$11*'Input'!$E$58/'Input'!$F$58*(1-'Contrib'!J$92)</f>
        <v>0</v>
      </c>
      <c r="K29" s="38">
        <f>100*'AMD'!B42*'LAFs'!B$229*K$11*'Input'!$E$58/'Input'!$F$58*(1-'Contrib'!K$92)</f>
        <v>0</v>
      </c>
      <c r="L29" s="38">
        <f>100*'AMD'!C42*'LAFs'!C$229*L$11*'Input'!$E$58/'Input'!$F$58*(1-'Contrib'!L$92)</f>
        <v>0</v>
      </c>
      <c r="M29" s="38">
        <f>100*'AMD'!D42*'LAFs'!D$229*M$11*'Input'!$E$58/'Input'!$F$58*(1-'Contrib'!M$92)</f>
        <v>0</v>
      </c>
      <c r="N29" s="38">
        <f>100*'AMD'!E42*'LAFs'!E$229*N$11*'Input'!$E$58/'Input'!$F$58*(1-'Contrib'!N$92)</f>
        <v>0</v>
      </c>
      <c r="O29" s="38">
        <f>100*'AMD'!F42*'LAFs'!F$229*O$11*'Input'!$E$58/'Input'!$F$58*(1-'Contrib'!O$92)</f>
        <v>0</v>
      </c>
      <c r="P29" s="38">
        <f>100*'AMD'!G42*'LAFs'!G$229*P$11*'Input'!$E$58/'Input'!$F$58*(1-'Contrib'!P$92)</f>
        <v>0</v>
      </c>
      <c r="Q29" s="38">
        <f>100*'AMD'!H42*'LAFs'!H$229*Q$11*'Input'!$E$58/'Input'!$F$58*(1-'Contrib'!Q$92)</f>
        <v>0</v>
      </c>
      <c r="R29" s="38">
        <f>100*'AMD'!I42*'LAFs'!I$229*R$11*'Input'!$E$58/'Input'!$F$58*(1-'Contrib'!R$92)</f>
        <v>0</v>
      </c>
      <c r="S29" s="38">
        <f>100*'AMD'!J42*'LAFs'!J$229*S$11*'Input'!$E$58/'Input'!$F$58*(1-'Contrib'!S$92)</f>
        <v>0</v>
      </c>
      <c r="T29" s="17"/>
    </row>
    <row r="30" spans="1:20">
      <c r="A30" s="4" t="s">
        <v>212</v>
      </c>
      <c r="B30" s="38">
        <f>100*'AMD'!B43*'LAFs'!B$230*B$11*'Input'!$E$58/'Input'!$F$58*(1-'Contrib'!B$93)</f>
        <v>0</v>
      </c>
      <c r="C30" s="38">
        <f>100*'AMD'!C43*'LAFs'!C$230*C$11*'Input'!$E$58/'Input'!$F$58*(1-'Contrib'!C$93)</f>
        <v>0</v>
      </c>
      <c r="D30" s="38">
        <f>100*'AMD'!D43*'LAFs'!D$230*D$11*'Input'!$E$58/'Input'!$F$58*(1-'Contrib'!D$93)</f>
        <v>0</v>
      </c>
      <c r="E30" s="38">
        <f>100*'AMD'!E43*'LAFs'!E$230*E$11*'Input'!$E$58/'Input'!$F$58*(1-'Contrib'!E$93)</f>
        <v>0</v>
      </c>
      <c r="F30" s="38">
        <f>100*'AMD'!F43*'LAFs'!F$230*F$11*'Input'!$E$58/'Input'!$F$58*(1-'Contrib'!F$93)</f>
        <v>0</v>
      </c>
      <c r="G30" s="38">
        <f>100*'AMD'!G43*'LAFs'!G$230*G$11*'Input'!$E$58/'Input'!$F$58*(1-'Contrib'!G$93)</f>
        <v>0</v>
      </c>
      <c r="H30" s="38">
        <f>100*'AMD'!H43*'LAFs'!H$230*H$11*'Input'!$E$58/'Input'!$F$58*(1-'Contrib'!H$93)</f>
        <v>0</v>
      </c>
      <c r="I30" s="38">
        <f>100*'AMD'!I43*'LAFs'!I$230*I$11*'Input'!$E$58/'Input'!$F$58*(1-'Contrib'!I$93)</f>
        <v>0</v>
      </c>
      <c r="J30" s="38">
        <f>100*'AMD'!J43*'LAFs'!J$230*J$11*'Input'!$E$58/'Input'!$F$58*(1-'Contrib'!J$93)</f>
        <v>0</v>
      </c>
      <c r="K30" s="38">
        <f>100*'AMD'!B43*'LAFs'!B$230*K$11*'Input'!$E$58/'Input'!$F$58*(1-'Contrib'!K$93)</f>
        <v>0</v>
      </c>
      <c r="L30" s="38">
        <f>100*'AMD'!C43*'LAFs'!C$230*L$11*'Input'!$E$58/'Input'!$F$58*(1-'Contrib'!L$93)</f>
        <v>0</v>
      </c>
      <c r="M30" s="38">
        <f>100*'AMD'!D43*'LAFs'!D$230*M$11*'Input'!$E$58/'Input'!$F$58*(1-'Contrib'!M$93)</f>
        <v>0</v>
      </c>
      <c r="N30" s="38">
        <f>100*'AMD'!E43*'LAFs'!E$230*N$11*'Input'!$E$58/'Input'!$F$58*(1-'Contrib'!N$93)</f>
        <v>0</v>
      </c>
      <c r="O30" s="38">
        <f>100*'AMD'!F43*'LAFs'!F$230*O$11*'Input'!$E$58/'Input'!$F$58*(1-'Contrib'!O$93)</f>
        <v>0</v>
      </c>
      <c r="P30" s="38">
        <f>100*'AMD'!G43*'LAFs'!G$230*P$11*'Input'!$E$58/'Input'!$F$58*(1-'Contrib'!P$93)</f>
        <v>0</v>
      </c>
      <c r="Q30" s="38">
        <f>100*'AMD'!H43*'LAFs'!H$230*Q$11*'Input'!$E$58/'Input'!$F$58*(1-'Contrib'!Q$93)</f>
        <v>0</v>
      </c>
      <c r="R30" s="38">
        <f>100*'AMD'!I43*'LAFs'!I$230*R$11*'Input'!$E$58/'Input'!$F$58*(1-'Contrib'!R$93)</f>
        <v>0</v>
      </c>
      <c r="S30" s="38">
        <f>100*'AMD'!J43*'LAFs'!J$230*S$11*'Input'!$E$58/'Input'!$F$58*(1-'Contrib'!S$93)</f>
        <v>0</v>
      </c>
      <c r="T30" s="17"/>
    </row>
    <row r="31" spans="1:20">
      <c r="A31" s="4" t="s">
        <v>178</v>
      </c>
      <c r="B31" s="38">
        <f>100*'AMD'!B44*'LAFs'!B$231*B$11*'Input'!$E$58/'Input'!$F$58*(1-'Contrib'!B$94)</f>
        <v>0</v>
      </c>
      <c r="C31" s="38">
        <f>100*'AMD'!C44*'LAFs'!C$231*C$11*'Input'!$E$58/'Input'!$F$58*(1-'Contrib'!C$94)</f>
        <v>0</v>
      </c>
      <c r="D31" s="38">
        <f>100*'AMD'!D44*'LAFs'!D$231*D$11*'Input'!$E$58/'Input'!$F$58*(1-'Contrib'!D$94)</f>
        <v>0</v>
      </c>
      <c r="E31" s="38">
        <f>100*'AMD'!E44*'LAFs'!E$231*E$11*'Input'!$E$58/'Input'!$F$58*(1-'Contrib'!E$94)</f>
        <v>0</v>
      </c>
      <c r="F31" s="38">
        <f>100*'AMD'!F44*'LAFs'!F$231*F$11*'Input'!$E$58/'Input'!$F$58*(1-'Contrib'!F$94)</f>
        <v>0</v>
      </c>
      <c r="G31" s="38">
        <f>100*'AMD'!G44*'LAFs'!G$231*G$11*'Input'!$E$58/'Input'!$F$58*(1-'Contrib'!G$94)</f>
        <v>0</v>
      </c>
      <c r="H31" s="38">
        <f>100*'AMD'!H44*'LAFs'!H$231*H$11*'Input'!$E$58/'Input'!$F$58*(1-'Contrib'!H$94)</f>
        <v>0</v>
      </c>
      <c r="I31" s="38">
        <f>100*'AMD'!I44*'LAFs'!I$231*I$11*'Input'!$E$58/'Input'!$F$58*(1-'Contrib'!I$94)</f>
        <v>0</v>
      </c>
      <c r="J31" s="38">
        <f>100*'AMD'!J44*'LAFs'!J$231*J$11*'Input'!$E$58/'Input'!$F$58*(1-'Contrib'!J$94)</f>
        <v>0</v>
      </c>
      <c r="K31" s="38">
        <f>100*'AMD'!B44*'LAFs'!B$231*K$11*'Input'!$E$58/'Input'!$F$58*(1-'Contrib'!K$94)</f>
        <v>0</v>
      </c>
      <c r="L31" s="38">
        <f>100*'AMD'!C44*'LAFs'!C$231*L$11*'Input'!$E$58/'Input'!$F$58*(1-'Contrib'!L$94)</f>
        <v>0</v>
      </c>
      <c r="M31" s="38">
        <f>100*'AMD'!D44*'LAFs'!D$231*M$11*'Input'!$E$58/'Input'!$F$58*(1-'Contrib'!M$94)</f>
        <v>0</v>
      </c>
      <c r="N31" s="38">
        <f>100*'AMD'!E44*'LAFs'!E$231*N$11*'Input'!$E$58/'Input'!$F$58*(1-'Contrib'!N$94)</f>
        <v>0</v>
      </c>
      <c r="O31" s="38">
        <f>100*'AMD'!F44*'LAFs'!F$231*O$11*'Input'!$E$58/'Input'!$F$58*(1-'Contrib'!O$94)</f>
        <v>0</v>
      </c>
      <c r="P31" s="38">
        <f>100*'AMD'!G44*'LAFs'!G$231*P$11*'Input'!$E$58/'Input'!$F$58*(1-'Contrib'!P$94)</f>
        <v>0</v>
      </c>
      <c r="Q31" s="38">
        <f>100*'AMD'!H44*'LAFs'!H$231*Q$11*'Input'!$E$58/'Input'!$F$58*(1-'Contrib'!Q$94)</f>
        <v>0</v>
      </c>
      <c r="R31" s="38">
        <f>100*'AMD'!I44*'LAFs'!I$231*R$11*'Input'!$E$58/'Input'!$F$58*(1-'Contrib'!R$94)</f>
        <v>0</v>
      </c>
      <c r="S31" s="38">
        <f>100*'AMD'!J44*'LAFs'!J$231*S$11*'Input'!$E$58/'Input'!$F$58*(1-'Contrib'!S$94)</f>
        <v>0</v>
      </c>
      <c r="T31" s="17"/>
    </row>
    <row r="32" spans="1:20">
      <c r="A32" s="4" t="s">
        <v>179</v>
      </c>
      <c r="B32" s="38">
        <f>100*'AMD'!B45*'LAFs'!B$232*B$11*'Input'!$E$58/'Input'!$F$58*(1-'Contrib'!B$95)</f>
        <v>0</v>
      </c>
      <c r="C32" s="38">
        <f>100*'AMD'!C45*'LAFs'!C$232*C$11*'Input'!$E$58/'Input'!$F$58*(1-'Contrib'!C$95)</f>
        <v>0</v>
      </c>
      <c r="D32" s="38">
        <f>100*'AMD'!D45*'LAFs'!D$232*D$11*'Input'!$E$58/'Input'!$F$58*(1-'Contrib'!D$95)</f>
        <v>0</v>
      </c>
      <c r="E32" s="38">
        <f>100*'AMD'!E45*'LAFs'!E$232*E$11*'Input'!$E$58/'Input'!$F$58*(1-'Contrib'!E$95)</f>
        <v>0</v>
      </c>
      <c r="F32" s="38">
        <f>100*'AMD'!F45*'LAFs'!F$232*F$11*'Input'!$E$58/'Input'!$F$58*(1-'Contrib'!F$95)</f>
        <v>0</v>
      </c>
      <c r="G32" s="38">
        <f>100*'AMD'!G45*'LAFs'!G$232*G$11*'Input'!$E$58/'Input'!$F$58*(1-'Contrib'!G$95)</f>
        <v>0</v>
      </c>
      <c r="H32" s="38">
        <f>100*'AMD'!H45*'LAFs'!H$232*H$11*'Input'!$E$58/'Input'!$F$58*(1-'Contrib'!H$95)</f>
        <v>0</v>
      </c>
      <c r="I32" s="38">
        <f>100*'AMD'!I45*'LAFs'!I$232*I$11*'Input'!$E$58/'Input'!$F$58*(1-'Contrib'!I$95)</f>
        <v>0</v>
      </c>
      <c r="J32" s="38">
        <f>100*'AMD'!J45*'LAFs'!J$232*J$11*'Input'!$E$58/'Input'!$F$58*(1-'Contrib'!J$95)</f>
        <v>0</v>
      </c>
      <c r="K32" s="38">
        <f>100*'AMD'!B45*'LAFs'!B$232*K$11*'Input'!$E$58/'Input'!$F$58*(1-'Contrib'!K$95)</f>
        <v>0</v>
      </c>
      <c r="L32" s="38">
        <f>100*'AMD'!C45*'LAFs'!C$232*L$11*'Input'!$E$58/'Input'!$F$58*(1-'Contrib'!L$95)</f>
        <v>0</v>
      </c>
      <c r="M32" s="38">
        <f>100*'AMD'!D45*'LAFs'!D$232*M$11*'Input'!$E$58/'Input'!$F$58*(1-'Contrib'!M$95)</f>
        <v>0</v>
      </c>
      <c r="N32" s="38">
        <f>100*'AMD'!E45*'LAFs'!E$232*N$11*'Input'!$E$58/'Input'!$F$58*(1-'Contrib'!N$95)</f>
        <v>0</v>
      </c>
      <c r="O32" s="38">
        <f>100*'AMD'!F45*'LAFs'!F$232*O$11*'Input'!$E$58/'Input'!$F$58*(1-'Contrib'!O$95)</f>
        <v>0</v>
      </c>
      <c r="P32" s="38">
        <f>100*'AMD'!G45*'LAFs'!G$232*P$11*'Input'!$E$58/'Input'!$F$58*(1-'Contrib'!P$95)</f>
        <v>0</v>
      </c>
      <c r="Q32" s="38">
        <f>100*'AMD'!H45*'LAFs'!H$232*Q$11*'Input'!$E$58/'Input'!$F$58*(1-'Contrib'!Q$95)</f>
        <v>0</v>
      </c>
      <c r="R32" s="38">
        <f>100*'AMD'!I45*'LAFs'!I$232*R$11*'Input'!$E$58/'Input'!$F$58*(1-'Contrib'!R$95)</f>
        <v>0</v>
      </c>
      <c r="S32" s="38">
        <f>100*'AMD'!J45*'LAFs'!J$232*S$11*'Input'!$E$58/'Input'!$F$58*(1-'Contrib'!S$95)</f>
        <v>0</v>
      </c>
      <c r="T32" s="17"/>
    </row>
    <row r="33" spans="1:20">
      <c r="A33" s="4" t="s">
        <v>180</v>
      </c>
      <c r="B33" s="38">
        <f>100*'AMD'!B46*'LAFs'!B$233*B$11*'Input'!$E$58/'Input'!$F$58*(1-'Contrib'!B$96)</f>
        <v>0</v>
      </c>
      <c r="C33" s="38">
        <f>100*'AMD'!C46*'LAFs'!C$233*C$11*'Input'!$E$58/'Input'!$F$58*(1-'Contrib'!C$96)</f>
        <v>0</v>
      </c>
      <c r="D33" s="38">
        <f>100*'AMD'!D46*'LAFs'!D$233*D$11*'Input'!$E$58/'Input'!$F$58*(1-'Contrib'!D$96)</f>
        <v>0</v>
      </c>
      <c r="E33" s="38">
        <f>100*'AMD'!E46*'LAFs'!E$233*E$11*'Input'!$E$58/'Input'!$F$58*(1-'Contrib'!E$96)</f>
        <v>0</v>
      </c>
      <c r="F33" s="38">
        <f>100*'AMD'!F46*'LAFs'!F$233*F$11*'Input'!$E$58/'Input'!$F$58*(1-'Contrib'!F$96)</f>
        <v>0</v>
      </c>
      <c r="G33" s="38">
        <f>100*'AMD'!G46*'LAFs'!G$233*G$11*'Input'!$E$58/'Input'!$F$58*(1-'Contrib'!G$96)</f>
        <v>0</v>
      </c>
      <c r="H33" s="38">
        <f>100*'AMD'!H46*'LAFs'!H$233*H$11*'Input'!$E$58/'Input'!$F$58*(1-'Contrib'!H$96)</f>
        <v>0</v>
      </c>
      <c r="I33" s="38">
        <f>100*'AMD'!I46*'LAFs'!I$233*I$11*'Input'!$E$58/'Input'!$F$58*(1-'Contrib'!I$96)</f>
        <v>0</v>
      </c>
      <c r="J33" s="38">
        <f>100*'AMD'!J46*'LAFs'!J$233*J$11*'Input'!$E$58/'Input'!$F$58*(1-'Contrib'!J$96)</f>
        <v>0</v>
      </c>
      <c r="K33" s="38">
        <f>100*'AMD'!B46*'LAFs'!B$233*K$11*'Input'!$E$58/'Input'!$F$58*(1-'Contrib'!K$96)</f>
        <v>0</v>
      </c>
      <c r="L33" s="38">
        <f>100*'AMD'!C46*'LAFs'!C$233*L$11*'Input'!$E$58/'Input'!$F$58*(1-'Contrib'!L$96)</f>
        <v>0</v>
      </c>
      <c r="M33" s="38">
        <f>100*'AMD'!D46*'LAFs'!D$233*M$11*'Input'!$E$58/'Input'!$F$58*(1-'Contrib'!M$96)</f>
        <v>0</v>
      </c>
      <c r="N33" s="38">
        <f>100*'AMD'!E46*'LAFs'!E$233*N$11*'Input'!$E$58/'Input'!$F$58*(1-'Contrib'!N$96)</f>
        <v>0</v>
      </c>
      <c r="O33" s="38">
        <f>100*'AMD'!F46*'LAFs'!F$233*O$11*'Input'!$E$58/'Input'!$F$58*(1-'Contrib'!O$96)</f>
        <v>0</v>
      </c>
      <c r="P33" s="38">
        <f>100*'AMD'!G46*'LAFs'!G$233*P$11*'Input'!$E$58/'Input'!$F$58*(1-'Contrib'!P$96)</f>
        <v>0</v>
      </c>
      <c r="Q33" s="38">
        <f>100*'AMD'!H46*'LAFs'!H$233*Q$11*'Input'!$E$58/'Input'!$F$58*(1-'Contrib'!Q$96)</f>
        <v>0</v>
      </c>
      <c r="R33" s="38">
        <f>100*'AMD'!I46*'LAFs'!I$233*R$11*'Input'!$E$58/'Input'!$F$58*(1-'Contrib'!R$96)</f>
        <v>0</v>
      </c>
      <c r="S33" s="38">
        <f>100*'AMD'!J46*'LAFs'!J$233*S$11*'Input'!$E$58/'Input'!$F$58*(1-'Contrib'!S$96)</f>
        <v>0</v>
      </c>
      <c r="T33" s="17"/>
    </row>
    <row r="34" spans="1:20">
      <c r="A34" s="4" t="s">
        <v>181</v>
      </c>
      <c r="B34" s="38">
        <f>100*'AMD'!B47*'LAFs'!B$234*B$11*'Input'!$E$58/'Input'!$F$58*(1-'Contrib'!B$97)</f>
        <v>0</v>
      </c>
      <c r="C34" s="38">
        <f>100*'AMD'!C47*'LAFs'!C$234*C$11*'Input'!$E$58/'Input'!$F$58*(1-'Contrib'!C$97)</f>
        <v>0</v>
      </c>
      <c r="D34" s="38">
        <f>100*'AMD'!D47*'LAFs'!D$234*D$11*'Input'!$E$58/'Input'!$F$58*(1-'Contrib'!D$97)</f>
        <v>0</v>
      </c>
      <c r="E34" s="38">
        <f>100*'AMD'!E47*'LAFs'!E$234*E$11*'Input'!$E$58/'Input'!$F$58*(1-'Contrib'!E$97)</f>
        <v>0</v>
      </c>
      <c r="F34" s="38">
        <f>100*'AMD'!F47*'LAFs'!F$234*F$11*'Input'!$E$58/'Input'!$F$58*(1-'Contrib'!F$97)</f>
        <v>0</v>
      </c>
      <c r="G34" s="38">
        <f>100*'AMD'!G47*'LAFs'!G$234*G$11*'Input'!$E$58/'Input'!$F$58*(1-'Contrib'!G$97)</f>
        <v>0</v>
      </c>
      <c r="H34" s="38">
        <f>100*'AMD'!H47*'LAFs'!H$234*H$11*'Input'!$E$58/'Input'!$F$58*(1-'Contrib'!H$97)</f>
        <v>0</v>
      </c>
      <c r="I34" s="38">
        <f>100*'AMD'!I47*'LAFs'!I$234*I$11*'Input'!$E$58/'Input'!$F$58*(1-'Contrib'!I$97)</f>
        <v>0</v>
      </c>
      <c r="J34" s="38">
        <f>100*'AMD'!J47*'LAFs'!J$234*J$11*'Input'!$E$58/'Input'!$F$58*(1-'Contrib'!J$97)</f>
        <v>0</v>
      </c>
      <c r="K34" s="38">
        <f>100*'AMD'!B47*'LAFs'!B$234*K$11*'Input'!$E$58/'Input'!$F$58*(1-'Contrib'!K$97)</f>
        <v>0</v>
      </c>
      <c r="L34" s="38">
        <f>100*'AMD'!C47*'LAFs'!C$234*L$11*'Input'!$E$58/'Input'!$F$58*(1-'Contrib'!L$97)</f>
        <v>0</v>
      </c>
      <c r="M34" s="38">
        <f>100*'AMD'!D47*'LAFs'!D$234*M$11*'Input'!$E$58/'Input'!$F$58*(1-'Contrib'!M$97)</f>
        <v>0</v>
      </c>
      <c r="N34" s="38">
        <f>100*'AMD'!E47*'LAFs'!E$234*N$11*'Input'!$E$58/'Input'!$F$58*(1-'Contrib'!N$97)</f>
        <v>0</v>
      </c>
      <c r="O34" s="38">
        <f>100*'AMD'!F47*'LAFs'!F$234*O$11*'Input'!$E$58/'Input'!$F$58*(1-'Contrib'!O$97)</f>
        <v>0</v>
      </c>
      <c r="P34" s="38">
        <f>100*'AMD'!G47*'LAFs'!G$234*P$11*'Input'!$E$58/'Input'!$F$58*(1-'Contrib'!P$97)</f>
        <v>0</v>
      </c>
      <c r="Q34" s="38">
        <f>100*'AMD'!H47*'LAFs'!H$234*Q$11*'Input'!$E$58/'Input'!$F$58*(1-'Contrib'!Q$97)</f>
        <v>0</v>
      </c>
      <c r="R34" s="38">
        <f>100*'AMD'!I47*'LAFs'!I$234*R$11*'Input'!$E$58/'Input'!$F$58*(1-'Contrib'!R$97)</f>
        <v>0</v>
      </c>
      <c r="S34" s="38">
        <f>100*'AMD'!J47*'LAFs'!J$234*S$11*'Input'!$E$58/'Input'!$F$58*(1-'Contrib'!S$97)</f>
        <v>0</v>
      </c>
      <c r="T34" s="17"/>
    </row>
    <row r="35" spans="1:20">
      <c r="A35" s="4" t="s">
        <v>193</v>
      </c>
      <c r="B35" s="38">
        <f>100*'AMD'!B48*'LAFs'!B$235*B$11*'Input'!$E$58/'Input'!$F$58*(1-'Contrib'!B$98)</f>
        <v>0</v>
      </c>
      <c r="C35" s="38">
        <f>100*'AMD'!C48*'LAFs'!C$235*C$11*'Input'!$E$58/'Input'!$F$58*(1-'Contrib'!C$98)</f>
        <v>0</v>
      </c>
      <c r="D35" s="38">
        <f>100*'AMD'!D48*'LAFs'!D$235*D$11*'Input'!$E$58/'Input'!$F$58*(1-'Contrib'!D$98)</f>
        <v>0</v>
      </c>
      <c r="E35" s="38">
        <f>100*'AMD'!E48*'LAFs'!E$235*E$11*'Input'!$E$58/'Input'!$F$58*(1-'Contrib'!E$98)</f>
        <v>0</v>
      </c>
      <c r="F35" s="38">
        <f>100*'AMD'!F48*'LAFs'!F$235*F$11*'Input'!$E$58/'Input'!$F$58*(1-'Contrib'!F$98)</f>
        <v>0</v>
      </c>
      <c r="G35" s="38">
        <f>100*'AMD'!G48*'LAFs'!G$235*G$11*'Input'!$E$58/'Input'!$F$58*(1-'Contrib'!G$98)</f>
        <v>0</v>
      </c>
      <c r="H35" s="38">
        <f>100*'AMD'!H48*'LAFs'!H$235*H$11*'Input'!$E$58/'Input'!$F$58*(1-'Contrib'!H$98)</f>
        <v>0</v>
      </c>
      <c r="I35" s="38">
        <f>100*'AMD'!I48*'LAFs'!I$235*I$11*'Input'!$E$58/'Input'!$F$58*(1-'Contrib'!I$98)</f>
        <v>0</v>
      </c>
      <c r="J35" s="38">
        <f>100*'AMD'!J48*'LAFs'!J$235*J$11*'Input'!$E$58/'Input'!$F$58*(1-'Contrib'!J$98)</f>
        <v>0</v>
      </c>
      <c r="K35" s="38">
        <f>100*'AMD'!B48*'LAFs'!B$235*K$11*'Input'!$E$58/'Input'!$F$58*(1-'Contrib'!K$98)</f>
        <v>0</v>
      </c>
      <c r="L35" s="38">
        <f>100*'AMD'!C48*'LAFs'!C$235*L$11*'Input'!$E$58/'Input'!$F$58*(1-'Contrib'!L$98)</f>
        <v>0</v>
      </c>
      <c r="M35" s="38">
        <f>100*'AMD'!D48*'LAFs'!D$235*M$11*'Input'!$E$58/'Input'!$F$58*(1-'Contrib'!M$98)</f>
        <v>0</v>
      </c>
      <c r="N35" s="38">
        <f>100*'AMD'!E48*'LAFs'!E$235*N$11*'Input'!$E$58/'Input'!$F$58*(1-'Contrib'!N$98)</f>
        <v>0</v>
      </c>
      <c r="O35" s="38">
        <f>100*'AMD'!F48*'LAFs'!F$235*O$11*'Input'!$E$58/'Input'!$F$58*(1-'Contrib'!O$98)</f>
        <v>0</v>
      </c>
      <c r="P35" s="38">
        <f>100*'AMD'!G48*'LAFs'!G$235*P$11*'Input'!$E$58/'Input'!$F$58*(1-'Contrib'!P$98)</f>
        <v>0</v>
      </c>
      <c r="Q35" s="38">
        <f>100*'AMD'!H48*'LAFs'!H$235*Q$11*'Input'!$E$58/'Input'!$F$58*(1-'Contrib'!Q$98)</f>
        <v>0</v>
      </c>
      <c r="R35" s="38">
        <f>100*'AMD'!I48*'LAFs'!I$235*R$11*'Input'!$E$58/'Input'!$F$58*(1-'Contrib'!R$98)</f>
        <v>0</v>
      </c>
      <c r="S35" s="38">
        <f>100*'AMD'!J48*'LAFs'!J$235*S$11*'Input'!$E$58/'Input'!$F$58*(1-'Contrib'!S$98)</f>
        <v>0</v>
      </c>
      <c r="T35" s="17"/>
    </row>
    <row r="36" spans="1:20">
      <c r="A36" s="4" t="s">
        <v>213</v>
      </c>
      <c r="B36" s="38">
        <f>100*'AMD'!B49*'LAFs'!B$236*B$11*'Input'!$E$58/'Input'!$F$58*(1-'Contrib'!B$99)</f>
        <v>0</v>
      </c>
      <c r="C36" s="38">
        <f>100*'AMD'!C49*'LAFs'!C$236*C$11*'Input'!$E$58/'Input'!$F$58*(1-'Contrib'!C$99)</f>
        <v>0</v>
      </c>
      <c r="D36" s="38">
        <f>100*'AMD'!D49*'LAFs'!D$236*D$11*'Input'!$E$58/'Input'!$F$58*(1-'Contrib'!D$99)</f>
        <v>0</v>
      </c>
      <c r="E36" s="38">
        <f>100*'AMD'!E49*'LAFs'!E$236*E$11*'Input'!$E$58/'Input'!$F$58*(1-'Contrib'!E$99)</f>
        <v>0</v>
      </c>
      <c r="F36" s="38">
        <f>100*'AMD'!F49*'LAFs'!F$236*F$11*'Input'!$E$58/'Input'!$F$58*(1-'Contrib'!F$99)</f>
        <v>0</v>
      </c>
      <c r="G36" s="38">
        <f>100*'AMD'!G49*'LAFs'!G$236*G$11*'Input'!$E$58/'Input'!$F$58*(1-'Contrib'!G$99)</f>
        <v>0</v>
      </c>
      <c r="H36" s="38">
        <f>100*'AMD'!H49*'LAFs'!H$236*H$11*'Input'!$E$58/'Input'!$F$58*(1-'Contrib'!H$99)</f>
        <v>0</v>
      </c>
      <c r="I36" s="38">
        <f>100*'AMD'!I49*'LAFs'!I$236*I$11*'Input'!$E$58/'Input'!$F$58*(1-'Contrib'!I$99)</f>
        <v>0</v>
      </c>
      <c r="J36" s="38">
        <f>100*'AMD'!J49*'LAFs'!J$236*J$11*'Input'!$E$58/'Input'!$F$58*(1-'Contrib'!J$99)</f>
        <v>0</v>
      </c>
      <c r="K36" s="38">
        <f>100*'AMD'!B49*'LAFs'!B$236*K$11*'Input'!$E$58/'Input'!$F$58*(1-'Contrib'!K$99)</f>
        <v>0</v>
      </c>
      <c r="L36" s="38">
        <f>100*'AMD'!C49*'LAFs'!C$236*L$11*'Input'!$E$58/'Input'!$F$58*(1-'Contrib'!L$99)</f>
        <v>0</v>
      </c>
      <c r="M36" s="38">
        <f>100*'AMD'!D49*'LAFs'!D$236*M$11*'Input'!$E$58/'Input'!$F$58*(1-'Contrib'!M$99)</f>
        <v>0</v>
      </c>
      <c r="N36" s="38">
        <f>100*'AMD'!E49*'LAFs'!E$236*N$11*'Input'!$E$58/'Input'!$F$58*(1-'Contrib'!N$99)</f>
        <v>0</v>
      </c>
      <c r="O36" s="38">
        <f>100*'AMD'!F49*'LAFs'!F$236*O$11*'Input'!$E$58/'Input'!$F$58*(1-'Contrib'!O$99)</f>
        <v>0</v>
      </c>
      <c r="P36" s="38">
        <f>100*'AMD'!G49*'LAFs'!G$236*P$11*'Input'!$E$58/'Input'!$F$58*(1-'Contrib'!P$99)</f>
        <v>0</v>
      </c>
      <c r="Q36" s="38">
        <f>100*'AMD'!H49*'LAFs'!H$236*Q$11*'Input'!$E$58/'Input'!$F$58*(1-'Contrib'!Q$99)</f>
        <v>0</v>
      </c>
      <c r="R36" s="38">
        <f>100*'AMD'!I49*'LAFs'!I$236*R$11*'Input'!$E$58/'Input'!$F$58*(1-'Contrib'!R$99)</f>
        <v>0</v>
      </c>
      <c r="S36" s="38">
        <f>100*'AMD'!J49*'LAFs'!J$236*S$11*'Input'!$E$58/'Input'!$F$58*(1-'Contrib'!S$99)</f>
        <v>0</v>
      </c>
      <c r="T36" s="17"/>
    </row>
    <row r="37" spans="1:20">
      <c r="A37" s="4" t="s">
        <v>214</v>
      </c>
      <c r="B37" s="38">
        <f>100*'AMD'!B50*'LAFs'!B$237*B$11*'Input'!$E$58/'Input'!$F$58*(1-'Contrib'!B$100)</f>
        <v>0</v>
      </c>
      <c r="C37" s="38">
        <f>100*'AMD'!C50*'LAFs'!C$237*C$11*'Input'!$E$58/'Input'!$F$58*(1-'Contrib'!C$100)</f>
        <v>0</v>
      </c>
      <c r="D37" s="38">
        <f>100*'AMD'!D50*'LAFs'!D$237*D$11*'Input'!$E$58/'Input'!$F$58*(1-'Contrib'!D$100)</f>
        <v>0</v>
      </c>
      <c r="E37" s="38">
        <f>100*'AMD'!E50*'LAFs'!E$237*E$11*'Input'!$E$58/'Input'!$F$58*(1-'Contrib'!E$100)</f>
        <v>0</v>
      </c>
      <c r="F37" s="38">
        <f>100*'AMD'!F50*'LAFs'!F$237*F$11*'Input'!$E$58/'Input'!$F$58*(1-'Contrib'!F$100)</f>
        <v>0</v>
      </c>
      <c r="G37" s="38">
        <f>100*'AMD'!G50*'LAFs'!G$237*G$11*'Input'!$E$58/'Input'!$F$58*(1-'Contrib'!G$100)</f>
        <v>0</v>
      </c>
      <c r="H37" s="38">
        <f>100*'AMD'!H50*'LAFs'!H$237*H$11*'Input'!$E$58/'Input'!$F$58*(1-'Contrib'!H$100)</f>
        <v>0</v>
      </c>
      <c r="I37" s="38">
        <f>100*'AMD'!I50*'LAFs'!I$237*I$11*'Input'!$E$58/'Input'!$F$58*(1-'Contrib'!I$100)</f>
        <v>0</v>
      </c>
      <c r="J37" s="38">
        <f>100*'AMD'!J50*'LAFs'!J$237*J$11*'Input'!$E$58/'Input'!$F$58*(1-'Contrib'!J$100)</f>
        <v>0</v>
      </c>
      <c r="K37" s="38">
        <f>100*'AMD'!B50*'LAFs'!B$237*K$11*'Input'!$E$58/'Input'!$F$58*(1-'Contrib'!K$100)</f>
        <v>0</v>
      </c>
      <c r="L37" s="38">
        <f>100*'AMD'!C50*'LAFs'!C$237*L$11*'Input'!$E$58/'Input'!$F$58*(1-'Contrib'!L$100)</f>
        <v>0</v>
      </c>
      <c r="M37" s="38">
        <f>100*'AMD'!D50*'LAFs'!D$237*M$11*'Input'!$E$58/'Input'!$F$58*(1-'Contrib'!M$100)</f>
        <v>0</v>
      </c>
      <c r="N37" s="38">
        <f>100*'AMD'!E50*'LAFs'!E$237*N$11*'Input'!$E$58/'Input'!$F$58*(1-'Contrib'!N$100)</f>
        <v>0</v>
      </c>
      <c r="O37" s="38">
        <f>100*'AMD'!F50*'LAFs'!F$237*O$11*'Input'!$E$58/'Input'!$F$58*(1-'Contrib'!O$100)</f>
        <v>0</v>
      </c>
      <c r="P37" s="38">
        <f>100*'AMD'!G50*'LAFs'!G$237*P$11*'Input'!$E$58/'Input'!$F$58*(1-'Contrib'!P$100)</f>
        <v>0</v>
      </c>
      <c r="Q37" s="38">
        <f>100*'AMD'!H50*'LAFs'!H$237*Q$11*'Input'!$E$58/'Input'!$F$58*(1-'Contrib'!Q$100)</f>
        <v>0</v>
      </c>
      <c r="R37" s="38">
        <f>100*'AMD'!I50*'LAFs'!I$237*R$11*'Input'!$E$58/'Input'!$F$58*(1-'Contrib'!R$100)</f>
        <v>0</v>
      </c>
      <c r="S37" s="38">
        <f>100*'AMD'!J50*'LAFs'!J$237*S$11*'Input'!$E$58/'Input'!$F$58*(1-'Contrib'!S$100)</f>
        <v>0</v>
      </c>
      <c r="T37" s="17"/>
    </row>
    <row r="38" spans="1:20">
      <c r="A38" s="4" t="s">
        <v>215</v>
      </c>
      <c r="B38" s="38">
        <f>100*'AMD'!B51*'LAFs'!B$238*B$11*'Input'!$E$58/'Input'!$F$58*(1-'Contrib'!B$101)</f>
        <v>0</v>
      </c>
      <c r="C38" s="38">
        <f>100*'AMD'!C51*'LAFs'!C$238*C$11*'Input'!$E$58/'Input'!$F$58*(1-'Contrib'!C$101)</f>
        <v>0</v>
      </c>
      <c r="D38" s="38">
        <f>100*'AMD'!D51*'LAFs'!D$238*D$11*'Input'!$E$58/'Input'!$F$58*(1-'Contrib'!D$101)</f>
        <v>0</v>
      </c>
      <c r="E38" s="38">
        <f>100*'AMD'!E51*'LAFs'!E$238*E$11*'Input'!$E$58/'Input'!$F$58*(1-'Contrib'!E$101)</f>
        <v>0</v>
      </c>
      <c r="F38" s="38">
        <f>100*'AMD'!F51*'LAFs'!F$238*F$11*'Input'!$E$58/'Input'!$F$58*(1-'Contrib'!F$101)</f>
        <v>0</v>
      </c>
      <c r="G38" s="38">
        <f>100*'AMD'!G51*'LAFs'!G$238*G$11*'Input'!$E$58/'Input'!$F$58*(1-'Contrib'!G$101)</f>
        <v>0</v>
      </c>
      <c r="H38" s="38">
        <f>100*'AMD'!H51*'LAFs'!H$238*H$11*'Input'!$E$58/'Input'!$F$58*(1-'Contrib'!H$101)</f>
        <v>0</v>
      </c>
      <c r="I38" s="38">
        <f>100*'AMD'!I51*'LAFs'!I$238*I$11*'Input'!$E$58/'Input'!$F$58*(1-'Contrib'!I$101)</f>
        <v>0</v>
      </c>
      <c r="J38" s="38">
        <f>100*'AMD'!J51*'LAFs'!J$238*J$11*'Input'!$E$58/'Input'!$F$58*(1-'Contrib'!J$101)</f>
        <v>0</v>
      </c>
      <c r="K38" s="38">
        <f>100*'AMD'!B51*'LAFs'!B$238*K$11*'Input'!$E$58/'Input'!$F$58*(1-'Contrib'!K$101)</f>
        <v>0</v>
      </c>
      <c r="L38" s="38">
        <f>100*'AMD'!C51*'LAFs'!C$238*L$11*'Input'!$E$58/'Input'!$F$58*(1-'Contrib'!L$101)</f>
        <v>0</v>
      </c>
      <c r="M38" s="38">
        <f>100*'AMD'!D51*'LAFs'!D$238*M$11*'Input'!$E$58/'Input'!$F$58*(1-'Contrib'!M$101)</f>
        <v>0</v>
      </c>
      <c r="N38" s="38">
        <f>100*'AMD'!E51*'LAFs'!E$238*N$11*'Input'!$E$58/'Input'!$F$58*(1-'Contrib'!N$101)</f>
        <v>0</v>
      </c>
      <c r="O38" s="38">
        <f>100*'AMD'!F51*'LAFs'!F$238*O$11*'Input'!$E$58/'Input'!$F$58*(1-'Contrib'!O$101)</f>
        <v>0</v>
      </c>
      <c r="P38" s="38">
        <f>100*'AMD'!G51*'LAFs'!G$238*P$11*'Input'!$E$58/'Input'!$F$58*(1-'Contrib'!P$101)</f>
        <v>0</v>
      </c>
      <c r="Q38" s="38">
        <f>100*'AMD'!H51*'LAFs'!H$238*Q$11*'Input'!$E$58/'Input'!$F$58*(1-'Contrib'!Q$101)</f>
        <v>0</v>
      </c>
      <c r="R38" s="38">
        <f>100*'AMD'!I51*'LAFs'!I$238*R$11*'Input'!$E$58/'Input'!$F$58*(1-'Contrib'!R$101)</f>
        <v>0</v>
      </c>
      <c r="S38" s="38">
        <f>100*'AMD'!J51*'LAFs'!J$238*S$11*'Input'!$E$58/'Input'!$F$58*(1-'Contrib'!S$101)</f>
        <v>0</v>
      </c>
      <c r="T38" s="17"/>
    </row>
    <row r="39" spans="1:20">
      <c r="A39" s="4" t="s">
        <v>216</v>
      </c>
      <c r="B39" s="38">
        <f>100*'AMD'!B52*'LAFs'!B$239*B$11*'Input'!$E$58/'Input'!$F$58*(1-'Contrib'!B$102)</f>
        <v>0</v>
      </c>
      <c r="C39" s="38">
        <f>100*'AMD'!C52*'LAFs'!C$239*C$11*'Input'!$E$58/'Input'!$F$58*(1-'Contrib'!C$102)</f>
        <v>0</v>
      </c>
      <c r="D39" s="38">
        <f>100*'AMD'!D52*'LAFs'!D$239*D$11*'Input'!$E$58/'Input'!$F$58*(1-'Contrib'!D$102)</f>
        <v>0</v>
      </c>
      <c r="E39" s="38">
        <f>100*'AMD'!E52*'LAFs'!E$239*E$11*'Input'!$E$58/'Input'!$F$58*(1-'Contrib'!E$102)</f>
        <v>0</v>
      </c>
      <c r="F39" s="38">
        <f>100*'AMD'!F52*'LAFs'!F$239*F$11*'Input'!$E$58/'Input'!$F$58*(1-'Contrib'!F$102)</f>
        <v>0</v>
      </c>
      <c r="G39" s="38">
        <f>100*'AMD'!G52*'LAFs'!G$239*G$11*'Input'!$E$58/'Input'!$F$58*(1-'Contrib'!G$102)</f>
        <v>0</v>
      </c>
      <c r="H39" s="38">
        <f>100*'AMD'!H52*'LAFs'!H$239*H$11*'Input'!$E$58/'Input'!$F$58*(1-'Contrib'!H$102)</f>
        <v>0</v>
      </c>
      <c r="I39" s="38">
        <f>100*'AMD'!I52*'LAFs'!I$239*I$11*'Input'!$E$58/'Input'!$F$58*(1-'Contrib'!I$102)</f>
        <v>0</v>
      </c>
      <c r="J39" s="38">
        <f>100*'AMD'!J52*'LAFs'!J$239*J$11*'Input'!$E$58/'Input'!$F$58*(1-'Contrib'!J$102)</f>
        <v>0</v>
      </c>
      <c r="K39" s="38">
        <f>100*'AMD'!B52*'LAFs'!B$239*K$11*'Input'!$E$58/'Input'!$F$58*(1-'Contrib'!K$102)</f>
        <v>0</v>
      </c>
      <c r="L39" s="38">
        <f>100*'AMD'!C52*'LAFs'!C$239*L$11*'Input'!$E$58/'Input'!$F$58*(1-'Contrib'!L$102)</f>
        <v>0</v>
      </c>
      <c r="M39" s="38">
        <f>100*'AMD'!D52*'LAFs'!D$239*M$11*'Input'!$E$58/'Input'!$F$58*(1-'Contrib'!M$102)</f>
        <v>0</v>
      </c>
      <c r="N39" s="38">
        <f>100*'AMD'!E52*'LAFs'!E$239*N$11*'Input'!$E$58/'Input'!$F$58*(1-'Contrib'!N$102)</f>
        <v>0</v>
      </c>
      <c r="O39" s="38">
        <f>100*'AMD'!F52*'LAFs'!F$239*O$11*'Input'!$E$58/'Input'!$F$58*(1-'Contrib'!O$102)</f>
        <v>0</v>
      </c>
      <c r="P39" s="38">
        <f>100*'AMD'!G52*'LAFs'!G$239*P$11*'Input'!$E$58/'Input'!$F$58*(1-'Contrib'!P$102)</f>
        <v>0</v>
      </c>
      <c r="Q39" s="38">
        <f>100*'AMD'!H52*'LAFs'!H$239*Q$11*'Input'!$E$58/'Input'!$F$58*(1-'Contrib'!Q$102)</f>
        <v>0</v>
      </c>
      <c r="R39" s="38">
        <f>100*'AMD'!I52*'LAFs'!I$239*R$11*'Input'!$E$58/'Input'!$F$58*(1-'Contrib'!R$102)</f>
        <v>0</v>
      </c>
      <c r="S39" s="38">
        <f>100*'AMD'!J52*'LAFs'!J$239*S$11*'Input'!$E$58/'Input'!$F$58*(1-'Contrib'!S$102)</f>
        <v>0</v>
      </c>
      <c r="T39" s="17"/>
    </row>
    <row r="40" spans="1:20">
      <c r="A40" s="4" t="s">
        <v>217</v>
      </c>
      <c r="B40" s="38">
        <f>100*'AMD'!B53*'LAFs'!B$240*B$11*'Input'!$E$58/'Input'!$F$58*(1-'Contrib'!B$103)</f>
        <v>0</v>
      </c>
      <c r="C40" s="38">
        <f>100*'AMD'!C53*'LAFs'!C$240*C$11*'Input'!$E$58/'Input'!$F$58*(1-'Contrib'!C$103)</f>
        <v>0</v>
      </c>
      <c r="D40" s="38">
        <f>100*'AMD'!D53*'LAFs'!D$240*D$11*'Input'!$E$58/'Input'!$F$58*(1-'Contrib'!D$103)</f>
        <v>0</v>
      </c>
      <c r="E40" s="38">
        <f>100*'AMD'!E53*'LAFs'!E$240*E$11*'Input'!$E$58/'Input'!$F$58*(1-'Contrib'!E$103)</f>
        <v>0</v>
      </c>
      <c r="F40" s="38">
        <f>100*'AMD'!F53*'LAFs'!F$240*F$11*'Input'!$E$58/'Input'!$F$58*(1-'Contrib'!F$103)</f>
        <v>0</v>
      </c>
      <c r="G40" s="38">
        <f>100*'AMD'!G53*'LAFs'!G$240*G$11*'Input'!$E$58/'Input'!$F$58*(1-'Contrib'!G$103)</f>
        <v>0</v>
      </c>
      <c r="H40" s="38">
        <f>100*'AMD'!H53*'LAFs'!H$240*H$11*'Input'!$E$58/'Input'!$F$58*(1-'Contrib'!H$103)</f>
        <v>0</v>
      </c>
      <c r="I40" s="38">
        <f>100*'AMD'!I53*'LAFs'!I$240*I$11*'Input'!$E$58/'Input'!$F$58*(1-'Contrib'!I$103)</f>
        <v>0</v>
      </c>
      <c r="J40" s="38">
        <f>100*'AMD'!J53*'LAFs'!J$240*J$11*'Input'!$E$58/'Input'!$F$58*(1-'Contrib'!J$103)</f>
        <v>0</v>
      </c>
      <c r="K40" s="38">
        <f>100*'AMD'!B53*'LAFs'!B$240*K$11*'Input'!$E$58/'Input'!$F$58*(1-'Contrib'!K$103)</f>
        <v>0</v>
      </c>
      <c r="L40" s="38">
        <f>100*'AMD'!C53*'LAFs'!C$240*L$11*'Input'!$E$58/'Input'!$F$58*(1-'Contrib'!L$103)</f>
        <v>0</v>
      </c>
      <c r="M40" s="38">
        <f>100*'AMD'!D53*'LAFs'!D$240*M$11*'Input'!$E$58/'Input'!$F$58*(1-'Contrib'!M$103)</f>
        <v>0</v>
      </c>
      <c r="N40" s="38">
        <f>100*'AMD'!E53*'LAFs'!E$240*N$11*'Input'!$E$58/'Input'!$F$58*(1-'Contrib'!N$103)</f>
        <v>0</v>
      </c>
      <c r="O40" s="38">
        <f>100*'AMD'!F53*'LAFs'!F$240*O$11*'Input'!$E$58/'Input'!$F$58*(1-'Contrib'!O$103)</f>
        <v>0</v>
      </c>
      <c r="P40" s="38">
        <f>100*'AMD'!G53*'LAFs'!G$240*P$11*'Input'!$E$58/'Input'!$F$58*(1-'Contrib'!P$103)</f>
        <v>0</v>
      </c>
      <c r="Q40" s="38">
        <f>100*'AMD'!H53*'LAFs'!H$240*Q$11*'Input'!$E$58/'Input'!$F$58*(1-'Contrib'!Q$103)</f>
        <v>0</v>
      </c>
      <c r="R40" s="38">
        <f>100*'AMD'!I53*'LAFs'!I$240*R$11*'Input'!$E$58/'Input'!$F$58*(1-'Contrib'!R$103)</f>
        <v>0</v>
      </c>
      <c r="S40" s="38">
        <f>100*'AMD'!J53*'LAFs'!J$240*S$11*'Input'!$E$58/'Input'!$F$58*(1-'Contrib'!S$103)</f>
        <v>0</v>
      </c>
      <c r="T40" s="17"/>
    </row>
    <row r="42" spans="1:20" ht="21" customHeight="1">
      <c r="A42" s="1" t="s">
        <v>996</v>
      </c>
    </row>
    <row r="43" spans="1:20">
      <c r="A43" s="2" t="s">
        <v>351</v>
      </c>
    </row>
    <row r="44" spans="1:20">
      <c r="A44" s="33" t="s">
        <v>990</v>
      </c>
    </row>
    <row r="45" spans="1:20">
      <c r="A45" s="33" t="s">
        <v>997</v>
      </c>
    </row>
    <row r="46" spans="1:20">
      <c r="A46" s="2" t="s">
        <v>998</v>
      </c>
    </row>
    <row r="48" spans="1:20">
      <c r="B48" s="15" t="s">
        <v>142</v>
      </c>
      <c r="C48" s="15" t="s">
        <v>306</v>
      </c>
      <c r="D48" s="15" t="s">
        <v>307</v>
      </c>
      <c r="E48" s="15" t="s">
        <v>308</v>
      </c>
      <c r="F48" s="15" t="s">
        <v>309</v>
      </c>
      <c r="G48" s="15" t="s">
        <v>310</v>
      </c>
      <c r="H48" s="15" t="s">
        <v>311</v>
      </c>
      <c r="I48" s="15" t="s">
        <v>312</v>
      </c>
      <c r="J48" s="15" t="s">
        <v>313</v>
      </c>
      <c r="K48" s="15" t="s">
        <v>294</v>
      </c>
      <c r="L48" s="15" t="s">
        <v>877</v>
      </c>
      <c r="M48" s="15" t="s">
        <v>878</v>
      </c>
      <c r="N48" s="15" t="s">
        <v>879</v>
      </c>
      <c r="O48" s="15" t="s">
        <v>880</v>
      </c>
      <c r="P48" s="15" t="s">
        <v>881</v>
      </c>
      <c r="Q48" s="15" t="s">
        <v>882</v>
      </c>
      <c r="R48" s="15" t="s">
        <v>883</v>
      </c>
      <c r="S48" s="15" t="s">
        <v>884</v>
      </c>
    </row>
    <row r="49" spans="1:20">
      <c r="A49" s="4" t="s">
        <v>174</v>
      </c>
      <c r="B49" s="38">
        <f>(1-'AMD'!B38)*'Yard'!B$23</f>
        <v>0</v>
      </c>
      <c r="C49" s="38">
        <f>(1-'AMD'!C38)*'Yard'!C$23</f>
        <v>0</v>
      </c>
      <c r="D49" s="38">
        <f>(1-'AMD'!D38)*'Yard'!D$23</f>
        <v>0</v>
      </c>
      <c r="E49" s="38">
        <f>(1-'AMD'!E38)*'Yard'!E$23</f>
        <v>0</v>
      </c>
      <c r="F49" s="38">
        <f>(1-'AMD'!F38)*'Yard'!F$23</f>
        <v>0</v>
      </c>
      <c r="G49" s="38">
        <f>(1-'AMD'!G38)*'Yard'!G$23</f>
        <v>0</v>
      </c>
      <c r="H49" s="38">
        <f>(1-'AMD'!H38)*'Yard'!H$23</f>
        <v>0</v>
      </c>
      <c r="I49" s="38">
        <f>(1-'AMD'!I38)*'Yard'!I$23</f>
        <v>0</v>
      </c>
      <c r="J49" s="38">
        <f>(1-'AMD'!J38)*'Yard'!J$23</f>
        <v>0</v>
      </c>
      <c r="K49" s="38">
        <f>(1-'AMD'!B38)*'Yard'!K$23</f>
        <v>0</v>
      </c>
      <c r="L49" s="38">
        <f>(1-'AMD'!C38)*'Yard'!L$23</f>
        <v>0</v>
      </c>
      <c r="M49" s="38">
        <f>(1-'AMD'!D38)*'Yard'!M$23</f>
        <v>0</v>
      </c>
      <c r="N49" s="38">
        <f>(1-'AMD'!E38)*'Yard'!N$23</f>
        <v>0</v>
      </c>
      <c r="O49" s="38">
        <f>(1-'AMD'!F38)*'Yard'!O$23</f>
        <v>0</v>
      </c>
      <c r="P49" s="38">
        <f>(1-'AMD'!G38)*'Yard'!P$23</f>
        <v>0</v>
      </c>
      <c r="Q49" s="38">
        <f>(1-'AMD'!H38)*'Yard'!Q$23</f>
        <v>0</v>
      </c>
      <c r="R49" s="38">
        <f>(1-'AMD'!I38)*'Yard'!R$23</f>
        <v>0</v>
      </c>
      <c r="S49" s="38">
        <f>(1-'AMD'!J38)*'Yard'!S$23</f>
        <v>0</v>
      </c>
      <c r="T49" s="17"/>
    </row>
    <row r="50" spans="1:20">
      <c r="A50" s="4" t="s">
        <v>175</v>
      </c>
      <c r="B50" s="38">
        <f>(1-'AMD'!B39)*'Yard'!B$24</f>
        <v>0</v>
      </c>
      <c r="C50" s="38">
        <f>(1-'AMD'!C39)*'Yard'!C$24</f>
        <v>0</v>
      </c>
      <c r="D50" s="38">
        <f>(1-'AMD'!D39)*'Yard'!D$24</f>
        <v>0</v>
      </c>
      <c r="E50" s="38">
        <f>(1-'AMD'!E39)*'Yard'!E$24</f>
        <v>0</v>
      </c>
      <c r="F50" s="38">
        <f>(1-'AMD'!F39)*'Yard'!F$24</f>
        <v>0</v>
      </c>
      <c r="G50" s="38">
        <f>(1-'AMD'!G39)*'Yard'!G$24</f>
        <v>0</v>
      </c>
      <c r="H50" s="38">
        <f>(1-'AMD'!H39)*'Yard'!H$24</f>
        <v>0</v>
      </c>
      <c r="I50" s="38">
        <f>(1-'AMD'!I39)*'Yard'!I$24</f>
        <v>0</v>
      </c>
      <c r="J50" s="38">
        <f>(1-'AMD'!J39)*'Yard'!J$24</f>
        <v>0</v>
      </c>
      <c r="K50" s="38">
        <f>(1-'AMD'!B39)*'Yard'!K$24</f>
        <v>0</v>
      </c>
      <c r="L50" s="38">
        <f>(1-'AMD'!C39)*'Yard'!L$24</f>
        <v>0</v>
      </c>
      <c r="M50" s="38">
        <f>(1-'AMD'!D39)*'Yard'!M$24</f>
        <v>0</v>
      </c>
      <c r="N50" s="38">
        <f>(1-'AMD'!E39)*'Yard'!N$24</f>
        <v>0</v>
      </c>
      <c r="O50" s="38">
        <f>(1-'AMD'!F39)*'Yard'!O$24</f>
        <v>0</v>
      </c>
      <c r="P50" s="38">
        <f>(1-'AMD'!G39)*'Yard'!P$24</f>
        <v>0</v>
      </c>
      <c r="Q50" s="38">
        <f>(1-'AMD'!H39)*'Yard'!Q$24</f>
        <v>0</v>
      </c>
      <c r="R50" s="38">
        <f>(1-'AMD'!I39)*'Yard'!R$24</f>
        <v>0</v>
      </c>
      <c r="S50" s="38">
        <f>(1-'AMD'!J39)*'Yard'!S$24</f>
        <v>0</v>
      </c>
      <c r="T50" s="17"/>
    </row>
    <row r="51" spans="1:20">
      <c r="A51" s="4" t="s">
        <v>211</v>
      </c>
      <c r="B51" s="38">
        <f>(1-'AMD'!B40)*'Yard'!B$25</f>
        <v>0</v>
      </c>
      <c r="C51" s="38">
        <f>(1-'AMD'!C40)*'Yard'!C$25</f>
        <v>0</v>
      </c>
      <c r="D51" s="38">
        <f>(1-'AMD'!D40)*'Yard'!D$25</f>
        <v>0</v>
      </c>
      <c r="E51" s="38">
        <f>(1-'AMD'!E40)*'Yard'!E$25</f>
        <v>0</v>
      </c>
      <c r="F51" s="38">
        <f>(1-'AMD'!F40)*'Yard'!F$25</f>
        <v>0</v>
      </c>
      <c r="G51" s="38">
        <f>(1-'AMD'!G40)*'Yard'!G$25</f>
        <v>0</v>
      </c>
      <c r="H51" s="38">
        <f>(1-'AMD'!H40)*'Yard'!H$25</f>
        <v>0</v>
      </c>
      <c r="I51" s="38">
        <f>(1-'AMD'!I40)*'Yard'!I$25</f>
        <v>0</v>
      </c>
      <c r="J51" s="38">
        <f>(1-'AMD'!J40)*'Yard'!J$25</f>
        <v>0</v>
      </c>
      <c r="K51" s="38">
        <f>(1-'AMD'!B40)*'Yard'!K$25</f>
        <v>0</v>
      </c>
      <c r="L51" s="38">
        <f>(1-'AMD'!C40)*'Yard'!L$25</f>
        <v>0</v>
      </c>
      <c r="M51" s="38">
        <f>(1-'AMD'!D40)*'Yard'!M$25</f>
        <v>0</v>
      </c>
      <c r="N51" s="38">
        <f>(1-'AMD'!E40)*'Yard'!N$25</f>
        <v>0</v>
      </c>
      <c r="O51" s="38">
        <f>(1-'AMD'!F40)*'Yard'!O$25</f>
        <v>0</v>
      </c>
      <c r="P51" s="38">
        <f>(1-'AMD'!G40)*'Yard'!P$25</f>
        <v>0</v>
      </c>
      <c r="Q51" s="38">
        <f>(1-'AMD'!H40)*'Yard'!Q$25</f>
        <v>0</v>
      </c>
      <c r="R51" s="38">
        <f>(1-'AMD'!I40)*'Yard'!R$25</f>
        <v>0</v>
      </c>
      <c r="S51" s="38">
        <f>(1-'AMD'!J40)*'Yard'!S$25</f>
        <v>0</v>
      </c>
      <c r="T51" s="17"/>
    </row>
    <row r="52" spans="1:20">
      <c r="A52" s="4" t="s">
        <v>176</v>
      </c>
      <c r="B52" s="38">
        <f>(1-'AMD'!B41)*'Yard'!B$26</f>
        <v>0</v>
      </c>
      <c r="C52" s="38">
        <f>(1-'AMD'!C41)*'Yard'!C$26</f>
        <v>0</v>
      </c>
      <c r="D52" s="38">
        <f>(1-'AMD'!D41)*'Yard'!D$26</f>
        <v>0</v>
      </c>
      <c r="E52" s="38">
        <f>(1-'AMD'!E41)*'Yard'!E$26</f>
        <v>0</v>
      </c>
      <c r="F52" s="38">
        <f>(1-'AMD'!F41)*'Yard'!F$26</f>
        <v>0</v>
      </c>
      <c r="G52" s="38">
        <f>(1-'AMD'!G41)*'Yard'!G$26</f>
        <v>0</v>
      </c>
      <c r="H52" s="38">
        <f>(1-'AMD'!H41)*'Yard'!H$26</f>
        <v>0</v>
      </c>
      <c r="I52" s="38">
        <f>(1-'AMD'!I41)*'Yard'!I$26</f>
        <v>0</v>
      </c>
      <c r="J52" s="38">
        <f>(1-'AMD'!J41)*'Yard'!J$26</f>
        <v>0</v>
      </c>
      <c r="K52" s="38">
        <f>(1-'AMD'!B41)*'Yard'!K$26</f>
        <v>0</v>
      </c>
      <c r="L52" s="38">
        <f>(1-'AMD'!C41)*'Yard'!L$26</f>
        <v>0</v>
      </c>
      <c r="M52" s="38">
        <f>(1-'AMD'!D41)*'Yard'!M$26</f>
        <v>0</v>
      </c>
      <c r="N52" s="38">
        <f>(1-'AMD'!E41)*'Yard'!N$26</f>
        <v>0</v>
      </c>
      <c r="O52" s="38">
        <f>(1-'AMD'!F41)*'Yard'!O$26</f>
        <v>0</v>
      </c>
      <c r="P52" s="38">
        <f>(1-'AMD'!G41)*'Yard'!P$26</f>
        <v>0</v>
      </c>
      <c r="Q52" s="38">
        <f>(1-'AMD'!H41)*'Yard'!Q$26</f>
        <v>0</v>
      </c>
      <c r="R52" s="38">
        <f>(1-'AMD'!I41)*'Yard'!R$26</f>
        <v>0</v>
      </c>
      <c r="S52" s="38">
        <f>(1-'AMD'!J41)*'Yard'!S$26</f>
        <v>0</v>
      </c>
      <c r="T52" s="17"/>
    </row>
    <row r="53" spans="1:20">
      <c r="A53" s="4" t="s">
        <v>177</v>
      </c>
      <c r="B53" s="38">
        <f>(1-'AMD'!B42)*'Yard'!B$27</f>
        <v>0</v>
      </c>
      <c r="C53" s="38">
        <f>(1-'AMD'!C42)*'Yard'!C$27</f>
        <v>0</v>
      </c>
      <c r="D53" s="38">
        <f>(1-'AMD'!D42)*'Yard'!D$27</f>
        <v>0</v>
      </c>
      <c r="E53" s="38">
        <f>(1-'AMD'!E42)*'Yard'!E$27</f>
        <v>0</v>
      </c>
      <c r="F53" s="38">
        <f>(1-'AMD'!F42)*'Yard'!F$27</f>
        <v>0</v>
      </c>
      <c r="G53" s="38">
        <f>(1-'AMD'!G42)*'Yard'!G$27</f>
        <v>0</v>
      </c>
      <c r="H53" s="38">
        <f>(1-'AMD'!H42)*'Yard'!H$27</f>
        <v>0</v>
      </c>
      <c r="I53" s="38">
        <f>(1-'AMD'!I42)*'Yard'!I$27</f>
        <v>0</v>
      </c>
      <c r="J53" s="38">
        <f>(1-'AMD'!J42)*'Yard'!J$27</f>
        <v>0</v>
      </c>
      <c r="K53" s="38">
        <f>(1-'AMD'!B42)*'Yard'!K$27</f>
        <v>0</v>
      </c>
      <c r="L53" s="38">
        <f>(1-'AMD'!C42)*'Yard'!L$27</f>
        <v>0</v>
      </c>
      <c r="M53" s="38">
        <f>(1-'AMD'!D42)*'Yard'!M$27</f>
        <v>0</v>
      </c>
      <c r="N53" s="38">
        <f>(1-'AMD'!E42)*'Yard'!N$27</f>
        <v>0</v>
      </c>
      <c r="O53" s="38">
        <f>(1-'AMD'!F42)*'Yard'!O$27</f>
        <v>0</v>
      </c>
      <c r="P53" s="38">
        <f>(1-'AMD'!G42)*'Yard'!P$27</f>
        <v>0</v>
      </c>
      <c r="Q53" s="38">
        <f>(1-'AMD'!H42)*'Yard'!Q$27</f>
        <v>0</v>
      </c>
      <c r="R53" s="38">
        <f>(1-'AMD'!I42)*'Yard'!R$27</f>
        <v>0</v>
      </c>
      <c r="S53" s="38">
        <f>(1-'AMD'!J42)*'Yard'!S$27</f>
        <v>0</v>
      </c>
      <c r="T53" s="17"/>
    </row>
    <row r="54" spans="1:20">
      <c r="A54" s="4" t="s">
        <v>212</v>
      </c>
      <c r="B54" s="38">
        <f>(1-'AMD'!B43)*'Yard'!B$28</f>
        <v>0</v>
      </c>
      <c r="C54" s="38">
        <f>(1-'AMD'!C43)*'Yard'!C$28</f>
        <v>0</v>
      </c>
      <c r="D54" s="38">
        <f>(1-'AMD'!D43)*'Yard'!D$28</f>
        <v>0</v>
      </c>
      <c r="E54" s="38">
        <f>(1-'AMD'!E43)*'Yard'!E$28</f>
        <v>0</v>
      </c>
      <c r="F54" s="38">
        <f>(1-'AMD'!F43)*'Yard'!F$28</f>
        <v>0</v>
      </c>
      <c r="G54" s="38">
        <f>(1-'AMD'!G43)*'Yard'!G$28</f>
        <v>0</v>
      </c>
      <c r="H54" s="38">
        <f>(1-'AMD'!H43)*'Yard'!H$28</f>
        <v>0</v>
      </c>
      <c r="I54" s="38">
        <f>(1-'AMD'!I43)*'Yard'!I$28</f>
        <v>0</v>
      </c>
      <c r="J54" s="38">
        <f>(1-'AMD'!J43)*'Yard'!J$28</f>
        <v>0</v>
      </c>
      <c r="K54" s="38">
        <f>(1-'AMD'!B43)*'Yard'!K$28</f>
        <v>0</v>
      </c>
      <c r="L54" s="38">
        <f>(1-'AMD'!C43)*'Yard'!L$28</f>
        <v>0</v>
      </c>
      <c r="M54" s="38">
        <f>(1-'AMD'!D43)*'Yard'!M$28</f>
        <v>0</v>
      </c>
      <c r="N54" s="38">
        <f>(1-'AMD'!E43)*'Yard'!N$28</f>
        <v>0</v>
      </c>
      <c r="O54" s="38">
        <f>(1-'AMD'!F43)*'Yard'!O$28</f>
        <v>0</v>
      </c>
      <c r="P54" s="38">
        <f>(1-'AMD'!G43)*'Yard'!P$28</f>
        <v>0</v>
      </c>
      <c r="Q54" s="38">
        <f>(1-'AMD'!H43)*'Yard'!Q$28</f>
        <v>0</v>
      </c>
      <c r="R54" s="38">
        <f>(1-'AMD'!I43)*'Yard'!R$28</f>
        <v>0</v>
      </c>
      <c r="S54" s="38">
        <f>(1-'AMD'!J43)*'Yard'!S$28</f>
        <v>0</v>
      </c>
      <c r="T54" s="17"/>
    </row>
    <row r="55" spans="1:20">
      <c r="A55" s="4" t="s">
        <v>178</v>
      </c>
      <c r="B55" s="38">
        <f>(1-'AMD'!B44)*'Yard'!B$29</f>
        <v>0</v>
      </c>
      <c r="C55" s="38">
        <f>(1-'AMD'!C44)*'Yard'!C$29</f>
        <v>0</v>
      </c>
      <c r="D55" s="38">
        <f>(1-'AMD'!D44)*'Yard'!D$29</f>
        <v>0</v>
      </c>
      <c r="E55" s="38">
        <f>(1-'AMD'!E44)*'Yard'!E$29</f>
        <v>0</v>
      </c>
      <c r="F55" s="38">
        <f>(1-'AMD'!F44)*'Yard'!F$29</f>
        <v>0</v>
      </c>
      <c r="G55" s="38">
        <f>(1-'AMD'!G44)*'Yard'!G$29</f>
        <v>0</v>
      </c>
      <c r="H55" s="38">
        <f>(1-'AMD'!H44)*'Yard'!H$29</f>
        <v>0</v>
      </c>
      <c r="I55" s="38">
        <f>(1-'AMD'!I44)*'Yard'!I$29</f>
        <v>0</v>
      </c>
      <c r="J55" s="38">
        <f>(1-'AMD'!J44)*'Yard'!J$29</f>
        <v>0</v>
      </c>
      <c r="K55" s="38">
        <f>(1-'AMD'!B44)*'Yard'!K$29</f>
        <v>0</v>
      </c>
      <c r="L55" s="38">
        <f>(1-'AMD'!C44)*'Yard'!L$29</f>
        <v>0</v>
      </c>
      <c r="M55" s="38">
        <f>(1-'AMD'!D44)*'Yard'!M$29</f>
        <v>0</v>
      </c>
      <c r="N55" s="38">
        <f>(1-'AMD'!E44)*'Yard'!N$29</f>
        <v>0</v>
      </c>
      <c r="O55" s="38">
        <f>(1-'AMD'!F44)*'Yard'!O$29</f>
        <v>0</v>
      </c>
      <c r="P55" s="38">
        <f>(1-'AMD'!G44)*'Yard'!P$29</f>
        <v>0</v>
      </c>
      <c r="Q55" s="38">
        <f>(1-'AMD'!H44)*'Yard'!Q$29</f>
        <v>0</v>
      </c>
      <c r="R55" s="38">
        <f>(1-'AMD'!I44)*'Yard'!R$29</f>
        <v>0</v>
      </c>
      <c r="S55" s="38">
        <f>(1-'AMD'!J44)*'Yard'!S$29</f>
        <v>0</v>
      </c>
      <c r="T55" s="17"/>
    </row>
    <row r="56" spans="1:20">
      <c r="A56" s="4" t="s">
        <v>179</v>
      </c>
      <c r="B56" s="38">
        <f>(1-'AMD'!B45)*'Yard'!B$30</f>
        <v>0</v>
      </c>
      <c r="C56" s="38">
        <f>(1-'AMD'!C45)*'Yard'!C$30</f>
        <v>0</v>
      </c>
      <c r="D56" s="38">
        <f>(1-'AMD'!D45)*'Yard'!D$30</f>
        <v>0</v>
      </c>
      <c r="E56" s="38">
        <f>(1-'AMD'!E45)*'Yard'!E$30</f>
        <v>0</v>
      </c>
      <c r="F56" s="38">
        <f>(1-'AMD'!F45)*'Yard'!F$30</f>
        <v>0</v>
      </c>
      <c r="G56" s="38">
        <f>(1-'AMD'!G45)*'Yard'!G$30</f>
        <v>0</v>
      </c>
      <c r="H56" s="38">
        <f>(1-'AMD'!H45)*'Yard'!H$30</f>
        <v>0</v>
      </c>
      <c r="I56" s="38">
        <f>(1-'AMD'!I45)*'Yard'!I$30</f>
        <v>0</v>
      </c>
      <c r="J56" s="38">
        <f>(1-'AMD'!J45)*'Yard'!J$30</f>
        <v>0</v>
      </c>
      <c r="K56" s="38">
        <f>(1-'AMD'!B45)*'Yard'!K$30</f>
        <v>0</v>
      </c>
      <c r="L56" s="38">
        <f>(1-'AMD'!C45)*'Yard'!L$30</f>
        <v>0</v>
      </c>
      <c r="M56" s="38">
        <f>(1-'AMD'!D45)*'Yard'!M$30</f>
        <v>0</v>
      </c>
      <c r="N56" s="38">
        <f>(1-'AMD'!E45)*'Yard'!N$30</f>
        <v>0</v>
      </c>
      <c r="O56" s="38">
        <f>(1-'AMD'!F45)*'Yard'!O$30</f>
        <v>0</v>
      </c>
      <c r="P56" s="38">
        <f>(1-'AMD'!G45)*'Yard'!P$30</f>
        <v>0</v>
      </c>
      <c r="Q56" s="38">
        <f>(1-'AMD'!H45)*'Yard'!Q$30</f>
        <v>0</v>
      </c>
      <c r="R56" s="38">
        <f>(1-'AMD'!I45)*'Yard'!R$30</f>
        <v>0</v>
      </c>
      <c r="S56" s="38">
        <f>(1-'AMD'!J45)*'Yard'!S$30</f>
        <v>0</v>
      </c>
      <c r="T56" s="17"/>
    </row>
    <row r="57" spans="1:20">
      <c r="A57" s="4" t="s">
        <v>180</v>
      </c>
      <c r="B57" s="38">
        <f>(1-'AMD'!B46)*'Yard'!B$31</f>
        <v>0</v>
      </c>
      <c r="C57" s="38">
        <f>(1-'AMD'!C46)*'Yard'!C$31</f>
        <v>0</v>
      </c>
      <c r="D57" s="38">
        <f>(1-'AMD'!D46)*'Yard'!D$31</f>
        <v>0</v>
      </c>
      <c r="E57" s="38">
        <f>(1-'AMD'!E46)*'Yard'!E$31</f>
        <v>0</v>
      </c>
      <c r="F57" s="38">
        <f>(1-'AMD'!F46)*'Yard'!F$31</f>
        <v>0</v>
      </c>
      <c r="G57" s="38">
        <f>(1-'AMD'!G46)*'Yard'!G$31</f>
        <v>0</v>
      </c>
      <c r="H57" s="38">
        <f>(1-'AMD'!H46)*'Yard'!H$31</f>
        <v>0</v>
      </c>
      <c r="I57" s="38">
        <f>(1-'AMD'!I46)*'Yard'!I$31</f>
        <v>0</v>
      </c>
      <c r="J57" s="38">
        <f>(1-'AMD'!J46)*'Yard'!J$31</f>
        <v>0</v>
      </c>
      <c r="K57" s="38">
        <f>(1-'AMD'!B46)*'Yard'!K$31</f>
        <v>0</v>
      </c>
      <c r="L57" s="38">
        <f>(1-'AMD'!C46)*'Yard'!L$31</f>
        <v>0</v>
      </c>
      <c r="M57" s="38">
        <f>(1-'AMD'!D46)*'Yard'!M$31</f>
        <v>0</v>
      </c>
      <c r="N57" s="38">
        <f>(1-'AMD'!E46)*'Yard'!N$31</f>
        <v>0</v>
      </c>
      <c r="O57" s="38">
        <f>(1-'AMD'!F46)*'Yard'!O$31</f>
        <v>0</v>
      </c>
      <c r="P57" s="38">
        <f>(1-'AMD'!G46)*'Yard'!P$31</f>
        <v>0</v>
      </c>
      <c r="Q57" s="38">
        <f>(1-'AMD'!H46)*'Yard'!Q$31</f>
        <v>0</v>
      </c>
      <c r="R57" s="38">
        <f>(1-'AMD'!I46)*'Yard'!R$31</f>
        <v>0</v>
      </c>
      <c r="S57" s="38">
        <f>(1-'AMD'!J46)*'Yard'!S$31</f>
        <v>0</v>
      </c>
      <c r="T57" s="17"/>
    </row>
    <row r="58" spans="1:20">
      <c r="A58" s="4" t="s">
        <v>181</v>
      </c>
      <c r="B58" s="38">
        <f>(1-'AMD'!B47)*'Yard'!B$32</f>
        <v>0</v>
      </c>
      <c r="C58" s="38">
        <f>(1-'AMD'!C47)*'Yard'!C$32</f>
        <v>0</v>
      </c>
      <c r="D58" s="38">
        <f>(1-'AMD'!D47)*'Yard'!D$32</f>
        <v>0</v>
      </c>
      <c r="E58" s="38">
        <f>(1-'AMD'!E47)*'Yard'!E$32</f>
        <v>0</v>
      </c>
      <c r="F58" s="38">
        <f>(1-'AMD'!F47)*'Yard'!F$32</f>
        <v>0</v>
      </c>
      <c r="G58" s="38">
        <f>(1-'AMD'!G47)*'Yard'!G$32</f>
        <v>0</v>
      </c>
      <c r="H58" s="38">
        <f>(1-'AMD'!H47)*'Yard'!H$32</f>
        <v>0</v>
      </c>
      <c r="I58" s="38">
        <f>(1-'AMD'!I47)*'Yard'!I$32</f>
        <v>0</v>
      </c>
      <c r="J58" s="38">
        <f>(1-'AMD'!J47)*'Yard'!J$32</f>
        <v>0</v>
      </c>
      <c r="K58" s="38">
        <f>(1-'AMD'!B47)*'Yard'!K$32</f>
        <v>0</v>
      </c>
      <c r="L58" s="38">
        <f>(1-'AMD'!C47)*'Yard'!L$32</f>
        <v>0</v>
      </c>
      <c r="M58" s="38">
        <f>(1-'AMD'!D47)*'Yard'!M$32</f>
        <v>0</v>
      </c>
      <c r="N58" s="38">
        <f>(1-'AMD'!E47)*'Yard'!N$32</f>
        <v>0</v>
      </c>
      <c r="O58" s="38">
        <f>(1-'AMD'!F47)*'Yard'!O$32</f>
        <v>0</v>
      </c>
      <c r="P58" s="38">
        <f>(1-'AMD'!G47)*'Yard'!P$32</f>
        <v>0</v>
      </c>
      <c r="Q58" s="38">
        <f>(1-'AMD'!H47)*'Yard'!Q$32</f>
        <v>0</v>
      </c>
      <c r="R58" s="38">
        <f>(1-'AMD'!I47)*'Yard'!R$32</f>
        <v>0</v>
      </c>
      <c r="S58" s="38">
        <f>(1-'AMD'!J47)*'Yard'!S$32</f>
        <v>0</v>
      </c>
      <c r="T58" s="17"/>
    </row>
    <row r="59" spans="1:20">
      <c r="A59" s="4" t="s">
        <v>193</v>
      </c>
      <c r="B59" s="38">
        <f>(1-'AMD'!B48)*'Yard'!B$33</f>
        <v>0</v>
      </c>
      <c r="C59" s="38">
        <f>(1-'AMD'!C48)*'Yard'!C$33</f>
        <v>0</v>
      </c>
      <c r="D59" s="38">
        <f>(1-'AMD'!D48)*'Yard'!D$33</f>
        <v>0</v>
      </c>
      <c r="E59" s="38">
        <f>(1-'AMD'!E48)*'Yard'!E$33</f>
        <v>0</v>
      </c>
      <c r="F59" s="38">
        <f>(1-'AMD'!F48)*'Yard'!F$33</f>
        <v>0</v>
      </c>
      <c r="G59" s="38">
        <f>(1-'AMD'!G48)*'Yard'!G$33</f>
        <v>0</v>
      </c>
      <c r="H59" s="38">
        <f>(1-'AMD'!H48)*'Yard'!H$33</f>
        <v>0</v>
      </c>
      <c r="I59" s="38">
        <f>(1-'AMD'!I48)*'Yard'!I$33</f>
        <v>0</v>
      </c>
      <c r="J59" s="38">
        <f>(1-'AMD'!J48)*'Yard'!J$33</f>
        <v>0</v>
      </c>
      <c r="K59" s="38">
        <f>(1-'AMD'!B48)*'Yard'!K$33</f>
        <v>0</v>
      </c>
      <c r="L59" s="38">
        <f>(1-'AMD'!C48)*'Yard'!L$33</f>
        <v>0</v>
      </c>
      <c r="M59" s="38">
        <f>(1-'AMD'!D48)*'Yard'!M$33</f>
        <v>0</v>
      </c>
      <c r="N59" s="38">
        <f>(1-'AMD'!E48)*'Yard'!N$33</f>
        <v>0</v>
      </c>
      <c r="O59" s="38">
        <f>(1-'AMD'!F48)*'Yard'!O$33</f>
        <v>0</v>
      </c>
      <c r="P59" s="38">
        <f>(1-'AMD'!G48)*'Yard'!P$33</f>
        <v>0</v>
      </c>
      <c r="Q59" s="38">
        <f>(1-'AMD'!H48)*'Yard'!Q$33</f>
        <v>0</v>
      </c>
      <c r="R59" s="38">
        <f>(1-'AMD'!I48)*'Yard'!R$33</f>
        <v>0</v>
      </c>
      <c r="S59" s="38">
        <f>(1-'AMD'!J48)*'Yard'!S$33</f>
        <v>0</v>
      </c>
      <c r="T59" s="17"/>
    </row>
    <row r="60" spans="1:20">
      <c r="A60" s="4" t="s">
        <v>213</v>
      </c>
      <c r="B60" s="38">
        <f>(1-'AMD'!B49)*'Yard'!B$34</f>
        <v>0</v>
      </c>
      <c r="C60" s="38">
        <f>(1-'AMD'!C49)*'Yard'!C$34</f>
        <v>0</v>
      </c>
      <c r="D60" s="38">
        <f>(1-'AMD'!D49)*'Yard'!D$34</f>
        <v>0</v>
      </c>
      <c r="E60" s="38">
        <f>(1-'AMD'!E49)*'Yard'!E$34</f>
        <v>0</v>
      </c>
      <c r="F60" s="38">
        <f>(1-'AMD'!F49)*'Yard'!F$34</f>
        <v>0</v>
      </c>
      <c r="G60" s="38">
        <f>(1-'AMD'!G49)*'Yard'!G$34</f>
        <v>0</v>
      </c>
      <c r="H60" s="38">
        <f>(1-'AMD'!H49)*'Yard'!H$34</f>
        <v>0</v>
      </c>
      <c r="I60" s="38">
        <f>(1-'AMD'!I49)*'Yard'!I$34</f>
        <v>0</v>
      </c>
      <c r="J60" s="38">
        <f>(1-'AMD'!J49)*'Yard'!J$34</f>
        <v>0</v>
      </c>
      <c r="K60" s="38">
        <f>(1-'AMD'!B49)*'Yard'!K$34</f>
        <v>0</v>
      </c>
      <c r="L60" s="38">
        <f>(1-'AMD'!C49)*'Yard'!L$34</f>
        <v>0</v>
      </c>
      <c r="M60" s="38">
        <f>(1-'AMD'!D49)*'Yard'!M$34</f>
        <v>0</v>
      </c>
      <c r="N60" s="38">
        <f>(1-'AMD'!E49)*'Yard'!N$34</f>
        <v>0</v>
      </c>
      <c r="O60" s="38">
        <f>(1-'AMD'!F49)*'Yard'!O$34</f>
        <v>0</v>
      </c>
      <c r="P60" s="38">
        <f>(1-'AMD'!G49)*'Yard'!P$34</f>
        <v>0</v>
      </c>
      <c r="Q60" s="38">
        <f>(1-'AMD'!H49)*'Yard'!Q$34</f>
        <v>0</v>
      </c>
      <c r="R60" s="38">
        <f>(1-'AMD'!I49)*'Yard'!R$34</f>
        <v>0</v>
      </c>
      <c r="S60" s="38">
        <f>(1-'AMD'!J49)*'Yard'!S$34</f>
        <v>0</v>
      </c>
      <c r="T60" s="17"/>
    </row>
    <row r="61" spans="1:20">
      <c r="A61" s="4" t="s">
        <v>214</v>
      </c>
      <c r="B61" s="38">
        <f>(1-'AMD'!B50)*'Yard'!B$35</f>
        <v>0</v>
      </c>
      <c r="C61" s="38">
        <f>(1-'AMD'!C50)*'Yard'!C$35</f>
        <v>0</v>
      </c>
      <c r="D61" s="38">
        <f>(1-'AMD'!D50)*'Yard'!D$35</f>
        <v>0</v>
      </c>
      <c r="E61" s="38">
        <f>(1-'AMD'!E50)*'Yard'!E$35</f>
        <v>0</v>
      </c>
      <c r="F61" s="38">
        <f>(1-'AMD'!F50)*'Yard'!F$35</f>
        <v>0</v>
      </c>
      <c r="G61" s="38">
        <f>(1-'AMD'!G50)*'Yard'!G$35</f>
        <v>0</v>
      </c>
      <c r="H61" s="38">
        <f>(1-'AMD'!H50)*'Yard'!H$35</f>
        <v>0</v>
      </c>
      <c r="I61" s="38">
        <f>(1-'AMD'!I50)*'Yard'!I$35</f>
        <v>0</v>
      </c>
      <c r="J61" s="38">
        <f>(1-'AMD'!J50)*'Yard'!J$35</f>
        <v>0</v>
      </c>
      <c r="K61" s="38">
        <f>(1-'AMD'!B50)*'Yard'!K$35</f>
        <v>0</v>
      </c>
      <c r="L61" s="38">
        <f>(1-'AMD'!C50)*'Yard'!L$35</f>
        <v>0</v>
      </c>
      <c r="M61" s="38">
        <f>(1-'AMD'!D50)*'Yard'!M$35</f>
        <v>0</v>
      </c>
      <c r="N61" s="38">
        <f>(1-'AMD'!E50)*'Yard'!N$35</f>
        <v>0</v>
      </c>
      <c r="O61" s="38">
        <f>(1-'AMD'!F50)*'Yard'!O$35</f>
        <v>0</v>
      </c>
      <c r="P61" s="38">
        <f>(1-'AMD'!G50)*'Yard'!P$35</f>
        <v>0</v>
      </c>
      <c r="Q61" s="38">
        <f>(1-'AMD'!H50)*'Yard'!Q$35</f>
        <v>0</v>
      </c>
      <c r="R61" s="38">
        <f>(1-'AMD'!I50)*'Yard'!R$35</f>
        <v>0</v>
      </c>
      <c r="S61" s="38">
        <f>(1-'AMD'!J50)*'Yard'!S$35</f>
        <v>0</v>
      </c>
      <c r="T61" s="17"/>
    </row>
    <row r="62" spans="1:20">
      <c r="A62" s="4" t="s">
        <v>215</v>
      </c>
      <c r="B62" s="38">
        <f>(1-'AMD'!B51)*'Yard'!B$36</f>
        <v>0</v>
      </c>
      <c r="C62" s="38">
        <f>(1-'AMD'!C51)*'Yard'!C$36</f>
        <v>0</v>
      </c>
      <c r="D62" s="38">
        <f>(1-'AMD'!D51)*'Yard'!D$36</f>
        <v>0</v>
      </c>
      <c r="E62" s="38">
        <f>(1-'AMD'!E51)*'Yard'!E$36</f>
        <v>0</v>
      </c>
      <c r="F62" s="38">
        <f>(1-'AMD'!F51)*'Yard'!F$36</f>
        <v>0</v>
      </c>
      <c r="G62" s="38">
        <f>(1-'AMD'!G51)*'Yard'!G$36</f>
        <v>0</v>
      </c>
      <c r="H62" s="38">
        <f>(1-'AMD'!H51)*'Yard'!H$36</f>
        <v>0</v>
      </c>
      <c r="I62" s="38">
        <f>(1-'AMD'!I51)*'Yard'!I$36</f>
        <v>0</v>
      </c>
      <c r="J62" s="38">
        <f>(1-'AMD'!J51)*'Yard'!J$36</f>
        <v>0</v>
      </c>
      <c r="K62" s="38">
        <f>(1-'AMD'!B51)*'Yard'!K$36</f>
        <v>0</v>
      </c>
      <c r="L62" s="38">
        <f>(1-'AMD'!C51)*'Yard'!L$36</f>
        <v>0</v>
      </c>
      <c r="M62" s="38">
        <f>(1-'AMD'!D51)*'Yard'!M$36</f>
        <v>0</v>
      </c>
      <c r="N62" s="38">
        <f>(1-'AMD'!E51)*'Yard'!N$36</f>
        <v>0</v>
      </c>
      <c r="O62" s="38">
        <f>(1-'AMD'!F51)*'Yard'!O$36</f>
        <v>0</v>
      </c>
      <c r="P62" s="38">
        <f>(1-'AMD'!G51)*'Yard'!P$36</f>
        <v>0</v>
      </c>
      <c r="Q62" s="38">
        <f>(1-'AMD'!H51)*'Yard'!Q$36</f>
        <v>0</v>
      </c>
      <c r="R62" s="38">
        <f>(1-'AMD'!I51)*'Yard'!R$36</f>
        <v>0</v>
      </c>
      <c r="S62" s="38">
        <f>(1-'AMD'!J51)*'Yard'!S$36</f>
        <v>0</v>
      </c>
      <c r="T62" s="17"/>
    </row>
    <row r="63" spans="1:20">
      <c r="A63" s="4" t="s">
        <v>216</v>
      </c>
      <c r="B63" s="38">
        <f>(1-'AMD'!B52)*'Yard'!B$37</f>
        <v>0</v>
      </c>
      <c r="C63" s="38">
        <f>(1-'AMD'!C52)*'Yard'!C$37</f>
        <v>0</v>
      </c>
      <c r="D63" s="38">
        <f>(1-'AMD'!D52)*'Yard'!D$37</f>
        <v>0</v>
      </c>
      <c r="E63" s="38">
        <f>(1-'AMD'!E52)*'Yard'!E$37</f>
        <v>0</v>
      </c>
      <c r="F63" s="38">
        <f>(1-'AMD'!F52)*'Yard'!F$37</f>
        <v>0</v>
      </c>
      <c r="G63" s="38">
        <f>(1-'AMD'!G52)*'Yard'!G$37</f>
        <v>0</v>
      </c>
      <c r="H63" s="38">
        <f>(1-'AMD'!H52)*'Yard'!H$37</f>
        <v>0</v>
      </c>
      <c r="I63" s="38">
        <f>(1-'AMD'!I52)*'Yard'!I$37</f>
        <v>0</v>
      </c>
      <c r="J63" s="38">
        <f>(1-'AMD'!J52)*'Yard'!J$37</f>
        <v>0</v>
      </c>
      <c r="K63" s="38">
        <f>(1-'AMD'!B52)*'Yard'!K$37</f>
        <v>0</v>
      </c>
      <c r="L63" s="38">
        <f>(1-'AMD'!C52)*'Yard'!L$37</f>
        <v>0</v>
      </c>
      <c r="M63" s="38">
        <f>(1-'AMD'!D52)*'Yard'!M$37</f>
        <v>0</v>
      </c>
      <c r="N63" s="38">
        <f>(1-'AMD'!E52)*'Yard'!N$37</f>
        <v>0</v>
      </c>
      <c r="O63" s="38">
        <f>(1-'AMD'!F52)*'Yard'!O$37</f>
        <v>0</v>
      </c>
      <c r="P63" s="38">
        <f>(1-'AMD'!G52)*'Yard'!P$37</f>
        <v>0</v>
      </c>
      <c r="Q63" s="38">
        <f>(1-'AMD'!H52)*'Yard'!Q$37</f>
        <v>0</v>
      </c>
      <c r="R63" s="38">
        <f>(1-'AMD'!I52)*'Yard'!R$37</f>
        <v>0</v>
      </c>
      <c r="S63" s="38">
        <f>(1-'AMD'!J52)*'Yard'!S$37</f>
        <v>0</v>
      </c>
      <c r="T63" s="17"/>
    </row>
    <row r="64" spans="1:20">
      <c r="A64" s="4" t="s">
        <v>217</v>
      </c>
      <c r="B64" s="38">
        <f>(1-'AMD'!B53)*'Yard'!B$38</f>
        <v>0</v>
      </c>
      <c r="C64" s="38">
        <f>(1-'AMD'!C53)*'Yard'!C$38</f>
        <v>0</v>
      </c>
      <c r="D64" s="38">
        <f>(1-'AMD'!D53)*'Yard'!D$38</f>
        <v>0</v>
      </c>
      <c r="E64" s="38">
        <f>(1-'AMD'!E53)*'Yard'!E$38</f>
        <v>0</v>
      </c>
      <c r="F64" s="38">
        <f>(1-'AMD'!F53)*'Yard'!F$38</f>
        <v>0</v>
      </c>
      <c r="G64" s="38">
        <f>(1-'AMD'!G53)*'Yard'!G$38</f>
        <v>0</v>
      </c>
      <c r="H64" s="38">
        <f>(1-'AMD'!H53)*'Yard'!H$38</f>
        <v>0</v>
      </c>
      <c r="I64" s="38">
        <f>(1-'AMD'!I53)*'Yard'!I$38</f>
        <v>0</v>
      </c>
      <c r="J64" s="38">
        <f>(1-'AMD'!J53)*'Yard'!J$38</f>
        <v>0</v>
      </c>
      <c r="K64" s="38">
        <f>(1-'AMD'!B53)*'Yard'!K$38</f>
        <v>0</v>
      </c>
      <c r="L64" s="38">
        <f>(1-'AMD'!C53)*'Yard'!L$38</f>
        <v>0</v>
      </c>
      <c r="M64" s="38">
        <f>(1-'AMD'!D53)*'Yard'!M$38</f>
        <v>0</v>
      </c>
      <c r="N64" s="38">
        <f>(1-'AMD'!E53)*'Yard'!N$38</f>
        <v>0</v>
      </c>
      <c r="O64" s="38">
        <f>(1-'AMD'!F53)*'Yard'!O$38</f>
        <v>0</v>
      </c>
      <c r="P64" s="38">
        <f>(1-'AMD'!G53)*'Yard'!P$38</f>
        <v>0</v>
      </c>
      <c r="Q64" s="38">
        <f>(1-'AMD'!H53)*'Yard'!Q$38</f>
        <v>0</v>
      </c>
      <c r="R64" s="38">
        <f>(1-'AMD'!I53)*'Yard'!R$38</f>
        <v>0</v>
      </c>
      <c r="S64" s="38">
        <f>(1-'AMD'!J53)*'Yard'!S$38</f>
        <v>0</v>
      </c>
      <c r="T64" s="17"/>
    </row>
    <row r="66" spans="1:20" ht="21" customHeight="1">
      <c r="A66" s="1" t="s">
        <v>999</v>
      </c>
    </row>
    <row r="67" spans="1:20">
      <c r="A67" s="2" t="s">
        <v>351</v>
      </c>
    </row>
    <row r="68" spans="1:20">
      <c r="A68" s="33" t="s">
        <v>990</v>
      </c>
    </row>
    <row r="69" spans="1:20">
      <c r="A69" s="33" t="s">
        <v>1000</v>
      </c>
    </row>
    <row r="70" spans="1:20">
      <c r="A70" s="2" t="s">
        <v>998</v>
      </c>
    </row>
    <row r="72" spans="1:20">
      <c r="B72" s="15" t="s">
        <v>142</v>
      </c>
      <c r="C72" s="15" t="s">
        <v>306</v>
      </c>
      <c r="D72" s="15" t="s">
        <v>307</v>
      </c>
      <c r="E72" s="15" t="s">
        <v>308</v>
      </c>
      <c r="F72" s="15" t="s">
        <v>309</v>
      </c>
      <c r="G72" s="15" t="s">
        <v>310</v>
      </c>
      <c r="H72" s="15" t="s">
        <v>311</v>
      </c>
      <c r="I72" s="15" t="s">
        <v>312</v>
      </c>
      <c r="J72" s="15" t="s">
        <v>313</v>
      </c>
      <c r="K72" s="15" t="s">
        <v>294</v>
      </c>
      <c r="L72" s="15" t="s">
        <v>877</v>
      </c>
      <c r="M72" s="15" t="s">
        <v>878</v>
      </c>
      <c r="N72" s="15" t="s">
        <v>879</v>
      </c>
      <c r="O72" s="15" t="s">
        <v>880</v>
      </c>
      <c r="P72" s="15" t="s">
        <v>881</v>
      </c>
      <c r="Q72" s="15" t="s">
        <v>882</v>
      </c>
      <c r="R72" s="15" t="s">
        <v>883</v>
      </c>
      <c r="S72" s="15" t="s">
        <v>884</v>
      </c>
    </row>
    <row r="73" spans="1:20">
      <c r="A73" s="4" t="s">
        <v>174</v>
      </c>
      <c r="B73" s="38">
        <f>(1-'AMD'!B$38)*'Yard'!B$58</f>
        <v>0</v>
      </c>
      <c r="C73" s="38">
        <f>(1-'AMD'!C$38)*'Yard'!C$58</f>
        <v>0</v>
      </c>
      <c r="D73" s="38">
        <f>(1-'AMD'!D$38)*'Yard'!D$58</f>
        <v>0</v>
      </c>
      <c r="E73" s="38">
        <f>(1-'AMD'!E$38)*'Yard'!E$58</f>
        <v>0</v>
      </c>
      <c r="F73" s="38">
        <f>(1-'AMD'!F$38)*'Yard'!F$58</f>
        <v>0</v>
      </c>
      <c r="G73" s="38">
        <f>(1-'AMD'!G$38)*'Yard'!G$58</f>
        <v>0</v>
      </c>
      <c r="H73" s="38">
        <f>(1-'AMD'!H$38)*'Yard'!H$58</f>
        <v>0</v>
      </c>
      <c r="I73" s="38">
        <f>(1-'AMD'!I$38)*'Yard'!I$58</f>
        <v>0</v>
      </c>
      <c r="J73" s="38">
        <f>(1-'AMD'!J$38)*'Yard'!J$58</f>
        <v>0</v>
      </c>
      <c r="K73" s="38">
        <f>(1-'AMD'!B$38)*'Yard'!K$58</f>
        <v>0</v>
      </c>
      <c r="L73" s="38">
        <f>(1-'AMD'!C$38)*'Yard'!L$58</f>
        <v>0</v>
      </c>
      <c r="M73" s="38">
        <f>(1-'AMD'!D$38)*'Yard'!M$58</f>
        <v>0</v>
      </c>
      <c r="N73" s="38">
        <f>(1-'AMD'!E$38)*'Yard'!N$58</f>
        <v>0</v>
      </c>
      <c r="O73" s="38">
        <f>(1-'AMD'!F$38)*'Yard'!O$58</f>
        <v>0</v>
      </c>
      <c r="P73" s="38">
        <f>(1-'AMD'!G$38)*'Yard'!P$58</f>
        <v>0</v>
      </c>
      <c r="Q73" s="38">
        <f>(1-'AMD'!H$38)*'Yard'!Q$58</f>
        <v>0</v>
      </c>
      <c r="R73" s="38">
        <f>(1-'AMD'!I$38)*'Yard'!R$58</f>
        <v>0</v>
      </c>
      <c r="S73" s="38">
        <f>(1-'AMD'!J$38)*'Yard'!S$58</f>
        <v>0</v>
      </c>
      <c r="T73" s="17"/>
    </row>
    <row r="74" spans="1:20">
      <c r="A74" s="4" t="s">
        <v>175</v>
      </c>
      <c r="B74" s="38">
        <f>(1-'AMD'!B$39)*'Yard'!B$59</f>
        <v>0</v>
      </c>
      <c r="C74" s="38">
        <f>(1-'AMD'!C$39)*'Yard'!C$59</f>
        <v>0</v>
      </c>
      <c r="D74" s="38">
        <f>(1-'AMD'!D$39)*'Yard'!D$59</f>
        <v>0</v>
      </c>
      <c r="E74" s="38">
        <f>(1-'AMD'!E$39)*'Yard'!E$59</f>
        <v>0</v>
      </c>
      <c r="F74" s="38">
        <f>(1-'AMD'!F$39)*'Yard'!F$59</f>
        <v>0</v>
      </c>
      <c r="G74" s="38">
        <f>(1-'AMD'!G$39)*'Yard'!G$59</f>
        <v>0</v>
      </c>
      <c r="H74" s="38">
        <f>(1-'AMD'!H$39)*'Yard'!H$59</f>
        <v>0</v>
      </c>
      <c r="I74" s="38">
        <f>(1-'AMD'!I$39)*'Yard'!I$59</f>
        <v>0</v>
      </c>
      <c r="J74" s="38">
        <f>(1-'AMD'!J$39)*'Yard'!J$59</f>
        <v>0</v>
      </c>
      <c r="K74" s="38">
        <f>(1-'AMD'!B$39)*'Yard'!K$59</f>
        <v>0</v>
      </c>
      <c r="L74" s="38">
        <f>(1-'AMD'!C$39)*'Yard'!L$59</f>
        <v>0</v>
      </c>
      <c r="M74" s="38">
        <f>(1-'AMD'!D$39)*'Yard'!M$59</f>
        <v>0</v>
      </c>
      <c r="N74" s="38">
        <f>(1-'AMD'!E$39)*'Yard'!N$59</f>
        <v>0</v>
      </c>
      <c r="O74" s="38">
        <f>(1-'AMD'!F$39)*'Yard'!O$59</f>
        <v>0</v>
      </c>
      <c r="P74" s="38">
        <f>(1-'AMD'!G$39)*'Yard'!P$59</f>
        <v>0</v>
      </c>
      <c r="Q74" s="38">
        <f>(1-'AMD'!H$39)*'Yard'!Q$59</f>
        <v>0</v>
      </c>
      <c r="R74" s="38">
        <f>(1-'AMD'!I$39)*'Yard'!R$59</f>
        <v>0</v>
      </c>
      <c r="S74" s="38">
        <f>(1-'AMD'!J$39)*'Yard'!S$59</f>
        <v>0</v>
      </c>
      <c r="T74" s="17"/>
    </row>
    <row r="75" spans="1:20">
      <c r="A75" s="4" t="s">
        <v>211</v>
      </c>
      <c r="B75" s="38">
        <f>(1-'AMD'!B$40)*'Yard'!B$60</f>
        <v>0</v>
      </c>
      <c r="C75" s="38">
        <f>(1-'AMD'!C$40)*'Yard'!C$60</f>
        <v>0</v>
      </c>
      <c r="D75" s="38">
        <f>(1-'AMD'!D$40)*'Yard'!D$60</f>
        <v>0</v>
      </c>
      <c r="E75" s="38">
        <f>(1-'AMD'!E$40)*'Yard'!E$60</f>
        <v>0</v>
      </c>
      <c r="F75" s="38">
        <f>(1-'AMD'!F$40)*'Yard'!F$60</f>
        <v>0</v>
      </c>
      <c r="G75" s="38">
        <f>(1-'AMD'!G$40)*'Yard'!G$60</f>
        <v>0</v>
      </c>
      <c r="H75" s="38">
        <f>(1-'AMD'!H$40)*'Yard'!H$60</f>
        <v>0</v>
      </c>
      <c r="I75" s="38">
        <f>(1-'AMD'!I$40)*'Yard'!I$60</f>
        <v>0</v>
      </c>
      <c r="J75" s="38">
        <f>(1-'AMD'!J$40)*'Yard'!J$60</f>
        <v>0</v>
      </c>
      <c r="K75" s="38">
        <f>(1-'AMD'!B$40)*'Yard'!K$60</f>
        <v>0</v>
      </c>
      <c r="L75" s="38">
        <f>(1-'AMD'!C$40)*'Yard'!L$60</f>
        <v>0</v>
      </c>
      <c r="M75" s="38">
        <f>(1-'AMD'!D$40)*'Yard'!M$60</f>
        <v>0</v>
      </c>
      <c r="N75" s="38">
        <f>(1-'AMD'!E$40)*'Yard'!N$60</f>
        <v>0</v>
      </c>
      <c r="O75" s="38">
        <f>(1-'AMD'!F$40)*'Yard'!O$60</f>
        <v>0</v>
      </c>
      <c r="P75" s="38">
        <f>(1-'AMD'!G$40)*'Yard'!P$60</f>
        <v>0</v>
      </c>
      <c r="Q75" s="38">
        <f>(1-'AMD'!H$40)*'Yard'!Q$60</f>
        <v>0</v>
      </c>
      <c r="R75" s="38">
        <f>(1-'AMD'!I$40)*'Yard'!R$60</f>
        <v>0</v>
      </c>
      <c r="S75" s="38">
        <f>(1-'AMD'!J$40)*'Yard'!S$60</f>
        <v>0</v>
      </c>
      <c r="T75" s="17"/>
    </row>
    <row r="76" spans="1:20">
      <c r="A76" s="4" t="s">
        <v>176</v>
      </c>
      <c r="B76" s="38">
        <f>(1-'AMD'!B$41)*'Yard'!B$61</f>
        <v>0</v>
      </c>
      <c r="C76" s="38">
        <f>(1-'AMD'!C$41)*'Yard'!C$61</f>
        <v>0</v>
      </c>
      <c r="D76" s="38">
        <f>(1-'AMD'!D$41)*'Yard'!D$61</f>
        <v>0</v>
      </c>
      <c r="E76" s="38">
        <f>(1-'AMD'!E$41)*'Yard'!E$61</f>
        <v>0</v>
      </c>
      <c r="F76" s="38">
        <f>(1-'AMD'!F$41)*'Yard'!F$61</f>
        <v>0</v>
      </c>
      <c r="G76" s="38">
        <f>(1-'AMD'!G$41)*'Yard'!G$61</f>
        <v>0</v>
      </c>
      <c r="H76" s="38">
        <f>(1-'AMD'!H$41)*'Yard'!H$61</f>
        <v>0</v>
      </c>
      <c r="I76" s="38">
        <f>(1-'AMD'!I$41)*'Yard'!I$61</f>
        <v>0</v>
      </c>
      <c r="J76" s="38">
        <f>(1-'AMD'!J$41)*'Yard'!J$61</f>
        <v>0</v>
      </c>
      <c r="K76" s="38">
        <f>(1-'AMD'!B$41)*'Yard'!K$61</f>
        <v>0</v>
      </c>
      <c r="L76" s="38">
        <f>(1-'AMD'!C$41)*'Yard'!L$61</f>
        <v>0</v>
      </c>
      <c r="M76" s="38">
        <f>(1-'AMD'!D$41)*'Yard'!M$61</f>
        <v>0</v>
      </c>
      <c r="N76" s="38">
        <f>(1-'AMD'!E$41)*'Yard'!N$61</f>
        <v>0</v>
      </c>
      <c r="O76" s="38">
        <f>(1-'AMD'!F$41)*'Yard'!O$61</f>
        <v>0</v>
      </c>
      <c r="P76" s="38">
        <f>(1-'AMD'!G$41)*'Yard'!P$61</f>
        <v>0</v>
      </c>
      <c r="Q76" s="38">
        <f>(1-'AMD'!H$41)*'Yard'!Q$61</f>
        <v>0</v>
      </c>
      <c r="R76" s="38">
        <f>(1-'AMD'!I$41)*'Yard'!R$61</f>
        <v>0</v>
      </c>
      <c r="S76" s="38">
        <f>(1-'AMD'!J$41)*'Yard'!S$61</f>
        <v>0</v>
      </c>
      <c r="T76" s="17"/>
    </row>
    <row r="77" spans="1:20">
      <c r="A77" s="4" t="s">
        <v>177</v>
      </c>
      <c r="B77" s="38">
        <f>(1-'AMD'!B$42)*'Yard'!B$62</f>
        <v>0</v>
      </c>
      <c r="C77" s="38">
        <f>(1-'AMD'!C$42)*'Yard'!C$62</f>
        <v>0</v>
      </c>
      <c r="D77" s="38">
        <f>(1-'AMD'!D$42)*'Yard'!D$62</f>
        <v>0</v>
      </c>
      <c r="E77" s="38">
        <f>(1-'AMD'!E$42)*'Yard'!E$62</f>
        <v>0</v>
      </c>
      <c r="F77" s="38">
        <f>(1-'AMD'!F$42)*'Yard'!F$62</f>
        <v>0</v>
      </c>
      <c r="G77" s="38">
        <f>(1-'AMD'!G$42)*'Yard'!G$62</f>
        <v>0</v>
      </c>
      <c r="H77" s="38">
        <f>(1-'AMD'!H$42)*'Yard'!H$62</f>
        <v>0</v>
      </c>
      <c r="I77" s="38">
        <f>(1-'AMD'!I$42)*'Yard'!I$62</f>
        <v>0</v>
      </c>
      <c r="J77" s="38">
        <f>(1-'AMD'!J$42)*'Yard'!J$62</f>
        <v>0</v>
      </c>
      <c r="K77" s="38">
        <f>(1-'AMD'!B$42)*'Yard'!K$62</f>
        <v>0</v>
      </c>
      <c r="L77" s="38">
        <f>(1-'AMD'!C$42)*'Yard'!L$62</f>
        <v>0</v>
      </c>
      <c r="M77" s="38">
        <f>(1-'AMD'!D$42)*'Yard'!M$62</f>
        <v>0</v>
      </c>
      <c r="N77" s="38">
        <f>(1-'AMD'!E$42)*'Yard'!N$62</f>
        <v>0</v>
      </c>
      <c r="O77" s="38">
        <f>(1-'AMD'!F$42)*'Yard'!O$62</f>
        <v>0</v>
      </c>
      <c r="P77" s="38">
        <f>(1-'AMD'!G$42)*'Yard'!P$62</f>
        <v>0</v>
      </c>
      <c r="Q77" s="38">
        <f>(1-'AMD'!H$42)*'Yard'!Q$62</f>
        <v>0</v>
      </c>
      <c r="R77" s="38">
        <f>(1-'AMD'!I$42)*'Yard'!R$62</f>
        <v>0</v>
      </c>
      <c r="S77" s="38">
        <f>(1-'AMD'!J$42)*'Yard'!S$62</f>
        <v>0</v>
      </c>
      <c r="T77" s="17"/>
    </row>
    <row r="78" spans="1:20">
      <c r="A78" s="4" t="s">
        <v>212</v>
      </c>
      <c r="B78" s="38">
        <f>(1-'AMD'!B$43)*'Yard'!B$63</f>
        <v>0</v>
      </c>
      <c r="C78" s="38">
        <f>(1-'AMD'!C$43)*'Yard'!C$63</f>
        <v>0</v>
      </c>
      <c r="D78" s="38">
        <f>(1-'AMD'!D$43)*'Yard'!D$63</f>
        <v>0</v>
      </c>
      <c r="E78" s="38">
        <f>(1-'AMD'!E$43)*'Yard'!E$63</f>
        <v>0</v>
      </c>
      <c r="F78" s="38">
        <f>(1-'AMD'!F$43)*'Yard'!F$63</f>
        <v>0</v>
      </c>
      <c r="G78" s="38">
        <f>(1-'AMD'!G$43)*'Yard'!G$63</f>
        <v>0</v>
      </c>
      <c r="H78" s="38">
        <f>(1-'AMD'!H$43)*'Yard'!H$63</f>
        <v>0</v>
      </c>
      <c r="I78" s="38">
        <f>(1-'AMD'!I$43)*'Yard'!I$63</f>
        <v>0</v>
      </c>
      <c r="J78" s="38">
        <f>(1-'AMD'!J$43)*'Yard'!J$63</f>
        <v>0</v>
      </c>
      <c r="K78" s="38">
        <f>(1-'AMD'!B$43)*'Yard'!K$63</f>
        <v>0</v>
      </c>
      <c r="L78" s="38">
        <f>(1-'AMD'!C$43)*'Yard'!L$63</f>
        <v>0</v>
      </c>
      <c r="M78" s="38">
        <f>(1-'AMD'!D$43)*'Yard'!M$63</f>
        <v>0</v>
      </c>
      <c r="N78" s="38">
        <f>(1-'AMD'!E$43)*'Yard'!N$63</f>
        <v>0</v>
      </c>
      <c r="O78" s="38">
        <f>(1-'AMD'!F$43)*'Yard'!O$63</f>
        <v>0</v>
      </c>
      <c r="P78" s="38">
        <f>(1-'AMD'!G$43)*'Yard'!P$63</f>
        <v>0</v>
      </c>
      <c r="Q78" s="38">
        <f>(1-'AMD'!H$43)*'Yard'!Q$63</f>
        <v>0</v>
      </c>
      <c r="R78" s="38">
        <f>(1-'AMD'!I$43)*'Yard'!R$63</f>
        <v>0</v>
      </c>
      <c r="S78" s="38">
        <f>(1-'AMD'!J$43)*'Yard'!S$63</f>
        <v>0</v>
      </c>
      <c r="T78" s="17"/>
    </row>
    <row r="79" spans="1:20">
      <c r="A79" s="4" t="s">
        <v>178</v>
      </c>
      <c r="B79" s="38">
        <f>(1-'AMD'!B$44)*'Yard'!B$64</f>
        <v>0</v>
      </c>
      <c r="C79" s="38">
        <f>(1-'AMD'!C$44)*'Yard'!C$64</f>
        <v>0</v>
      </c>
      <c r="D79" s="38">
        <f>(1-'AMD'!D$44)*'Yard'!D$64</f>
        <v>0</v>
      </c>
      <c r="E79" s="38">
        <f>(1-'AMD'!E$44)*'Yard'!E$64</f>
        <v>0</v>
      </c>
      <c r="F79" s="38">
        <f>(1-'AMD'!F$44)*'Yard'!F$64</f>
        <v>0</v>
      </c>
      <c r="G79" s="38">
        <f>(1-'AMD'!G$44)*'Yard'!G$64</f>
        <v>0</v>
      </c>
      <c r="H79" s="38">
        <f>(1-'AMD'!H$44)*'Yard'!H$64</f>
        <v>0</v>
      </c>
      <c r="I79" s="38">
        <f>(1-'AMD'!I$44)*'Yard'!I$64</f>
        <v>0</v>
      </c>
      <c r="J79" s="38">
        <f>(1-'AMD'!J$44)*'Yard'!J$64</f>
        <v>0</v>
      </c>
      <c r="K79" s="38">
        <f>(1-'AMD'!B$44)*'Yard'!K$64</f>
        <v>0</v>
      </c>
      <c r="L79" s="38">
        <f>(1-'AMD'!C$44)*'Yard'!L$64</f>
        <v>0</v>
      </c>
      <c r="M79" s="38">
        <f>(1-'AMD'!D$44)*'Yard'!M$64</f>
        <v>0</v>
      </c>
      <c r="N79" s="38">
        <f>(1-'AMD'!E$44)*'Yard'!N$64</f>
        <v>0</v>
      </c>
      <c r="O79" s="38">
        <f>(1-'AMD'!F$44)*'Yard'!O$64</f>
        <v>0</v>
      </c>
      <c r="P79" s="38">
        <f>(1-'AMD'!G$44)*'Yard'!P$64</f>
        <v>0</v>
      </c>
      <c r="Q79" s="38">
        <f>(1-'AMD'!H$44)*'Yard'!Q$64</f>
        <v>0</v>
      </c>
      <c r="R79" s="38">
        <f>(1-'AMD'!I$44)*'Yard'!R$64</f>
        <v>0</v>
      </c>
      <c r="S79" s="38">
        <f>(1-'AMD'!J$44)*'Yard'!S$64</f>
        <v>0</v>
      </c>
      <c r="T79" s="17"/>
    </row>
    <row r="80" spans="1:20">
      <c r="A80" s="4" t="s">
        <v>179</v>
      </c>
      <c r="B80" s="38">
        <f>(1-'AMD'!B$45)*'Yard'!B$65</f>
        <v>0</v>
      </c>
      <c r="C80" s="38">
        <f>(1-'AMD'!C$45)*'Yard'!C$65</f>
        <v>0</v>
      </c>
      <c r="D80" s="38">
        <f>(1-'AMD'!D$45)*'Yard'!D$65</f>
        <v>0</v>
      </c>
      <c r="E80" s="38">
        <f>(1-'AMD'!E$45)*'Yard'!E$65</f>
        <v>0</v>
      </c>
      <c r="F80" s="38">
        <f>(1-'AMD'!F$45)*'Yard'!F$65</f>
        <v>0</v>
      </c>
      <c r="G80" s="38">
        <f>(1-'AMD'!G$45)*'Yard'!G$65</f>
        <v>0</v>
      </c>
      <c r="H80" s="38">
        <f>(1-'AMD'!H$45)*'Yard'!H$65</f>
        <v>0</v>
      </c>
      <c r="I80" s="38">
        <f>(1-'AMD'!I$45)*'Yard'!I$65</f>
        <v>0</v>
      </c>
      <c r="J80" s="38">
        <f>(1-'AMD'!J$45)*'Yard'!J$65</f>
        <v>0</v>
      </c>
      <c r="K80" s="38">
        <f>(1-'AMD'!B$45)*'Yard'!K$65</f>
        <v>0</v>
      </c>
      <c r="L80" s="38">
        <f>(1-'AMD'!C$45)*'Yard'!L$65</f>
        <v>0</v>
      </c>
      <c r="M80" s="38">
        <f>(1-'AMD'!D$45)*'Yard'!M$65</f>
        <v>0</v>
      </c>
      <c r="N80" s="38">
        <f>(1-'AMD'!E$45)*'Yard'!N$65</f>
        <v>0</v>
      </c>
      <c r="O80" s="38">
        <f>(1-'AMD'!F$45)*'Yard'!O$65</f>
        <v>0</v>
      </c>
      <c r="P80" s="38">
        <f>(1-'AMD'!G$45)*'Yard'!P$65</f>
        <v>0</v>
      </c>
      <c r="Q80" s="38">
        <f>(1-'AMD'!H$45)*'Yard'!Q$65</f>
        <v>0</v>
      </c>
      <c r="R80" s="38">
        <f>(1-'AMD'!I$45)*'Yard'!R$65</f>
        <v>0</v>
      </c>
      <c r="S80" s="38">
        <f>(1-'AMD'!J$45)*'Yard'!S$65</f>
        <v>0</v>
      </c>
      <c r="T80" s="17"/>
    </row>
    <row r="81" spans="1:20">
      <c r="A81" s="4" t="s">
        <v>180</v>
      </c>
      <c r="B81" s="38">
        <f>(1-'AMD'!B$46)*'Yard'!B$66</f>
        <v>0</v>
      </c>
      <c r="C81" s="38">
        <f>(1-'AMD'!C$46)*'Yard'!C$66</f>
        <v>0</v>
      </c>
      <c r="D81" s="38">
        <f>(1-'AMD'!D$46)*'Yard'!D$66</f>
        <v>0</v>
      </c>
      <c r="E81" s="38">
        <f>(1-'AMD'!E$46)*'Yard'!E$66</f>
        <v>0</v>
      </c>
      <c r="F81" s="38">
        <f>(1-'AMD'!F$46)*'Yard'!F$66</f>
        <v>0</v>
      </c>
      <c r="G81" s="38">
        <f>(1-'AMD'!G$46)*'Yard'!G$66</f>
        <v>0</v>
      </c>
      <c r="H81" s="38">
        <f>(1-'AMD'!H$46)*'Yard'!H$66</f>
        <v>0</v>
      </c>
      <c r="I81" s="38">
        <f>(1-'AMD'!I$46)*'Yard'!I$66</f>
        <v>0</v>
      </c>
      <c r="J81" s="38">
        <f>(1-'AMD'!J$46)*'Yard'!J$66</f>
        <v>0</v>
      </c>
      <c r="K81" s="38">
        <f>(1-'AMD'!B$46)*'Yard'!K$66</f>
        <v>0</v>
      </c>
      <c r="L81" s="38">
        <f>(1-'AMD'!C$46)*'Yard'!L$66</f>
        <v>0</v>
      </c>
      <c r="M81" s="38">
        <f>(1-'AMD'!D$46)*'Yard'!M$66</f>
        <v>0</v>
      </c>
      <c r="N81" s="38">
        <f>(1-'AMD'!E$46)*'Yard'!N$66</f>
        <v>0</v>
      </c>
      <c r="O81" s="38">
        <f>(1-'AMD'!F$46)*'Yard'!O$66</f>
        <v>0</v>
      </c>
      <c r="P81" s="38">
        <f>(1-'AMD'!G$46)*'Yard'!P$66</f>
        <v>0</v>
      </c>
      <c r="Q81" s="38">
        <f>(1-'AMD'!H$46)*'Yard'!Q$66</f>
        <v>0</v>
      </c>
      <c r="R81" s="38">
        <f>(1-'AMD'!I$46)*'Yard'!R$66</f>
        <v>0</v>
      </c>
      <c r="S81" s="38">
        <f>(1-'AMD'!J$46)*'Yard'!S$66</f>
        <v>0</v>
      </c>
      <c r="T81" s="17"/>
    </row>
    <row r="82" spans="1:20">
      <c r="A82" s="4" t="s">
        <v>181</v>
      </c>
      <c r="B82" s="38">
        <f>(1-'AMD'!B$47)*'Yard'!B$67</f>
        <v>0</v>
      </c>
      <c r="C82" s="38">
        <f>(1-'AMD'!C$47)*'Yard'!C$67</f>
        <v>0</v>
      </c>
      <c r="D82" s="38">
        <f>(1-'AMD'!D$47)*'Yard'!D$67</f>
        <v>0</v>
      </c>
      <c r="E82" s="38">
        <f>(1-'AMD'!E$47)*'Yard'!E$67</f>
        <v>0</v>
      </c>
      <c r="F82" s="38">
        <f>(1-'AMD'!F$47)*'Yard'!F$67</f>
        <v>0</v>
      </c>
      <c r="G82" s="38">
        <f>(1-'AMD'!G$47)*'Yard'!G$67</f>
        <v>0</v>
      </c>
      <c r="H82" s="38">
        <f>(1-'AMD'!H$47)*'Yard'!H$67</f>
        <v>0</v>
      </c>
      <c r="I82" s="38">
        <f>(1-'AMD'!I$47)*'Yard'!I$67</f>
        <v>0</v>
      </c>
      <c r="J82" s="38">
        <f>(1-'AMD'!J$47)*'Yard'!J$67</f>
        <v>0</v>
      </c>
      <c r="K82" s="38">
        <f>(1-'AMD'!B$47)*'Yard'!K$67</f>
        <v>0</v>
      </c>
      <c r="L82" s="38">
        <f>(1-'AMD'!C$47)*'Yard'!L$67</f>
        <v>0</v>
      </c>
      <c r="M82" s="38">
        <f>(1-'AMD'!D$47)*'Yard'!M$67</f>
        <v>0</v>
      </c>
      <c r="N82" s="38">
        <f>(1-'AMD'!E$47)*'Yard'!N$67</f>
        <v>0</v>
      </c>
      <c r="O82" s="38">
        <f>(1-'AMD'!F$47)*'Yard'!O$67</f>
        <v>0</v>
      </c>
      <c r="P82" s="38">
        <f>(1-'AMD'!G$47)*'Yard'!P$67</f>
        <v>0</v>
      </c>
      <c r="Q82" s="38">
        <f>(1-'AMD'!H$47)*'Yard'!Q$67</f>
        <v>0</v>
      </c>
      <c r="R82" s="38">
        <f>(1-'AMD'!I$47)*'Yard'!R$67</f>
        <v>0</v>
      </c>
      <c r="S82" s="38">
        <f>(1-'AMD'!J$47)*'Yard'!S$67</f>
        <v>0</v>
      </c>
      <c r="T82" s="17"/>
    </row>
    <row r="83" spans="1:20">
      <c r="A83" s="4" t="s">
        <v>193</v>
      </c>
      <c r="B83" s="38">
        <f>(1-'AMD'!B$48)*'Yard'!B$68</f>
        <v>0</v>
      </c>
      <c r="C83" s="38">
        <f>(1-'AMD'!C$48)*'Yard'!C$68</f>
        <v>0</v>
      </c>
      <c r="D83" s="38">
        <f>(1-'AMD'!D$48)*'Yard'!D$68</f>
        <v>0</v>
      </c>
      <c r="E83" s="38">
        <f>(1-'AMD'!E$48)*'Yard'!E$68</f>
        <v>0</v>
      </c>
      <c r="F83" s="38">
        <f>(1-'AMD'!F$48)*'Yard'!F$68</f>
        <v>0</v>
      </c>
      <c r="G83" s="38">
        <f>(1-'AMD'!G$48)*'Yard'!G$68</f>
        <v>0</v>
      </c>
      <c r="H83" s="38">
        <f>(1-'AMD'!H$48)*'Yard'!H$68</f>
        <v>0</v>
      </c>
      <c r="I83" s="38">
        <f>(1-'AMD'!I$48)*'Yard'!I$68</f>
        <v>0</v>
      </c>
      <c r="J83" s="38">
        <f>(1-'AMD'!J$48)*'Yard'!J$68</f>
        <v>0</v>
      </c>
      <c r="K83" s="38">
        <f>(1-'AMD'!B$48)*'Yard'!K$68</f>
        <v>0</v>
      </c>
      <c r="L83" s="38">
        <f>(1-'AMD'!C$48)*'Yard'!L$68</f>
        <v>0</v>
      </c>
      <c r="M83" s="38">
        <f>(1-'AMD'!D$48)*'Yard'!M$68</f>
        <v>0</v>
      </c>
      <c r="N83" s="38">
        <f>(1-'AMD'!E$48)*'Yard'!N$68</f>
        <v>0</v>
      </c>
      <c r="O83" s="38">
        <f>(1-'AMD'!F$48)*'Yard'!O$68</f>
        <v>0</v>
      </c>
      <c r="P83" s="38">
        <f>(1-'AMD'!G$48)*'Yard'!P$68</f>
        <v>0</v>
      </c>
      <c r="Q83" s="38">
        <f>(1-'AMD'!H$48)*'Yard'!Q$68</f>
        <v>0</v>
      </c>
      <c r="R83" s="38">
        <f>(1-'AMD'!I$48)*'Yard'!R$68</f>
        <v>0</v>
      </c>
      <c r="S83" s="38">
        <f>(1-'AMD'!J$48)*'Yard'!S$68</f>
        <v>0</v>
      </c>
      <c r="T83" s="17"/>
    </row>
    <row r="84" spans="1:20">
      <c r="A84" s="4" t="s">
        <v>213</v>
      </c>
      <c r="B84" s="38">
        <f>(1-'AMD'!B$49)*'Yard'!B$69</f>
        <v>0</v>
      </c>
      <c r="C84" s="38">
        <f>(1-'AMD'!C$49)*'Yard'!C$69</f>
        <v>0</v>
      </c>
      <c r="D84" s="38">
        <f>(1-'AMD'!D$49)*'Yard'!D$69</f>
        <v>0</v>
      </c>
      <c r="E84" s="38">
        <f>(1-'AMD'!E$49)*'Yard'!E$69</f>
        <v>0</v>
      </c>
      <c r="F84" s="38">
        <f>(1-'AMD'!F$49)*'Yard'!F$69</f>
        <v>0</v>
      </c>
      <c r="G84" s="38">
        <f>(1-'AMD'!G$49)*'Yard'!G$69</f>
        <v>0</v>
      </c>
      <c r="H84" s="38">
        <f>(1-'AMD'!H$49)*'Yard'!H$69</f>
        <v>0</v>
      </c>
      <c r="I84" s="38">
        <f>(1-'AMD'!I$49)*'Yard'!I$69</f>
        <v>0</v>
      </c>
      <c r="J84" s="38">
        <f>(1-'AMD'!J$49)*'Yard'!J$69</f>
        <v>0</v>
      </c>
      <c r="K84" s="38">
        <f>(1-'AMD'!B$49)*'Yard'!K$69</f>
        <v>0</v>
      </c>
      <c r="L84" s="38">
        <f>(1-'AMD'!C$49)*'Yard'!L$69</f>
        <v>0</v>
      </c>
      <c r="M84" s="38">
        <f>(1-'AMD'!D$49)*'Yard'!M$69</f>
        <v>0</v>
      </c>
      <c r="N84" s="38">
        <f>(1-'AMD'!E$49)*'Yard'!N$69</f>
        <v>0</v>
      </c>
      <c r="O84" s="38">
        <f>(1-'AMD'!F$49)*'Yard'!O$69</f>
        <v>0</v>
      </c>
      <c r="P84" s="38">
        <f>(1-'AMD'!G$49)*'Yard'!P$69</f>
        <v>0</v>
      </c>
      <c r="Q84" s="38">
        <f>(1-'AMD'!H$49)*'Yard'!Q$69</f>
        <v>0</v>
      </c>
      <c r="R84" s="38">
        <f>(1-'AMD'!I$49)*'Yard'!R$69</f>
        <v>0</v>
      </c>
      <c r="S84" s="38">
        <f>(1-'AMD'!J$49)*'Yard'!S$69</f>
        <v>0</v>
      </c>
      <c r="T84" s="17"/>
    </row>
    <row r="85" spans="1:20">
      <c r="A85" s="4" t="s">
        <v>214</v>
      </c>
      <c r="B85" s="38">
        <f>(1-'AMD'!B$50)*'Yard'!B$70</f>
        <v>0</v>
      </c>
      <c r="C85" s="38">
        <f>(1-'AMD'!C$50)*'Yard'!C$70</f>
        <v>0</v>
      </c>
      <c r="D85" s="38">
        <f>(1-'AMD'!D$50)*'Yard'!D$70</f>
        <v>0</v>
      </c>
      <c r="E85" s="38">
        <f>(1-'AMD'!E$50)*'Yard'!E$70</f>
        <v>0</v>
      </c>
      <c r="F85" s="38">
        <f>(1-'AMD'!F$50)*'Yard'!F$70</f>
        <v>0</v>
      </c>
      <c r="G85" s="38">
        <f>(1-'AMD'!G$50)*'Yard'!G$70</f>
        <v>0</v>
      </c>
      <c r="H85" s="38">
        <f>(1-'AMD'!H$50)*'Yard'!H$70</f>
        <v>0</v>
      </c>
      <c r="I85" s="38">
        <f>(1-'AMD'!I$50)*'Yard'!I$70</f>
        <v>0</v>
      </c>
      <c r="J85" s="38">
        <f>(1-'AMD'!J$50)*'Yard'!J$70</f>
        <v>0</v>
      </c>
      <c r="K85" s="38">
        <f>(1-'AMD'!B$50)*'Yard'!K$70</f>
        <v>0</v>
      </c>
      <c r="L85" s="38">
        <f>(1-'AMD'!C$50)*'Yard'!L$70</f>
        <v>0</v>
      </c>
      <c r="M85" s="38">
        <f>(1-'AMD'!D$50)*'Yard'!M$70</f>
        <v>0</v>
      </c>
      <c r="N85" s="38">
        <f>(1-'AMD'!E$50)*'Yard'!N$70</f>
        <v>0</v>
      </c>
      <c r="O85" s="38">
        <f>(1-'AMD'!F$50)*'Yard'!O$70</f>
        <v>0</v>
      </c>
      <c r="P85" s="38">
        <f>(1-'AMD'!G$50)*'Yard'!P$70</f>
        <v>0</v>
      </c>
      <c r="Q85" s="38">
        <f>(1-'AMD'!H$50)*'Yard'!Q$70</f>
        <v>0</v>
      </c>
      <c r="R85" s="38">
        <f>(1-'AMD'!I$50)*'Yard'!R$70</f>
        <v>0</v>
      </c>
      <c r="S85" s="38">
        <f>(1-'AMD'!J$50)*'Yard'!S$70</f>
        <v>0</v>
      </c>
      <c r="T85" s="17"/>
    </row>
    <row r="86" spans="1:20">
      <c r="A86" s="4" t="s">
        <v>215</v>
      </c>
      <c r="B86" s="38">
        <f>(1-'AMD'!B$51)*'Yard'!B$71</f>
        <v>0</v>
      </c>
      <c r="C86" s="38">
        <f>(1-'AMD'!C$51)*'Yard'!C$71</f>
        <v>0</v>
      </c>
      <c r="D86" s="38">
        <f>(1-'AMD'!D$51)*'Yard'!D$71</f>
        <v>0</v>
      </c>
      <c r="E86" s="38">
        <f>(1-'AMD'!E$51)*'Yard'!E$71</f>
        <v>0</v>
      </c>
      <c r="F86" s="38">
        <f>(1-'AMD'!F$51)*'Yard'!F$71</f>
        <v>0</v>
      </c>
      <c r="G86" s="38">
        <f>(1-'AMD'!G$51)*'Yard'!G$71</f>
        <v>0</v>
      </c>
      <c r="H86" s="38">
        <f>(1-'AMD'!H$51)*'Yard'!H$71</f>
        <v>0</v>
      </c>
      <c r="I86" s="38">
        <f>(1-'AMD'!I$51)*'Yard'!I$71</f>
        <v>0</v>
      </c>
      <c r="J86" s="38">
        <f>(1-'AMD'!J$51)*'Yard'!J$71</f>
        <v>0</v>
      </c>
      <c r="K86" s="38">
        <f>(1-'AMD'!B$51)*'Yard'!K$71</f>
        <v>0</v>
      </c>
      <c r="L86" s="38">
        <f>(1-'AMD'!C$51)*'Yard'!L$71</f>
        <v>0</v>
      </c>
      <c r="M86" s="38">
        <f>(1-'AMD'!D$51)*'Yard'!M$71</f>
        <v>0</v>
      </c>
      <c r="N86" s="38">
        <f>(1-'AMD'!E$51)*'Yard'!N$71</f>
        <v>0</v>
      </c>
      <c r="O86" s="38">
        <f>(1-'AMD'!F$51)*'Yard'!O$71</f>
        <v>0</v>
      </c>
      <c r="P86" s="38">
        <f>(1-'AMD'!G$51)*'Yard'!P$71</f>
        <v>0</v>
      </c>
      <c r="Q86" s="38">
        <f>(1-'AMD'!H$51)*'Yard'!Q$71</f>
        <v>0</v>
      </c>
      <c r="R86" s="38">
        <f>(1-'AMD'!I$51)*'Yard'!R$71</f>
        <v>0</v>
      </c>
      <c r="S86" s="38">
        <f>(1-'AMD'!J$51)*'Yard'!S$71</f>
        <v>0</v>
      </c>
      <c r="T86" s="17"/>
    </row>
    <row r="87" spans="1:20">
      <c r="A87" s="4" t="s">
        <v>216</v>
      </c>
      <c r="B87" s="38">
        <f>(1-'AMD'!B$52)*'Yard'!B$72</f>
        <v>0</v>
      </c>
      <c r="C87" s="38">
        <f>(1-'AMD'!C$52)*'Yard'!C$72</f>
        <v>0</v>
      </c>
      <c r="D87" s="38">
        <f>(1-'AMD'!D$52)*'Yard'!D$72</f>
        <v>0</v>
      </c>
      <c r="E87" s="38">
        <f>(1-'AMD'!E$52)*'Yard'!E$72</f>
        <v>0</v>
      </c>
      <c r="F87" s="38">
        <f>(1-'AMD'!F$52)*'Yard'!F$72</f>
        <v>0</v>
      </c>
      <c r="G87" s="38">
        <f>(1-'AMD'!G$52)*'Yard'!G$72</f>
        <v>0</v>
      </c>
      <c r="H87" s="38">
        <f>(1-'AMD'!H$52)*'Yard'!H$72</f>
        <v>0</v>
      </c>
      <c r="I87" s="38">
        <f>(1-'AMD'!I$52)*'Yard'!I$72</f>
        <v>0</v>
      </c>
      <c r="J87" s="38">
        <f>(1-'AMD'!J$52)*'Yard'!J$72</f>
        <v>0</v>
      </c>
      <c r="K87" s="38">
        <f>(1-'AMD'!B$52)*'Yard'!K$72</f>
        <v>0</v>
      </c>
      <c r="L87" s="38">
        <f>(1-'AMD'!C$52)*'Yard'!L$72</f>
        <v>0</v>
      </c>
      <c r="M87" s="38">
        <f>(1-'AMD'!D$52)*'Yard'!M$72</f>
        <v>0</v>
      </c>
      <c r="N87" s="38">
        <f>(1-'AMD'!E$52)*'Yard'!N$72</f>
        <v>0</v>
      </c>
      <c r="O87" s="38">
        <f>(1-'AMD'!F$52)*'Yard'!O$72</f>
        <v>0</v>
      </c>
      <c r="P87" s="38">
        <f>(1-'AMD'!G$52)*'Yard'!P$72</f>
        <v>0</v>
      </c>
      <c r="Q87" s="38">
        <f>(1-'AMD'!H$52)*'Yard'!Q$72</f>
        <v>0</v>
      </c>
      <c r="R87" s="38">
        <f>(1-'AMD'!I$52)*'Yard'!R$72</f>
        <v>0</v>
      </c>
      <c r="S87" s="38">
        <f>(1-'AMD'!J$52)*'Yard'!S$72</f>
        <v>0</v>
      </c>
      <c r="T87" s="17"/>
    </row>
    <row r="88" spans="1:20">
      <c r="A88" s="4" t="s">
        <v>217</v>
      </c>
      <c r="B88" s="38">
        <f>(1-'AMD'!B$53)*'Yard'!B$73</f>
        <v>0</v>
      </c>
      <c r="C88" s="38">
        <f>(1-'AMD'!C$53)*'Yard'!C$73</f>
        <v>0</v>
      </c>
      <c r="D88" s="38">
        <f>(1-'AMD'!D$53)*'Yard'!D$73</f>
        <v>0</v>
      </c>
      <c r="E88" s="38">
        <f>(1-'AMD'!E$53)*'Yard'!E$73</f>
        <v>0</v>
      </c>
      <c r="F88" s="38">
        <f>(1-'AMD'!F$53)*'Yard'!F$73</f>
        <v>0</v>
      </c>
      <c r="G88" s="38">
        <f>(1-'AMD'!G$53)*'Yard'!G$73</f>
        <v>0</v>
      </c>
      <c r="H88" s="38">
        <f>(1-'AMD'!H$53)*'Yard'!H$73</f>
        <v>0</v>
      </c>
      <c r="I88" s="38">
        <f>(1-'AMD'!I$53)*'Yard'!I$73</f>
        <v>0</v>
      </c>
      <c r="J88" s="38">
        <f>(1-'AMD'!J$53)*'Yard'!J$73</f>
        <v>0</v>
      </c>
      <c r="K88" s="38">
        <f>(1-'AMD'!B$53)*'Yard'!K$73</f>
        <v>0</v>
      </c>
      <c r="L88" s="38">
        <f>(1-'AMD'!C$53)*'Yard'!L$73</f>
        <v>0</v>
      </c>
      <c r="M88" s="38">
        <f>(1-'AMD'!D$53)*'Yard'!M$73</f>
        <v>0</v>
      </c>
      <c r="N88" s="38">
        <f>(1-'AMD'!E$53)*'Yard'!N$73</f>
        <v>0</v>
      </c>
      <c r="O88" s="38">
        <f>(1-'AMD'!F$53)*'Yard'!O$73</f>
        <v>0</v>
      </c>
      <c r="P88" s="38">
        <f>(1-'AMD'!G$53)*'Yard'!P$73</f>
        <v>0</v>
      </c>
      <c r="Q88" s="38">
        <f>(1-'AMD'!H$53)*'Yard'!Q$73</f>
        <v>0</v>
      </c>
      <c r="R88" s="38">
        <f>(1-'AMD'!I$53)*'Yard'!R$73</f>
        <v>0</v>
      </c>
      <c r="S88" s="38">
        <f>(1-'AMD'!J$53)*'Yard'!S$73</f>
        <v>0</v>
      </c>
      <c r="T88" s="17"/>
    </row>
    <row r="90" spans="1:20" ht="21" customHeight="1">
      <c r="A90" s="1" t="s">
        <v>1001</v>
      </c>
    </row>
    <row r="91" spans="1:20">
      <c r="A91" s="2" t="s">
        <v>351</v>
      </c>
    </row>
    <row r="92" spans="1:20">
      <c r="A92" s="33" t="s">
        <v>990</v>
      </c>
    </row>
    <row r="93" spans="1:20">
      <c r="A93" s="33" t="s">
        <v>1002</v>
      </c>
    </row>
    <row r="94" spans="1:20">
      <c r="A94" s="2" t="s">
        <v>998</v>
      </c>
    </row>
    <row r="96" spans="1:20">
      <c r="B96" s="15" t="s">
        <v>142</v>
      </c>
      <c r="C96" s="15" t="s">
        <v>306</v>
      </c>
      <c r="D96" s="15" t="s">
        <v>307</v>
      </c>
      <c r="E96" s="15" t="s">
        <v>308</v>
      </c>
      <c r="F96" s="15" t="s">
        <v>309</v>
      </c>
      <c r="G96" s="15" t="s">
        <v>310</v>
      </c>
      <c r="H96" s="15" t="s">
        <v>311</v>
      </c>
      <c r="I96" s="15" t="s">
        <v>312</v>
      </c>
      <c r="J96" s="15" t="s">
        <v>313</v>
      </c>
      <c r="K96" s="15" t="s">
        <v>294</v>
      </c>
      <c r="L96" s="15" t="s">
        <v>877</v>
      </c>
      <c r="M96" s="15" t="s">
        <v>878</v>
      </c>
      <c r="N96" s="15" t="s">
        <v>879</v>
      </c>
      <c r="O96" s="15" t="s">
        <v>880</v>
      </c>
      <c r="P96" s="15" t="s">
        <v>881</v>
      </c>
      <c r="Q96" s="15" t="s">
        <v>882</v>
      </c>
      <c r="R96" s="15" t="s">
        <v>883</v>
      </c>
      <c r="S96" s="15" t="s">
        <v>884</v>
      </c>
    </row>
    <row r="97" spans="1:20">
      <c r="A97" s="4" t="s">
        <v>175</v>
      </c>
      <c r="B97" s="38">
        <f>(1-'AMD'!B$39)*'Yard'!B$88</f>
        <v>0</v>
      </c>
      <c r="C97" s="38">
        <f>(1-'AMD'!C$39)*'Yard'!C$88</f>
        <v>0</v>
      </c>
      <c r="D97" s="38">
        <f>(1-'AMD'!D$39)*'Yard'!D$88</f>
        <v>0</v>
      </c>
      <c r="E97" s="38">
        <f>(1-'AMD'!E$39)*'Yard'!E$88</f>
        <v>0</v>
      </c>
      <c r="F97" s="38">
        <f>(1-'AMD'!F$39)*'Yard'!F$88</f>
        <v>0</v>
      </c>
      <c r="G97" s="38">
        <f>(1-'AMD'!G$39)*'Yard'!G$88</f>
        <v>0</v>
      </c>
      <c r="H97" s="38">
        <f>(1-'AMD'!H$39)*'Yard'!H$88</f>
        <v>0</v>
      </c>
      <c r="I97" s="38">
        <f>(1-'AMD'!I$39)*'Yard'!I$88</f>
        <v>0</v>
      </c>
      <c r="J97" s="38">
        <f>(1-'AMD'!J$39)*'Yard'!J$88</f>
        <v>0</v>
      </c>
      <c r="K97" s="38">
        <f>(1-'AMD'!B$39)*'Yard'!K$88</f>
        <v>0</v>
      </c>
      <c r="L97" s="38">
        <f>(1-'AMD'!C$39)*'Yard'!L$88</f>
        <v>0</v>
      </c>
      <c r="M97" s="38">
        <f>(1-'AMD'!D$39)*'Yard'!M$88</f>
        <v>0</v>
      </c>
      <c r="N97" s="38">
        <f>(1-'AMD'!E$39)*'Yard'!N$88</f>
        <v>0</v>
      </c>
      <c r="O97" s="38">
        <f>(1-'AMD'!F$39)*'Yard'!O$88</f>
        <v>0</v>
      </c>
      <c r="P97" s="38">
        <f>(1-'AMD'!G$39)*'Yard'!P$88</f>
        <v>0</v>
      </c>
      <c r="Q97" s="38">
        <f>(1-'AMD'!H$39)*'Yard'!Q$88</f>
        <v>0</v>
      </c>
      <c r="R97" s="38">
        <f>(1-'AMD'!I$39)*'Yard'!R$88</f>
        <v>0</v>
      </c>
      <c r="S97" s="38">
        <f>(1-'AMD'!J$39)*'Yard'!S$88</f>
        <v>0</v>
      </c>
      <c r="T97" s="17"/>
    </row>
    <row r="98" spans="1:20">
      <c r="A98" s="4" t="s">
        <v>177</v>
      </c>
      <c r="B98" s="38">
        <f>(1-'AMD'!B$42)*'Yard'!B$89</f>
        <v>0</v>
      </c>
      <c r="C98" s="38">
        <f>(1-'AMD'!C$42)*'Yard'!C$89</f>
        <v>0</v>
      </c>
      <c r="D98" s="38">
        <f>(1-'AMD'!D$42)*'Yard'!D$89</f>
        <v>0</v>
      </c>
      <c r="E98" s="38">
        <f>(1-'AMD'!E$42)*'Yard'!E$89</f>
        <v>0</v>
      </c>
      <c r="F98" s="38">
        <f>(1-'AMD'!F$42)*'Yard'!F$89</f>
        <v>0</v>
      </c>
      <c r="G98" s="38">
        <f>(1-'AMD'!G$42)*'Yard'!G$89</f>
        <v>0</v>
      </c>
      <c r="H98" s="38">
        <f>(1-'AMD'!H$42)*'Yard'!H$89</f>
        <v>0</v>
      </c>
      <c r="I98" s="38">
        <f>(1-'AMD'!I$42)*'Yard'!I$89</f>
        <v>0</v>
      </c>
      <c r="J98" s="38">
        <f>(1-'AMD'!J$42)*'Yard'!J$89</f>
        <v>0</v>
      </c>
      <c r="K98" s="38">
        <f>(1-'AMD'!B$42)*'Yard'!K$89</f>
        <v>0</v>
      </c>
      <c r="L98" s="38">
        <f>(1-'AMD'!C$42)*'Yard'!L$89</f>
        <v>0</v>
      </c>
      <c r="M98" s="38">
        <f>(1-'AMD'!D$42)*'Yard'!M$89</f>
        <v>0</v>
      </c>
      <c r="N98" s="38">
        <f>(1-'AMD'!E$42)*'Yard'!N$89</f>
        <v>0</v>
      </c>
      <c r="O98" s="38">
        <f>(1-'AMD'!F$42)*'Yard'!O$89</f>
        <v>0</v>
      </c>
      <c r="P98" s="38">
        <f>(1-'AMD'!G$42)*'Yard'!P$89</f>
        <v>0</v>
      </c>
      <c r="Q98" s="38">
        <f>(1-'AMD'!H$42)*'Yard'!Q$89</f>
        <v>0</v>
      </c>
      <c r="R98" s="38">
        <f>(1-'AMD'!I$42)*'Yard'!R$89</f>
        <v>0</v>
      </c>
      <c r="S98" s="38">
        <f>(1-'AMD'!J$42)*'Yard'!S$89</f>
        <v>0</v>
      </c>
      <c r="T98" s="17"/>
    </row>
    <row r="99" spans="1:20">
      <c r="A99" s="4" t="s">
        <v>178</v>
      </c>
      <c r="B99" s="38">
        <f>(1-'AMD'!B$44)*'Yard'!B$90</f>
        <v>0</v>
      </c>
      <c r="C99" s="38">
        <f>(1-'AMD'!C$44)*'Yard'!C$90</f>
        <v>0</v>
      </c>
      <c r="D99" s="38">
        <f>(1-'AMD'!D$44)*'Yard'!D$90</f>
        <v>0</v>
      </c>
      <c r="E99" s="38">
        <f>(1-'AMD'!E$44)*'Yard'!E$90</f>
        <v>0</v>
      </c>
      <c r="F99" s="38">
        <f>(1-'AMD'!F$44)*'Yard'!F$90</f>
        <v>0</v>
      </c>
      <c r="G99" s="38">
        <f>(1-'AMD'!G$44)*'Yard'!G$90</f>
        <v>0</v>
      </c>
      <c r="H99" s="38">
        <f>(1-'AMD'!H$44)*'Yard'!H$90</f>
        <v>0</v>
      </c>
      <c r="I99" s="38">
        <f>(1-'AMD'!I$44)*'Yard'!I$90</f>
        <v>0</v>
      </c>
      <c r="J99" s="38">
        <f>(1-'AMD'!J$44)*'Yard'!J$90</f>
        <v>0</v>
      </c>
      <c r="K99" s="38">
        <f>(1-'AMD'!B$44)*'Yard'!K$90</f>
        <v>0</v>
      </c>
      <c r="L99" s="38">
        <f>(1-'AMD'!C$44)*'Yard'!L$90</f>
        <v>0</v>
      </c>
      <c r="M99" s="38">
        <f>(1-'AMD'!D$44)*'Yard'!M$90</f>
        <v>0</v>
      </c>
      <c r="N99" s="38">
        <f>(1-'AMD'!E$44)*'Yard'!N$90</f>
        <v>0</v>
      </c>
      <c r="O99" s="38">
        <f>(1-'AMD'!F$44)*'Yard'!O$90</f>
        <v>0</v>
      </c>
      <c r="P99" s="38">
        <f>(1-'AMD'!G$44)*'Yard'!P$90</f>
        <v>0</v>
      </c>
      <c r="Q99" s="38">
        <f>(1-'AMD'!H$44)*'Yard'!Q$90</f>
        <v>0</v>
      </c>
      <c r="R99" s="38">
        <f>(1-'AMD'!I$44)*'Yard'!R$90</f>
        <v>0</v>
      </c>
      <c r="S99" s="38">
        <f>(1-'AMD'!J$44)*'Yard'!S$90</f>
        <v>0</v>
      </c>
      <c r="T99" s="17"/>
    </row>
    <row r="100" spans="1:20">
      <c r="A100" s="4" t="s">
        <v>179</v>
      </c>
      <c r="B100" s="38">
        <f>(1-'AMD'!B$45)*'Yard'!B$91</f>
        <v>0</v>
      </c>
      <c r="C100" s="38">
        <f>(1-'AMD'!C$45)*'Yard'!C$91</f>
        <v>0</v>
      </c>
      <c r="D100" s="38">
        <f>(1-'AMD'!D$45)*'Yard'!D$91</f>
        <v>0</v>
      </c>
      <c r="E100" s="38">
        <f>(1-'AMD'!E$45)*'Yard'!E$91</f>
        <v>0</v>
      </c>
      <c r="F100" s="38">
        <f>(1-'AMD'!F$45)*'Yard'!F$91</f>
        <v>0</v>
      </c>
      <c r="G100" s="38">
        <f>(1-'AMD'!G$45)*'Yard'!G$91</f>
        <v>0</v>
      </c>
      <c r="H100" s="38">
        <f>(1-'AMD'!H$45)*'Yard'!H$91</f>
        <v>0</v>
      </c>
      <c r="I100" s="38">
        <f>(1-'AMD'!I$45)*'Yard'!I$91</f>
        <v>0</v>
      </c>
      <c r="J100" s="38">
        <f>(1-'AMD'!J$45)*'Yard'!J$91</f>
        <v>0</v>
      </c>
      <c r="K100" s="38">
        <f>(1-'AMD'!B$45)*'Yard'!K$91</f>
        <v>0</v>
      </c>
      <c r="L100" s="38">
        <f>(1-'AMD'!C$45)*'Yard'!L$91</f>
        <v>0</v>
      </c>
      <c r="M100" s="38">
        <f>(1-'AMD'!D$45)*'Yard'!M$91</f>
        <v>0</v>
      </c>
      <c r="N100" s="38">
        <f>(1-'AMD'!E$45)*'Yard'!N$91</f>
        <v>0</v>
      </c>
      <c r="O100" s="38">
        <f>(1-'AMD'!F$45)*'Yard'!O$91</f>
        <v>0</v>
      </c>
      <c r="P100" s="38">
        <f>(1-'AMD'!G$45)*'Yard'!P$91</f>
        <v>0</v>
      </c>
      <c r="Q100" s="38">
        <f>(1-'AMD'!H$45)*'Yard'!Q$91</f>
        <v>0</v>
      </c>
      <c r="R100" s="38">
        <f>(1-'AMD'!I$45)*'Yard'!R$91</f>
        <v>0</v>
      </c>
      <c r="S100" s="38">
        <f>(1-'AMD'!J$45)*'Yard'!S$91</f>
        <v>0</v>
      </c>
      <c r="T100" s="17"/>
    </row>
    <row r="101" spans="1:20">
      <c r="A101" s="4" t="s">
        <v>180</v>
      </c>
      <c r="B101" s="38">
        <f>(1-'AMD'!B$46)*'Yard'!B$92</f>
        <v>0</v>
      </c>
      <c r="C101" s="38">
        <f>(1-'AMD'!C$46)*'Yard'!C$92</f>
        <v>0</v>
      </c>
      <c r="D101" s="38">
        <f>(1-'AMD'!D$46)*'Yard'!D$92</f>
        <v>0</v>
      </c>
      <c r="E101" s="38">
        <f>(1-'AMD'!E$46)*'Yard'!E$92</f>
        <v>0</v>
      </c>
      <c r="F101" s="38">
        <f>(1-'AMD'!F$46)*'Yard'!F$92</f>
        <v>0</v>
      </c>
      <c r="G101" s="38">
        <f>(1-'AMD'!G$46)*'Yard'!G$92</f>
        <v>0</v>
      </c>
      <c r="H101" s="38">
        <f>(1-'AMD'!H$46)*'Yard'!H$92</f>
        <v>0</v>
      </c>
      <c r="I101" s="38">
        <f>(1-'AMD'!I$46)*'Yard'!I$92</f>
        <v>0</v>
      </c>
      <c r="J101" s="38">
        <f>(1-'AMD'!J$46)*'Yard'!J$92</f>
        <v>0</v>
      </c>
      <c r="K101" s="38">
        <f>(1-'AMD'!B$46)*'Yard'!K$92</f>
        <v>0</v>
      </c>
      <c r="L101" s="38">
        <f>(1-'AMD'!C$46)*'Yard'!L$92</f>
        <v>0</v>
      </c>
      <c r="M101" s="38">
        <f>(1-'AMD'!D$46)*'Yard'!M$92</f>
        <v>0</v>
      </c>
      <c r="N101" s="38">
        <f>(1-'AMD'!E$46)*'Yard'!N$92</f>
        <v>0</v>
      </c>
      <c r="O101" s="38">
        <f>(1-'AMD'!F$46)*'Yard'!O$92</f>
        <v>0</v>
      </c>
      <c r="P101" s="38">
        <f>(1-'AMD'!G$46)*'Yard'!P$92</f>
        <v>0</v>
      </c>
      <c r="Q101" s="38">
        <f>(1-'AMD'!H$46)*'Yard'!Q$92</f>
        <v>0</v>
      </c>
      <c r="R101" s="38">
        <f>(1-'AMD'!I$46)*'Yard'!R$92</f>
        <v>0</v>
      </c>
      <c r="S101" s="38">
        <f>(1-'AMD'!J$46)*'Yard'!S$92</f>
        <v>0</v>
      </c>
      <c r="T101" s="17"/>
    </row>
    <row r="102" spans="1:20">
      <c r="A102" s="4" t="s">
        <v>181</v>
      </c>
      <c r="B102" s="38">
        <f>(1-'AMD'!B$47)*'Yard'!B$93</f>
        <v>0</v>
      </c>
      <c r="C102" s="38">
        <f>(1-'AMD'!C$47)*'Yard'!C$93</f>
        <v>0</v>
      </c>
      <c r="D102" s="38">
        <f>(1-'AMD'!D$47)*'Yard'!D$93</f>
        <v>0</v>
      </c>
      <c r="E102" s="38">
        <f>(1-'AMD'!E$47)*'Yard'!E$93</f>
        <v>0</v>
      </c>
      <c r="F102" s="38">
        <f>(1-'AMD'!F$47)*'Yard'!F$93</f>
        <v>0</v>
      </c>
      <c r="G102" s="38">
        <f>(1-'AMD'!G$47)*'Yard'!G$93</f>
        <v>0</v>
      </c>
      <c r="H102" s="38">
        <f>(1-'AMD'!H$47)*'Yard'!H$93</f>
        <v>0</v>
      </c>
      <c r="I102" s="38">
        <f>(1-'AMD'!I$47)*'Yard'!I$93</f>
        <v>0</v>
      </c>
      <c r="J102" s="38">
        <f>(1-'AMD'!J$47)*'Yard'!J$93</f>
        <v>0</v>
      </c>
      <c r="K102" s="38">
        <f>(1-'AMD'!B$47)*'Yard'!K$93</f>
        <v>0</v>
      </c>
      <c r="L102" s="38">
        <f>(1-'AMD'!C$47)*'Yard'!L$93</f>
        <v>0</v>
      </c>
      <c r="M102" s="38">
        <f>(1-'AMD'!D$47)*'Yard'!M$93</f>
        <v>0</v>
      </c>
      <c r="N102" s="38">
        <f>(1-'AMD'!E$47)*'Yard'!N$93</f>
        <v>0</v>
      </c>
      <c r="O102" s="38">
        <f>(1-'AMD'!F$47)*'Yard'!O$93</f>
        <v>0</v>
      </c>
      <c r="P102" s="38">
        <f>(1-'AMD'!G$47)*'Yard'!P$93</f>
        <v>0</v>
      </c>
      <c r="Q102" s="38">
        <f>(1-'AMD'!H$47)*'Yard'!Q$93</f>
        <v>0</v>
      </c>
      <c r="R102" s="38">
        <f>(1-'AMD'!I$47)*'Yard'!R$93</f>
        <v>0</v>
      </c>
      <c r="S102" s="38">
        <f>(1-'AMD'!J$47)*'Yard'!S$93</f>
        <v>0</v>
      </c>
      <c r="T102" s="17"/>
    </row>
    <row r="103" spans="1:20">
      <c r="A103" s="4" t="s">
        <v>193</v>
      </c>
      <c r="B103" s="38">
        <f>(1-'AMD'!B$48)*'Yard'!B$94</f>
        <v>0</v>
      </c>
      <c r="C103" s="38">
        <f>(1-'AMD'!C$48)*'Yard'!C$94</f>
        <v>0</v>
      </c>
      <c r="D103" s="38">
        <f>(1-'AMD'!D$48)*'Yard'!D$94</f>
        <v>0</v>
      </c>
      <c r="E103" s="38">
        <f>(1-'AMD'!E$48)*'Yard'!E$94</f>
        <v>0</v>
      </c>
      <c r="F103" s="38">
        <f>(1-'AMD'!F$48)*'Yard'!F$94</f>
        <v>0</v>
      </c>
      <c r="G103" s="38">
        <f>(1-'AMD'!G$48)*'Yard'!G$94</f>
        <v>0</v>
      </c>
      <c r="H103" s="38">
        <f>(1-'AMD'!H$48)*'Yard'!H$94</f>
        <v>0</v>
      </c>
      <c r="I103" s="38">
        <f>(1-'AMD'!I$48)*'Yard'!I$94</f>
        <v>0</v>
      </c>
      <c r="J103" s="38">
        <f>(1-'AMD'!J$48)*'Yard'!J$94</f>
        <v>0</v>
      </c>
      <c r="K103" s="38">
        <f>(1-'AMD'!B$48)*'Yard'!K$94</f>
        <v>0</v>
      </c>
      <c r="L103" s="38">
        <f>(1-'AMD'!C$48)*'Yard'!L$94</f>
        <v>0</v>
      </c>
      <c r="M103" s="38">
        <f>(1-'AMD'!D$48)*'Yard'!M$94</f>
        <v>0</v>
      </c>
      <c r="N103" s="38">
        <f>(1-'AMD'!E$48)*'Yard'!N$94</f>
        <v>0</v>
      </c>
      <c r="O103" s="38">
        <f>(1-'AMD'!F$48)*'Yard'!O$94</f>
        <v>0</v>
      </c>
      <c r="P103" s="38">
        <f>(1-'AMD'!G$48)*'Yard'!P$94</f>
        <v>0</v>
      </c>
      <c r="Q103" s="38">
        <f>(1-'AMD'!H$48)*'Yard'!Q$94</f>
        <v>0</v>
      </c>
      <c r="R103" s="38">
        <f>(1-'AMD'!I$48)*'Yard'!R$94</f>
        <v>0</v>
      </c>
      <c r="S103" s="38">
        <f>(1-'AMD'!J$48)*'Yard'!S$94</f>
        <v>0</v>
      </c>
      <c r="T103" s="17"/>
    </row>
    <row r="104" spans="1:20">
      <c r="A104" s="4" t="s">
        <v>217</v>
      </c>
      <c r="B104" s="38">
        <f>(1-'AMD'!B$53)*'Yard'!B$95</f>
        <v>0</v>
      </c>
      <c r="C104" s="38">
        <f>(1-'AMD'!C$53)*'Yard'!C$95</f>
        <v>0</v>
      </c>
      <c r="D104" s="38">
        <f>(1-'AMD'!D$53)*'Yard'!D$95</f>
        <v>0</v>
      </c>
      <c r="E104" s="38">
        <f>(1-'AMD'!E$53)*'Yard'!E$95</f>
        <v>0</v>
      </c>
      <c r="F104" s="38">
        <f>(1-'AMD'!F$53)*'Yard'!F$95</f>
        <v>0</v>
      </c>
      <c r="G104" s="38">
        <f>(1-'AMD'!G$53)*'Yard'!G$95</f>
        <v>0</v>
      </c>
      <c r="H104" s="38">
        <f>(1-'AMD'!H$53)*'Yard'!H$95</f>
        <v>0</v>
      </c>
      <c r="I104" s="38">
        <f>(1-'AMD'!I$53)*'Yard'!I$95</f>
        <v>0</v>
      </c>
      <c r="J104" s="38">
        <f>(1-'AMD'!J$53)*'Yard'!J$95</f>
        <v>0</v>
      </c>
      <c r="K104" s="38">
        <f>(1-'AMD'!B$53)*'Yard'!K$95</f>
        <v>0</v>
      </c>
      <c r="L104" s="38">
        <f>(1-'AMD'!C$53)*'Yard'!L$95</f>
        <v>0</v>
      </c>
      <c r="M104" s="38">
        <f>(1-'AMD'!D$53)*'Yard'!M$95</f>
        <v>0</v>
      </c>
      <c r="N104" s="38">
        <f>(1-'AMD'!E$53)*'Yard'!N$95</f>
        <v>0</v>
      </c>
      <c r="O104" s="38">
        <f>(1-'AMD'!F$53)*'Yard'!O$95</f>
        <v>0</v>
      </c>
      <c r="P104" s="38">
        <f>(1-'AMD'!G$53)*'Yard'!P$95</f>
        <v>0</v>
      </c>
      <c r="Q104" s="38">
        <f>(1-'AMD'!H$53)*'Yard'!Q$95</f>
        <v>0</v>
      </c>
      <c r="R104" s="38">
        <f>(1-'AMD'!I$53)*'Yard'!R$95</f>
        <v>0</v>
      </c>
      <c r="S104" s="38">
        <f>(1-'AMD'!J$53)*'Yard'!S$95</f>
        <v>0</v>
      </c>
      <c r="T104" s="17"/>
    </row>
    <row r="106" spans="1:20" ht="21" customHeight="1">
      <c r="A106" s="1" t="s">
        <v>1003</v>
      </c>
    </row>
    <row r="107" spans="1:20">
      <c r="A107" s="2" t="s">
        <v>351</v>
      </c>
    </row>
    <row r="108" spans="1:20">
      <c r="A108" s="33" t="s">
        <v>990</v>
      </c>
    </row>
    <row r="109" spans="1:20">
      <c r="A109" s="33" t="s">
        <v>1004</v>
      </c>
    </row>
    <row r="110" spans="1:20">
      <c r="A110" s="2" t="s">
        <v>998</v>
      </c>
    </row>
    <row r="112" spans="1:20">
      <c r="B112" s="15" t="s">
        <v>142</v>
      </c>
      <c r="C112" s="15" t="s">
        <v>306</v>
      </c>
      <c r="D112" s="15" t="s">
        <v>307</v>
      </c>
      <c r="E112" s="15" t="s">
        <v>308</v>
      </c>
      <c r="F112" s="15" t="s">
        <v>309</v>
      </c>
      <c r="G112" s="15" t="s">
        <v>310</v>
      </c>
      <c r="H112" s="15" t="s">
        <v>311</v>
      </c>
      <c r="I112" s="15" t="s">
        <v>312</v>
      </c>
      <c r="J112" s="15" t="s">
        <v>313</v>
      </c>
      <c r="K112" s="15" t="s">
        <v>294</v>
      </c>
      <c r="L112" s="15" t="s">
        <v>877</v>
      </c>
      <c r="M112" s="15" t="s">
        <v>878</v>
      </c>
      <c r="N112" s="15" t="s">
        <v>879</v>
      </c>
      <c r="O112" s="15" t="s">
        <v>880</v>
      </c>
      <c r="P112" s="15" t="s">
        <v>881</v>
      </c>
      <c r="Q112" s="15" t="s">
        <v>882</v>
      </c>
      <c r="R112" s="15" t="s">
        <v>883</v>
      </c>
      <c r="S112" s="15" t="s">
        <v>884</v>
      </c>
    </row>
    <row r="113" spans="1:20">
      <c r="A113" s="4" t="s">
        <v>178</v>
      </c>
      <c r="B113" s="38">
        <f>(1-'AMD'!B$44)*'Yard'!B$110</f>
        <v>0</v>
      </c>
      <c r="C113" s="38">
        <f>(1-'AMD'!C$44)*'Yard'!C$110</f>
        <v>0</v>
      </c>
      <c r="D113" s="38">
        <f>(1-'AMD'!D$44)*'Yard'!D$110</f>
        <v>0</v>
      </c>
      <c r="E113" s="38">
        <f>(1-'AMD'!E$44)*'Yard'!E$110</f>
        <v>0</v>
      </c>
      <c r="F113" s="38">
        <f>(1-'AMD'!F$44)*'Yard'!F$110</f>
        <v>0</v>
      </c>
      <c r="G113" s="38">
        <f>(1-'AMD'!G$44)*'Yard'!G$110</f>
        <v>0</v>
      </c>
      <c r="H113" s="38">
        <f>(1-'AMD'!H$44)*'Yard'!H$110</f>
        <v>0</v>
      </c>
      <c r="I113" s="38">
        <f>(1-'AMD'!I$44)*'Yard'!I$110</f>
        <v>0</v>
      </c>
      <c r="J113" s="38">
        <f>(1-'AMD'!J$44)*'Yard'!J$110</f>
        <v>0</v>
      </c>
      <c r="K113" s="38">
        <f>(1-'AMD'!B$44)*'Yard'!K$110</f>
        <v>0</v>
      </c>
      <c r="L113" s="38">
        <f>(1-'AMD'!C$44)*'Yard'!L$110</f>
        <v>0</v>
      </c>
      <c r="M113" s="38">
        <f>(1-'AMD'!D$44)*'Yard'!M$110</f>
        <v>0</v>
      </c>
      <c r="N113" s="38">
        <f>(1-'AMD'!E$44)*'Yard'!N$110</f>
        <v>0</v>
      </c>
      <c r="O113" s="38">
        <f>(1-'AMD'!F$44)*'Yard'!O$110</f>
        <v>0</v>
      </c>
      <c r="P113" s="38">
        <f>(1-'AMD'!G$44)*'Yard'!P$110</f>
        <v>0</v>
      </c>
      <c r="Q113" s="38">
        <f>(1-'AMD'!H$44)*'Yard'!Q$110</f>
        <v>0</v>
      </c>
      <c r="R113" s="38">
        <f>(1-'AMD'!I$44)*'Yard'!R$110</f>
        <v>0</v>
      </c>
      <c r="S113" s="38">
        <f>(1-'AMD'!J$44)*'Yard'!S$110</f>
        <v>0</v>
      </c>
      <c r="T113" s="17"/>
    </row>
    <row r="114" spans="1:20">
      <c r="A114" s="4" t="s">
        <v>179</v>
      </c>
      <c r="B114" s="38">
        <f>(1-'AMD'!B$45)*'Yard'!B$111</f>
        <v>0</v>
      </c>
      <c r="C114" s="38">
        <f>(1-'AMD'!C$45)*'Yard'!C$111</f>
        <v>0</v>
      </c>
      <c r="D114" s="38">
        <f>(1-'AMD'!D$45)*'Yard'!D$111</f>
        <v>0</v>
      </c>
      <c r="E114" s="38">
        <f>(1-'AMD'!E$45)*'Yard'!E$111</f>
        <v>0</v>
      </c>
      <c r="F114" s="38">
        <f>(1-'AMD'!F$45)*'Yard'!F$111</f>
        <v>0</v>
      </c>
      <c r="G114" s="38">
        <f>(1-'AMD'!G$45)*'Yard'!G$111</f>
        <v>0</v>
      </c>
      <c r="H114" s="38">
        <f>(1-'AMD'!H$45)*'Yard'!H$111</f>
        <v>0</v>
      </c>
      <c r="I114" s="38">
        <f>(1-'AMD'!I$45)*'Yard'!I$111</f>
        <v>0</v>
      </c>
      <c r="J114" s="38">
        <f>(1-'AMD'!J$45)*'Yard'!J$111</f>
        <v>0</v>
      </c>
      <c r="K114" s="38">
        <f>(1-'AMD'!B$45)*'Yard'!K$111</f>
        <v>0</v>
      </c>
      <c r="L114" s="38">
        <f>(1-'AMD'!C$45)*'Yard'!L$111</f>
        <v>0</v>
      </c>
      <c r="M114" s="38">
        <f>(1-'AMD'!D$45)*'Yard'!M$111</f>
        <v>0</v>
      </c>
      <c r="N114" s="38">
        <f>(1-'AMD'!E$45)*'Yard'!N$111</f>
        <v>0</v>
      </c>
      <c r="O114" s="38">
        <f>(1-'AMD'!F$45)*'Yard'!O$111</f>
        <v>0</v>
      </c>
      <c r="P114" s="38">
        <f>(1-'AMD'!G$45)*'Yard'!P$111</f>
        <v>0</v>
      </c>
      <c r="Q114" s="38">
        <f>(1-'AMD'!H$45)*'Yard'!Q$111</f>
        <v>0</v>
      </c>
      <c r="R114" s="38">
        <f>(1-'AMD'!I$45)*'Yard'!R$111</f>
        <v>0</v>
      </c>
      <c r="S114" s="38">
        <f>(1-'AMD'!J$45)*'Yard'!S$111</f>
        <v>0</v>
      </c>
      <c r="T114" s="17"/>
    </row>
    <row r="115" spans="1:20">
      <c r="A115" s="4" t="s">
        <v>180</v>
      </c>
      <c r="B115" s="38">
        <f>(1-'AMD'!B$46)*'Yard'!B$112</f>
        <v>0</v>
      </c>
      <c r="C115" s="38">
        <f>(1-'AMD'!C$46)*'Yard'!C$112</f>
        <v>0</v>
      </c>
      <c r="D115" s="38">
        <f>(1-'AMD'!D$46)*'Yard'!D$112</f>
        <v>0</v>
      </c>
      <c r="E115" s="38">
        <f>(1-'AMD'!E$46)*'Yard'!E$112</f>
        <v>0</v>
      </c>
      <c r="F115" s="38">
        <f>(1-'AMD'!F$46)*'Yard'!F$112</f>
        <v>0</v>
      </c>
      <c r="G115" s="38">
        <f>(1-'AMD'!G$46)*'Yard'!G$112</f>
        <v>0</v>
      </c>
      <c r="H115" s="38">
        <f>(1-'AMD'!H$46)*'Yard'!H$112</f>
        <v>0</v>
      </c>
      <c r="I115" s="38">
        <f>(1-'AMD'!I$46)*'Yard'!I$112</f>
        <v>0</v>
      </c>
      <c r="J115" s="38">
        <f>(1-'AMD'!J$46)*'Yard'!J$112</f>
        <v>0</v>
      </c>
      <c r="K115" s="38">
        <f>(1-'AMD'!B$46)*'Yard'!K$112</f>
        <v>0</v>
      </c>
      <c r="L115" s="38">
        <f>(1-'AMD'!C$46)*'Yard'!L$112</f>
        <v>0</v>
      </c>
      <c r="M115" s="38">
        <f>(1-'AMD'!D$46)*'Yard'!M$112</f>
        <v>0</v>
      </c>
      <c r="N115" s="38">
        <f>(1-'AMD'!E$46)*'Yard'!N$112</f>
        <v>0</v>
      </c>
      <c r="O115" s="38">
        <f>(1-'AMD'!F$46)*'Yard'!O$112</f>
        <v>0</v>
      </c>
      <c r="P115" s="38">
        <f>(1-'AMD'!G$46)*'Yard'!P$112</f>
        <v>0</v>
      </c>
      <c r="Q115" s="38">
        <f>(1-'AMD'!H$46)*'Yard'!Q$112</f>
        <v>0</v>
      </c>
      <c r="R115" s="38">
        <f>(1-'AMD'!I$46)*'Yard'!R$112</f>
        <v>0</v>
      </c>
      <c r="S115" s="38">
        <f>(1-'AMD'!J$46)*'Yard'!S$112</f>
        <v>0</v>
      </c>
      <c r="T115" s="17"/>
    </row>
    <row r="116" spans="1:20">
      <c r="A116" s="4" t="s">
        <v>181</v>
      </c>
      <c r="B116" s="38">
        <f>(1-'AMD'!B$47)*'Yard'!B$113</f>
        <v>0</v>
      </c>
      <c r="C116" s="38">
        <f>(1-'AMD'!C$47)*'Yard'!C$113</f>
        <v>0</v>
      </c>
      <c r="D116" s="38">
        <f>(1-'AMD'!D$47)*'Yard'!D$113</f>
        <v>0</v>
      </c>
      <c r="E116" s="38">
        <f>(1-'AMD'!E$47)*'Yard'!E$113</f>
        <v>0</v>
      </c>
      <c r="F116" s="38">
        <f>(1-'AMD'!F$47)*'Yard'!F$113</f>
        <v>0</v>
      </c>
      <c r="G116" s="38">
        <f>(1-'AMD'!G$47)*'Yard'!G$113</f>
        <v>0</v>
      </c>
      <c r="H116" s="38">
        <f>(1-'AMD'!H$47)*'Yard'!H$113</f>
        <v>0</v>
      </c>
      <c r="I116" s="38">
        <f>(1-'AMD'!I$47)*'Yard'!I$113</f>
        <v>0</v>
      </c>
      <c r="J116" s="38">
        <f>(1-'AMD'!J$47)*'Yard'!J$113</f>
        <v>0</v>
      </c>
      <c r="K116" s="38">
        <f>(1-'AMD'!B$47)*'Yard'!K$113</f>
        <v>0</v>
      </c>
      <c r="L116" s="38">
        <f>(1-'AMD'!C$47)*'Yard'!L$113</f>
        <v>0</v>
      </c>
      <c r="M116" s="38">
        <f>(1-'AMD'!D$47)*'Yard'!M$113</f>
        <v>0</v>
      </c>
      <c r="N116" s="38">
        <f>(1-'AMD'!E$47)*'Yard'!N$113</f>
        <v>0</v>
      </c>
      <c r="O116" s="38">
        <f>(1-'AMD'!F$47)*'Yard'!O$113</f>
        <v>0</v>
      </c>
      <c r="P116" s="38">
        <f>(1-'AMD'!G$47)*'Yard'!P$113</f>
        <v>0</v>
      </c>
      <c r="Q116" s="38">
        <f>(1-'AMD'!H$47)*'Yard'!Q$113</f>
        <v>0</v>
      </c>
      <c r="R116" s="38">
        <f>(1-'AMD'!I$47)*'Yard'!R$113</f>
        <v>0</v>
      </c>
      <c r="S116" s="38">
        <f>(1-'AMD'!J$47)*'Yard'!S$113</f>
        <v>0</v>
      </c>
      <c r="T116" s="17"/>
    </row>
    <row r="117" spans="1:20">
      <c r="A117" s="4" t="s">
        <v>193</v>
      </c>
      <c r="B117" s="38">
        <f>(1-'AMD'!B$48)*'Yard'!B$114</f>
        <v>0</v>
      </c>
      <c r="C117" s="38">
        <f>(1-'AMD'!C$48)*'Yard'!C$114</f>
        <v>0</v>
      </c>
      <c r="D117" s="38">
        <f>(1-'AMD'!D$48)*'Yard'!D$114</f>
        <v>0</v>
      </c>
      <c r="E117" s="38">
        <f>(1-'AMD'!E$48)*'Yard'!E$114</f>
        <v>0</v>
      </c>
      <c r="F117" s="38">
        <f>(1-'AMD'!F$48)*'Yard'!F$114</f>
        <v>0</v>
      </c>
      <c r="G117" s="38">
        <f>(1-'AMD'!G$48)*'Yard'!G$114</f>
        <v>0</v>
      </c>
      <c r="H117" s="38">
        <f>(1-'AMD'!H$48)*'Yard'!H$114</f>
        <v>0</v>
      </c>
      <c r="I117" s="38">
        <f>(1-'AMD'!I$48)*'Yard'!I$114</f>
        <v>0</v>
      </c>
      <c r="J117" s="38">
        <f>(1-'AMD'!J$48)*'Yard'!J$114</f>
        <v>0</v>
      </c>
      <c r="K117" s="38">
        <f>(1-'AMD'!B$48)*'Yard'!K$114</f>
        <v>0</v>
      </c>
      <c r="L117" s="38">
        <f>(1-'AMD'!C$48)*'Yard'!L$114</f>
        <v>0</v>
      </c>
      <c r="M117" s="38">
        <f>(1-'AMD'!D$48)*'Yard'!M$114</f>
        <v>0</v>
      </c>
      <c r="N117" s="38">
        <f>(1-'AMD'!E$48)*'Yard'!N$114</f>
        <v>0</v>
      </c>
      <c r="O117" s="38">
        <f>(1-'AMD'!F$48)*'Yard'!O$114</f>
        <v>0</v>
      </c>
      <c r="P117" s="38">
        <f>(1-'AMD'!G$48)*'Yard'!P$114</f>
        <v>0</v>
      </c>
      <c r="Q117" s="38">
        <f>(1-'AMD'!H$48)*'Yard'!Q$114</f>
        <v>0</v>
      </c>
      <c r="R117" s="38">
        <f>(1-'AMD'!I$48)*'Yard'!R$114</f>
        <v>0</v>
      </c>
      <c r="S117" s="38">
        <f>(1-'AMD'!J$48)*'Yard'!S$114</f>
        <v>0</v>
      </c>
      <c r="T117" s="17"/>
    </row>
    <row r="118" spans="1:20">
      <c r="A118" s="4" t="s">
        <v>217</v>
      </c>
      <c r="B118" s="38">
        <f>(1-'AMD'!B$53)*'Yard'!B$115</f>
        <v>0</v>
      </c>
      <c r="C118" s="38">
        <f>(1-'AMD'!C$53)*'Yard'!C$115</f>
        <v>0</v>
      </c>
      <c r="D118" s="38">
        <f>(1-'AMD'!D$53)*'Yard'!D$115</f>
        <v>0</v>
      </c>
      <c r="E118" s="38">
        <f>(1-'AMD'!E$53)*'Yard'!E$115</f>
        <v>0</v>
      </c>
      <c r="F118" s="38">
        <f>(1-'AMD'!F$53)*'Yard'!F$115</f>
        <v>0</v>
      </c>
      <c r="G118" s="38">
        <f>(1-'AMD'!G$53)*'Yard'!G$115</f>
        <v>0</v>
      </c>
      <c r="H118" s="38">
        <f>(1-'AMD'!H$53)*'Yard'!H$115</f>
        <v>0</v>
      </c>
      <c r="I118" s="38">
        <f>(1-'AMD'!I$53)*'Yard'!I$115</f>
        <v>0</v>
      </c>
      <c r="J118" s="38">
        <f>(1-'AMD'!J$53)*'Yard'!J$115</f>
        <v>0</v>
      </c>
      <c r="K118" s="38">
        <f>(1-'AMD'!B$53)*'Yard'!K$115</f>
        <v>0</v>
      </c>
      <c r="L118" s="38">
        <f>(1-'AMD'!C$53)*'Yard'!L$115</f>
        <v>0</v>
      </c>
      <c r="M118" s="38">
        <f>(1-'AMD'!D$53)*'Yard'!M$115</f>
        <v>0</v>
      </c>
      <c r="N118" s="38">
        <f>(1-'AMD'!E$53)*'Yard'!N$115</f>
        <v>0</v>
      </c>
      <c r="O118" s="38">
        <f>(1-'AMD'!F$53)*'Yard'!O$115</f>
        <v>0</v>
      </c>
      <c r="P118" s="38">
        <f>(1-'AMD'!G$53)*'Yard'!P$115</f>
        <v>0</v>
      </c>
      <c r="Q118" s="38">
        <f>(1-'AMD'!H$53)*'Yard'!Q$115</f>
        <v>0</v>
      </c>
      <c r="R118" s="38">
        <f>(1-'AMD'!I$53)*'Yard'!R$115</f>
        <v>0</v>
      </c>
      <c r="S118" s="38">
        <f>(1-'AMD'!J$53)*'Yard'!S$115</f>
        <v>0</v>
      </c>
      <c r="T118" s="17"/>
    </row>
  </sheetData>
  <sheetProtection sheet="1" objects="1" scenarios="1"/>
  <hyperlinks>
    <hyperlink ref="A6" location="'Yard'!B10" display="x1 = 2901. Unit cost at each level, £/kW/year (relative to system simultaneous maximum load)"/>
    <hyperlink ref="A7" location="'AMD'!B186" display="x2 = 2612. Diversity allowances (including calculated LV value)"/>
    <hyperlink ref="A16" location="'AMD'!B37" display="x1 = 2602. Standing charges factors adapted to use 132kV/HV"/>
    <hyperlink ref="A17" location="'LAFs'!B224" display="x2 = 2012. Loss adjustment factors between end user meter reading and each network level, scaled by network use"/>
    <hyperlink ref="A18" location="'Standing'!B10" display="x3 = 3001. Costs based on aggregate maximum load (£/kW/year)"/>
    <hyperlink ref="A19" location="'Input'!E57" display="x4 = 1010. Power factor for all flows in the network model (in Financial and general assumptions)"/>
    <hyperlink ref="A20" location="'Input'!F57" display="x5 = 1010. Days in the charging year (in Financial and general assumptions)"/>
    <hyperlink ref="A21" location="'Contrib'!B87" display="x6 = 2804. Proportion of annual charge covered by contributions (for all charging levels)"/>
    <hyperlink ref="A44" location="'AMD'!B37" display="x1 = 2602. Standing charges factors adapted to use 132kV/HV"/>
    <hyperlink ref="A45" location="'Yard'!B22" display="x2 = 2902. Pay-as-you-go yardstick unit costs by charging level (p/kWh)"/>
    <hyperlink ref="A68" location="'AMD'!B37" display="x1 = 2602. Standing charges factors adapted to use 132kV/HV"/>
    <hyperlink ref="A69" location="'Yard'!B57" display="x2 = 2903. Contributions to pay-as-you-go unit rate 1 (p/kWh)"/>
    <hyperlink ref="A92" location="'AMD'!B37" display="x1 = 2602. Standing charges factors adapted to use 132kV/HV"/>
    <hyperlink ref="A93" location="'Yard'!B87" display="x2 = 2904. Contributions to pay-as-you-go unit rate 2 (p/kWh)"/>
    <hyperlink ref="A108" location="'AMD'!B37" display="x1 = 2602. Standing charges factors adapted to use 132kV/HV"/>
    <hyperlink ref="A109" location="'Yard'!B109" display="x2 = 2905. Contributions to pay-as-you-go unit rate 3 (p/kWh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"Standing charges as fixed charges for "&amp;'Input'!B7&amp;" in "&amp;'Input'!C7&amp;" ("&amp;'Input'!D7&amp;")"</f>
        <v>0</v>
      </c>
    </row>
    <row r="2" spans="1:6">
      <c r="A2" s="2" t="s">
        <v>1005</v>
      </c>
    </row>
    <row r="4" spans="1:6" ht="21" customHeight="1">
      <c r="A4" s="1" t="s">
        <v>1006</v>
      </c>
    </row>
    <row r="6" spans="1:6">
      <c r="B6" s="15" t="s">
        <v>1007</v>
      </c>
      <c r="C6" s="15" t="s">
        <v>1008</v>
      </c>
      <c r="D6" s="15" t="s">
        <v>1009</v>
      </c>
      <c r="E6" s="15" t="s">
        <v>1010</v>
      </c>
    </row>
    <row r="7" spans="1:6">
      <c r="A7" s="4" t="s">
        <v>174</v>
      </c>
      <c r="B7" s="37">
        <v>1</v>
      </c>
      <c r="C7" s="37">
        <v>0</v>
      </c>
      <c r="D7" s="37">
        <v>0</v>
      </c>
      <c r="E7" s="37">
        <v>0</v>
      </c>
      <c r="F7" s="17"/>
    </row>
    <row r="8" spans="1:6">
      <c r="A8" s="4" t="s">
        <v>175</v>
      </c>
      <c r="B8" s="37">
        <v>1</v>
      </c>
      <c r="C8" s="37">
        <v>0</v>
      </c>
      <c r="D8" s="37">
        <v>0</v>
      </c>
      <c r="E8" s="37">
        <v>0</v>
      </c>
      <c r="F8" s="17"/>
    </row>
    <row r="9" spans="1:6">
      <c r="A9" s="4" t="s">
        <v>176</v>
      </c>
      <c r="B9" s="37">
        <v>1</v>
      </c>
      <c r="C9" s="37">
        <v>0</v>
      </c>
      <c r="D9" s="37">
        <v>0</v>
      </c>
      <c r="E9" s="37">
        <v>0</v>
      </c>
      <c r="F9" s="17"/>
    </row>
    <row r="10" spans="1:6">
      <c r="A10" s="4" t="s">
        <v>177</v>
      </c>
      <c r="B10" s="37">
        <v>1</v>
      </c>
      <c r="C10" s="37">
        <v>0</v>
      </c>
      <c r="D10" s="37">
        <v>0</v>
      </c>
      <c r="E10" s="37">
        <v>0</v>
      </c>
      <c r="F10" s="17"/>
    </row>
    <row r="11" spans="1:6">
      <c r="A11" s="4" t="s">
        <v>178</v>
      </c>
      <c r="B11" s="37">
        <v>1</v>
      </c>
      <c r="C11" s="37">
        <v>0</v>
      </c>
      <c r="D11" s="37">
        <v>0</v>
      </c>
      <c r="E11" s="37">
        <v>0</v>
      </c>
      <c r="F11" s="17"/>
    </row>
    <row r="12" spans="1:6">
      <c r="A12" s="4" t="s">
        <v>179</v>
      </c>
      <c r="B12" s="37">
        <v>1</v>
      </c>
      <c r="C12" s="37">
        <v>0</v>
      </c>
      <c r="D12" s="37">
        <v>0</v>
      </c>
      <c r="E12" s="37">
        <v>0</v>
      </c>
      <c r="F12" s="17"/>
    </row>
    <row r="14" spans="1:6" ht="21" customHeight="1">
      <c r="A14" s="1" t="s">
        <v>1011</v>
      </c>
    </row>
    <row r="15" spans="1:6">
      <c r="A15" s="2" t="s">
        <v>351</v>
      </c>
    </row>
    <row r="16" spans="1:6">
      <c r="A16" s="33" t="s">
        <v>574</v>
      </c>
    </row>
    <row r="17" spans="1:4">
      <c r="A17" s="33" t="s">
        <v>499</v>
      </c>
    </row>
    <row r="18" spans="1:4">
      <c r="A18" s="33" t="s">
        <v>404</v>
      </c>
    </row>
    <row r="19" spans="1:4">
      <c r="A19" s="33" t="s">
        <v>1012</v>
      </c>
    </row>
    <row r="20" spans="1:4">
      <c r="A20" s="34" t="s">
        <v>354</v>
      </c>
      <c r="B20" s="34" t="s">
        <v>484</v>
      </c>
      <c r="C20" s="34" t="s">
        <v>413</v>
      </c>
    </row>
    <row r="21" spans="1:4">
      <c r="A21" s="34" t="s">
        <v>357</v>
      </c>
      <c r="B21" s="34" t="s">
        <v>1013</v>
      </c>
      <c r="C21" s="34" t="s">
        <v>1014</v>
      </c>
    </row>
    <row r="23" spans="1:4">
      <c r="B23" s="15" t="s">
        <v>1015</v>
      </c>
      <c r="C23" s="15" t="s">
        <v>225</v>
      </c>
    </row>
    <row r="24" spans="1:4">
      <c r="A24" s="4" t="s">
        <v>174</v>
      </c>
      <c r="B24" s="21">
        <f>'Multi'!B$107/'Input'!C$157/(24*'Input'!F$58)*1000</f>
        <v>0</v>
      </c>
      <c r="C24" s="44">
        <f>'Loads'!E$280</f>
        <v>0</v>
      </c>
      <c r="D24" s="17"/>
    </row>
    <row r="25" spans="1:4">
      <c r="A25" s="4" t="s">
        <v>175</v>
      </c>
      <c r="B25" s="21">
        <f>'Multi'!B$108/'Input'!C$158/(24*'Input'!F$58)*1000</f>
        <v>0</v>
      </c>
      <c r="C25" s="44">
        <f>'Loads'!E$281</f>
        <v>0</v>
      </c>
      <c r="D25" s="17"/>
    </row>
    <row r="26" spans="1:4">
      <c r="A26" s="4" t="s">
        <v>176</v>
      </c>
      <c r="B26" s="21">
        <f>'Multi'!B$110/'Input'!C$160/(24*'Input'!F$58)*1000</f>
        <v>0</v>
      </c>
      <c r="C26" s="44">
        <f>'Loads'!E$283</f>
        <v>0</v>
      </c>
      <c r="D26" s="17"/>
    </row>
    <row r="27" spans="1:4">
      <c r="A27" s="4" t="s">
        <v>177</v>
      </c>
      <c r="B27" s="21">
        <f>'Multi'!B$111/'Input'!C$161/(24*'Input'!F$58)*1000</f>
        <v>0</v>
      </c>
      <c r="C27" s="44">
        <f>'Loads'!E$284</f>
        <v>0</v>
      </c>
      <c r="D27" s="17"/>
    </row>
    <row r="28" spans="1:4">
      <c r="A28" s="4" t="s">
        <v>178</v>
      </c>
      <c r="B28" s="21">
        <f>'Multi'!B$113/'Input'!C$163/(24*'Input'!F$58)*1000</f>
        <v>0</v>
      </c>
      <c r="C28" s="44">
        <f>'Loads'!E$286</f>
        <v>0</v>
      </c>
      <c r="D28" s="17"/>
    </row>
    <row r="29" spans="1:4">
      <c r="A29" s="4" t="s">
        <v>179</v>
      </c>
      <c r="B29" s="21">
        <f>'Multi'!B$114/'Input'!C$164/(24*'Input'!F$58)*1000</f>
        <v>0</v>
      </c>
      <c r="C29" s="44">
        <f>'Loads'!E$287</f>
        <v>0</v>
      </c>
      <c r="D29" s="17"/>
    </row>
    <row r="31" spans="1:4" ht="21" customHeight="1">
      <c r="A31" s="1" t="s">
        <v>1016</v>
      </c>
    </row>
    <row r="32" spans="1:4">
      <c r="A32" s="2" t="s">
        <v>351</v>
      </c>
    </row>
    <row r="33" spans="1:6">
      <c r="A33" s="33" t="s">
        <v>1017</v>
      </c>
    </row>
    <row r="34" spans="1:6">
      <c r="A34" s="33" t="s">
        <v>1018</v>
      </c>
    </row>
    <row r="35" spans="1:6">
      <c r="A35" s="2" t="s">
        <v>364</v>
      </c>
    </row>
    <row r="37" spans="1:6">
      <c r="B37" s="15" t="s">
        <v>1007</v>
      </c>
      <c r="C37" s="15" t="s">
        <v>1008</v>
      </c>
      <c r="D37" s="15" t="s">
        <v>1009</v>
      </c>
      <c r="E37" s="15" t="s">
        <v>1010</v>
      </c>
    </row>
    <row r="38" spans="1:6">
      <c r="A38" s="4" t="s">
        <v>1019</v>
      </c>
      <c r="B38" s="21">
        <f>SUMPRODUCT(B$7:B$12,$B$24:$B$29)</f>
        <v>0</v>
      </c>
      <c r="C38" s="21">
        <f>SUMPRODUCT(C$7:C$12,$B$24:$B$29)</f>
        <v>0</v>
      </c>
      <c r="D38" s="21">
        <f>SUMPRODUCT(D$7:D$12,$B$24:$B$29)</f>
        <v>0</v>
      </c>
      <c r="E38" s="21">
        <f>SUMPRODUCT(E$7:E$12,$B$24:$B$29)</f>
        <v>0</v>
      </c>
      <c r="F38" s="17"/>
    </row>
    <row r="40" spans="1:6" ht="21" customHeight="1">
      <c r="A40" s="1" t="s">
        <v>1020</v>
      </c>
    </row>
    <row r="41" spans="1:6">
      <c r="A41" s="2" t="s">
        <v>351</v>
      </c>
    </row>
    <row r="42" spans="1:6">
      <c r="A42" s="33" t="s">
        <v>1017</v>
      </c>
    </row>
    <row r="43" spans="1:6">
      <c r="A43" s="33" t="s">
        <v>1021</v>
      </c>
    </row>
    <row r="44" spans="1:6">
      <c r="A44" s="2" t="s">
        <v>364</v>
      </c>
    </row>
    <row r="46" spans="1:6">
      <c r="B46" s="15" t="s">
        <v>1007</v>
      </c>
      <c r="C46" s="15" t="s">
        <v>1008</v>
      </c>
      <c r="D46" s="15" t="s">
        <v>1009</v>
      </c>
      <c r="E46" s="15" t="s">
        <v>1010</v>
      </c>
    </row>
    <row r="47" spans="1:6">
      <c r="A47" s="4" t="s">
        <v>1022</v>
      </c>
      <c r="B47" s="21">
        <f>SUMPRODUCT(B$7:B$12,$C$24:$C$29)</f>
        <v>0</v>
      </c>
      <c r="C47" s="21">
        <f>SUMPRODUCT(C$7:C$12,$C$24:$C$29)</f>
        <v>0</v>
      </c>
      <c r="D47" s="21">
        <f>SUMPRODUCT(D$7:D$12,$C$24:$C$29)</f>
        <v>0</v>
      </c>
      <c r="E47" s="21">
        <f>SUMPRODUCT(E$7:E$12,$C$24:$C$29)</f>
        <v>0</v>
      </c>
      <c r="F47" s="17"/>
    </row>
    <row r="49" spans="1:6" ht="21" customHeight="1">
      <c r="A49" s="1" t="s">
        <v>1023</v>
      </c>
    </row>
    <row r="50" spans="1:6">
      <c r="A50" s="2" t="s">
        <v>351</v>
      </c>
    </row>
    <row r="51" spans="1:6">
      <c r="A51" s="33" t="s">
        <v>1024</v>
      </c>
    </row>
    <row r="52" spans="1:6">
      <c r="A52" s="33" t="s">
        <v>1025</v>
      </c>
    </row>
    <row r="53" spans="1:6">
      <c r="A53" s="33" t="s">
        <v>1026</v>
      </c>
    </row>
    <row r="54" spans="1:6">
      <c r="A54" s="2" t="s">
        <v>1027</v>
      </c>
    </row>
    <row r="56" spans="1:6">
      <c r="B56" s="15" t="s">
        <v>1007</v>
      </c>
      <c r="C56" s="15" t="s">
        <v>1008</v>
      </c>
      <c r="D56" s="15" t="s">
        <v>1009</v>
      </c>
      <c r="E56" s="15" t="s">
        <v>1010</v>
      </c>
    </row>
    <row r="57" spans="1:6">
      <c r="A57" s="4" t="s">
        <v>1028</v>
      </c>
      <c r="B57" s="38">
        <f>IF(B47,B38/B47/'Input'!$E58,0)</f>
        <v>0</v>
      </c>
      <c r="C57" s="38">
        <f>IF(C47,C38/C47/'Input'!$E58,0)</f>
        <v>0</v>
      </c>
      <c r="D57" s="38">
        <f>IF(D47,D38/D47/'Input'!$E58,0)</f>
        <v>0</v>
      </c>
      <c r="E57" s="38">
        <f>IF(E47,E38/E47/'Input'!$E58,0)</f>
        <v>0</v>
      </c>
      <c r="F57" s="17"/>
    </row>
    <row r="59" spans="1:6" ht="21" customHeight="1">
      <c r="A59" s="1" t="s">
        <v>1029</v>
      </c>
    </row>
    <row r="60" spans="1:6">
      <c r="A60" s="2" t="s">
        <v>351</v>
      </c>
    </row>
    <row r="61" spans="1:6">
      <c r="A61" s="33" t="s">
        <v>1017</v>
      </c>
    </row>
    <row r="62" spans="1:6">
      <c r="A62" s="33" t="s">
        <v>1030</v>
      </c>
    </row>
    <row r="63" spans="1:6">
      <c r="A63" s="2" t="s">
        <v>364</v>
      </c>
    </row>
    <row r="65" spans="1:20">
      <c r="B65" s="15" t="s">
        <v>1031</v>
      </c>
    </row>
    <row r="66" spans="1:20">
      <c r="A66" s="4" t="s">
        <v>174</v>
      </c>
      <c r="B66" s="38">
        <f>SUMPRODUCT($B7:$E7,$B$57:$E$57)</f>
        <v>0</v>
      </c>
      <c r="C66" s="17"/>
    </row>
    <row r="67" spans="1:20">
      <c r="A67" s="4" t="s">
        <v>175</v>
      </c>
      <c r="B67" s="38">
        <f>SUMPRODUCT($B8:$E8,$B$57:$E$57)</f>
        <v>0</v>
      </c>
      <c r="C67" s="17"/>
    </row>
    <row r="68" spans="1:20">
      <c r="A68" s="4" t="s">
        <v>176</v>
      </c>
      <c r="B68" s="38">
        <f>SUMPRODUCT($B9:$E9,$B$57:$E$57)</f>
        <v>0</v>
      </c>
      <c r="C68" s="17"/>
    </row>
    <row r="69" spans="1:20">
      <c r="A69" s="4" t="s">
        <v>177</v>
      </c>
      <c r="B69" s="38">
        <f>SUMPRODUCT($B10:$E10,$B$57:$E$57)</f>
        <v>0</v>
      </c>
      <c r="C69" s="17"/>
    </row>
    <row r="70" spans="1:20">
      <c r="A70" s="4" t="s">
        <v>178</v>
      </c>
      <c r="B70" s="38">
        <f>SUMPRODUCT($B11:$E11,$B$57:$E$57)</f>
        <v>0</v>
      </c>
      <c r="C70" s="17"/>
    </row>
    <row r="71" spans="1:20">
      <c r="A71" s="4" t="s">
        <v>179</v>
      </c>
      <c r="B71" s="38">
        <f>SUMPRODUCT($B12:$E12,$B$57:$E$57)</f>
        <v>0</v>
      </c>
      <c r="C71" s="17"/>
    </row>
    <row r="73" spans="1:20" ht="21" customHeight="1">
      <c r="A73" s="1" t="s">
        <v>1032</v>
      </c>
    </row>
    <row r="74" spans="1:20">
      <c r="A74" s="2" t="s">
        <v>351</v>
      </c>
    </row>
    <row r="75" spans="1:20">
      <c r="A75" s="33" t="s">
        <v>1033</v>
      </c>
    </row>
    <row r="76" spans="1:20">
      <c r="A76" s="33" t="s">
        <v>1034</v>
      </c>
    </row>
    <row r="77" spans="1:20">
      <c r="A77" s="2" t="s">
        <v>689</v>
      </c>
    </row>
    <row r="79" spans="1:20">
      <c r="B79" s="15" t="s">
        <v>142</v>
      </c>
      <c r="C79" s="15" t="s">
        <v>306</v>
      </c>
      <c r="D79" s="15" t="s">
        <v>307</v>
      </c>
      <c r="E79" s="15" t="s">
        <v>308</v>
      </c>
      <c r="F79" s="15" t="s">
        <v>309</v>
      </c>
      <c r="G79" s="15" t="s">
        <v>310</v>
      </c>
      <c r="H79" s="15" t="s">
        <v>311</v>
      </c>
      <c r="I79" s="15" t="s">
        <v>312</v>
      </c>
      <c r="J79" s="15" t="s">
        <v>313</v>
      </c>
      <c r="K79" s="15" t="s">
        <v>294</v>
      </c>
      <c r="L79" s="15" t="s">
        <v>877</v>
      </c>
      <c r="M79" s="15" t="s">
        <v>878</v>
      </c>
      <c r="N79" s="15" t="s">
        <v>879</v>
      </c>
      <c r="O79" s="15" t="s">
        <v>880</v>
      </c>
      <c r="P79" s="15" t="s">
        <v>881</v>
      </c>
      <c r="Q79" s="15" t="s">
        <v>882</v>
      </c>
      <c r="R79" s="15" t="s">
        <v>883</v>
      </c>
      <c r="S79" s="15" t="s">
        <v>884</v>
      </c>
    </row>
    <row r="80" spans="1:20">
      <c r="A80" s="4" t="s">
        <v>174</v>
      </c>
      <c r="B80" s="38">
        <f>'Standing'!B$25*$B66</f>
        <v>0</v>
      </c>
      <c r="C80" s="38">
        <f>'Standing'!C$25*$B66</f>
        <v>0</v>
      </c>
      <c r="D80" s="38">
        <f>'Standing'!D$25*$B66</f>
        <v>0</v>
      </c>
      <c r="E80" s="38">
        <f>'Standing'!E$25*$B66</f>
        <v>0</v>
      </c>
      <c r="F80" s="38">
        <f>'Standing'!F$25*$B66</f>
        <v>0</v>
      </c>
      <c r="G80" s="38">
        <f>'Standing'!G$25*$B66</f>
        <v>0</v>
      </c>
      <c r="H80" s="38">
        <f>'Standing'!H$25*$B66</f>
        <v>0</v>
      </c>
      <c r="I80" s="38">
        <f>'Standing'!I$25*$B66</f>
        <v>0</v>
      </c>
      <c r="J80" s="38">
        <f>'Standing'!J$25*$B66</f>
        <v>0</v>
      </c>
      <c r="K80" s="38">
        <f>'Standing'!K$25*$B66</f>
        <v>0</v>
      </c>
      <c r="L80" s="38">
        <f>'Standing'!L$25*$B66</f>
        <v>0</v>
      </c>
      <c r="M80" s="38">
        <f>'Standing'!M$25*$B66</f>
        <v>0</v>
      </c>
      <c r="N80" s="38">
        <f>'Standing'!N$25*$B66</f>
        <v>0</v>
      </c>
      <c r="O80" s="38">
        <f>'Standing'!O$25*$B66</f>
        <v>0</v>
      </c>
      <c r="P80" s="38">
        <f>'Standing'!P$25*$B66</f>
        <v>0</v>
      </c>
      <c r="Q80" s="38">
        <f>'Standing'!Q$25*$B66</f>
        <v>0</v>
      </c>
      <c r="R80" s="38">
        <f>'Standing'!R$25*$B66</f>
        <v>0</v>
      </c>
      <c r="S80" s="38">
        <f>'Standing'!S$25*$B66</f>
        <v>0</v>
      </c>
      <c r="T80" s="17"/>
    </row>
    <row r="81" spans="1:20">
      <c r="A81" s="4" t="s">
        <v>175</v>
      </c>
      <c r="B81" s="38">
        <f>'Standing'!B$26*$B67</f>
        <v>0</v>
      </c>
      <c r="C81" s="38">
        <f>'Standing'!C$26*$B67</f>
        <v>0</v>
      </c>
      <c r="D81" s="38">
        <f>'Standing'!D$26*$B67</f>
        <v>0</v>
      </c>
      <c r="E81" s="38">
        <f>'Standing'!E$26*$B67</f>
        <v>0</v>
      </c>
      <c r="F81" s="38">
        <f>'Standing'!F$26*$B67</f>
        <v>0</v>
      </c>
      <c r="G81" s="38">
        <f>'Standing'!G$26*$B67</f>
        <v>0</v>
      </c>
      <c r="H81" s="38">
        <f>'Standing'!H$26*$B67</f>
        <v>0</v>
      </c>
      <c r="I81" s="38">
        <f>'Standing'!I$26*$B67</f>
        <v>0</v>
      </c>
      <c r="J81" s="38">
        <f>'Standing'!J$26*$B67</f>
        <v>0</v>
      </c>
      <c r="K81" s="38">
        <f>'Standing'!K$26*$B67</f>
        <v>0</v>
      </c>
      <c r="L81" s="38">
        <f>'Standing'!L$26*$B67</f>
        <v>0</v>
      </c>
      <c r="M81" s="38">
        <f>'Standing'!M$26*$B67</f>
        <v>0</v>
      </c>
      <c r="N81" s="38">
        <f>'Standing'!N$26*$B67</f>
        <v>0</v>
      </c>
      <c r="O81" s="38">
        <f>'Standing'!O$26*$B67</f>
        <v>0</v>
      </c>
      <c r="P81" s="38">
        <f>'Standing'!P$26*$B67</f>
        <v>0</v>
      </c>
      <c r="Q81" s="38">
        <f>'Standing'!Q$26*$B67</f>
        <v>0</v>
      </c>
      <c r="R81" s="38">
        <f>'Standing'!R$26*$B67</f>
        <v>0</v>
      </c>
      <c r="S81" s="38">
        <f>'Standing'!S$26*$B67</f>
        <v>0</v>
      </c>
      <c r="T81" s="17"/>
    </row>
    <row r="82" spans="1:20">
      <c r="A82" s="4" t="s">
        <v>176</v>
      </c>
      <c r="B82" s="38">
        <f>'Standing'!B$28*$B68</f>
        <v>0</v>
      </c>
      <c r="C82" s="38">
        <f>'Standing'!C$28*$B68</f>
        <v>0</v>
      </c>
      <c r="D82" s="38">
        <f>'Standing'!D$28*$B68</f>
        <v>0</v>
      </c>
      <c r="E82" s="38">
        <f>'Standing'!E$28*$B68</f>
        <v>0</v>
      </c>
      <c r="F82" s="38">
        <f>'Standing'!F$28*$B68</f>
        <v>0</v>
      </c>
      <c r="G82" s="38">
        <f>'Standing'!G$28*$B68</f>
        <v>0</v>
      </c>
      <c r="H82" s="38">
        <f>'Standing'!H$28*$B68</f>
        <v>0</v>
      </c>
      <c r="I82" s="38">
        <f>'Standing'!I$28*$B68</f>
        <v>0</v>
      </c>
      <c r="J82" s="38">
        <f>'Standing'!J$28*$B68</f>
        <v>0</v>
      </c>
      <c r="K82" s="38">
        <f>'Standing'!K$28*$B68</f>
        <v>0</v>
      </c>
      <c r="L82" s="38">
        <f>'Standing'!L$28*$B68</f>
        <v>0</v>
      </c>
      <c r="M82" s="38">
        <f>'Standing'!M$28*$B68</f>
        <v>0</v>
      </c>
      <c r="N82" s="38">
        <f>'Standing'!N$28*$B68</f>
        <v>0</v>
      </c>
      <c r="O82" s="38">
        <f>'Standing'!O$28*$B68</f>
        <v>0</v>
      </c>
      <c r="P82" s="38">
        <f>'Standing'!P$28*$B68</f>
        <v>0</v>
      </c>
      <c r="Q82" s="38">
        <f>'Standing'!Q$28*$B68</f>
        <v>0</v>
      </c>
      <c r="R82" s="38">
        <f>'Standing'!R$28*$B68</f>
        <v>0</v>
      </c>
      <c r="S82" s="38">
        <f>'Standing'!S$28*$B68</f>
        <v>0</v>
      </c>
      <c r="T82" s="17"/>
    </row>
    <row r="83" spans="1:20">
      <c r="A83" s="4" t="s">
        <v>177</v>
      </c>
      <c r="B83" s="38">
        <f>'Standing'!B$29*$B69</f>
        <v>0</v>
      </c>
      <c r="C83" s="38">
        <f>'Standing'!C$29*$B69</f>
        <v>0</v>
      </c>
      <c r="D83" s="38">
        <f>'Standing'!D$29*$B69</f>
        <v>0</v>
      </c>
      <c r="E83" s="38">
        <f>'Standing'!E$29*$B69</f>
        <v>0</v>
      </c>
      <c r="F83" s="38">
        <f>'Standing'!F$29*$B69</f>
        <v>0</v>
      </c>
      <c r="G83" s="38">
        <f>'Standing'!G$29*$B69</f>
        <v>0</v>
      </c>
      <c r="H83" s="38">
        <f>'Standing'!H$29*$B69</f>
        <v>0</v>
      </c>
      <c r="I83" s="38">
        <f>'Standing'!I$29*$B69</f>
        <v>0</v>
      </c>
      <c r="J83" s="38">
        <f>'Standing'!J$29*$B69</f>
        <v>0</v>
      </c>
      <c r="K83" s="38">
        <f>'Standing'!K$29*$B69</f>
        <v>0</v>
      </c>
      <c r="L83" s="38">
        <f>'Standing'!L$29*$B69</f>
        <v>0</v>
      </c>
      <c r="M83" s="38">
        <f>'Standing'!M$29*$B69</f>
        <v>0</v>
      </c>
      <c r="N83" s="38">
        <f>'Standing'!N$29*$B69</f>
        <v>0</v>
      </c>
      <c r="O83" s="38">
        <f>'Standing'!O$29*$B69</f>
        <v>0</v>
      </c>
      <c r="P83" s="38">
        <f>'Standing'!P$29*$B69</f>
        <v>0</v>
      </c>
      <c r="Q83" s="38">
        <f>'Standing'!Q$29*$B69</f>
        <v>0</v>
      </c>
      <c r="R83" s="38">
        <f>'Standing'!R$29*$B69</f>
        <v>0</v>
      </c>
      <c r="S83" s="38">
        <f>'Standing'!S$29*$B69</f>
        <v>0</v>
      </c>
      <c r="T83" s="17"/>
    </row>
    <row r="84" spans="1:20">
      <c r="A84" s="4" t="s">
        <v>178</v>
      </c>
      <c r="B84" s="38">
        <f>'Standing'!B$31*$B70</f>
        <v>0</v>
      </c>
      <c r="C84" s="38">
        <f>'Standing'!C$31*$B70</f>
        <v>0</v>
      </c>
      <c r="D84" s="38">
        <f>'Standing'!D$31*$B70</f>
        <v>0</v>
      </c>
      <c r="E84" s="38">
        <f>'Standing'!E$31*$B70</f>
        <v>0</v>
      </c>
      <c r="F84" s="38">
        <f>'Standing'!F$31*$B70</f>
        <v>0</v>
      </c>
      <c r="G84" s="38">
        <f>'Standing'!G$31*$B70</f>
        <v>0</v>
      </c>
      <c r="H84" s="38">
        <f>'Standing'!H$31*$B70</f>
        <v>0</v>
      </c>
      <c r="I84" s="38">
        <f>'Standing'!I$31*$B70</f>
        <v>0</v>
      </c>
      <c r="J84" s="38">
        <f>'Standing'!J$31*$B70</f>
        <v>0</v>
      </c>
      <c r="K84" s="38">
        <f>'Standing'!K$31*$B70</f>
        <v>0</v>
      </c>
      <c r="L84" s="38">
        <f>'Standing'!L$31*$B70</f>
        <v>0</v>
      </c>
      <c r="M84" s="38">
        <f>'Standing'!M$31*$B70</f>
        <v>0</v>
      </c>
      <c r="N84" s="38">
        <f>'Standing'!N$31*$B70</f>
        <v>0</v>
      </c>
      <c r="O84" s="38">
        <f>'Standing'!O$31*$B70</f>
        <v>0</v>
      </c>
      <c r="P84" s="38">
        <f>'Standing'!P$31*$B70</f>
        <v>0</v>
      </c>
      <c r="Q84" s="38">
        <f>'Standing'!Q$31*$B70</f>
        <v>0</v>
      </c>
      <c r="R84" s="38">
        <f>'Standing'!R$31*$B70</f>
        <v>0</v>
      </c>
      <c r="S84" s="38">
        <f>'Standing'!S$31*$B70</f>
        <v>0</v>
      </c>
      <c r="T84" s="17"/>
    </row>
    <row r="85" spans="1:20">
      <c r="A85" s="4" t="s">
        <v>179</v>
      </c>
      <c r="B85" s="38">
        <f>'Standing'!B$32*$B71</f>
        <v>0</v>
      </c>
      <c r="C85" s="38">
        <f>'Standing'!C$32*$B71</f>
        <v>0</v>
      </c>
      <c r="D85" s="38">
        <f>'Standing'!D$32*$B71</f>
        <v>0</v>
      </c>
      <c r="E85" s="38">
        <f>'Standing'!E$32*$B71</f>
        <v>0</v>
      </c>
      <c r="F85" s="38">
        <f>'Standing'!F$32*$B71</f>
        <v>0</v>
      </c>
      <c r="G85" s="38">
        <f>'Standing'!G$32*$B71</f>
        <v>0</v>
      </c>
      <c r="H85" s="38">
        <f>'Standing'!H$32*$B71</f>
        <v>0</v>
      </c>
      <c r="I85" s="38">
        <f>'Standing'!I$32*$B71</f>
        <v>0</v>
      </c>
      <c r="J85" s="38">
        <f>'Standing'!J$32*$B71</f>
        <v>0</v>
      </c>
      <c r="K85" s="38">
        <f>'Standing'!K$32*$B71</f>
        <v>0</v>
      </c>
      <c r="L85" s="38">
        <f>'Standing'!L$32*$B71</f>
        <v>0</v>
      </c>
      <c r="M85" s="38">
        <f>'Standing'!M$32*$B71</f>
        <v>0</v>
      </c>
      <c r="N85" s="38">
        <f>'Standing'!N$32*$B71</f>
        <v>0</v>
      </c>
      <c r="O85" s="38">
        <f>'Standing'!O$32*$B71</f>
        <v>0</v>
      </c>
      <c r="P85" s="38">
        <f>'Standing'!P$32*$B71</f>
        <v>0</v>
      </c>
      <c r="Q85" s="38">
        <f>'Standing'!Q$32*$B71</f>
        <v>0</v>
      </c>
      <c r="R85" s="38">
        <f>'Standing'!R$32*$B71</f>
        <v>0</v>
      </c>
      <c r="S85" s="38">
        <f>'Standing'!S$32*$B71</f>
        <v>0</v>
      </c>
      <c r="T85" s="17"/>
    </row>
  </sheetData>
  <sheetProtection sheet="1" objects="1" scenarios="1"/>
  <hyperlinks>
    <hyperlink ref="A16" location="'Multi'!B106" display="x1 = 2407. All units (MWh)"/>
    <hyperlink ref="A17" location="'Input'!C156" display="x2 = 1041. Load factor for each type of demand user (in Load profile data for demand users)"/>
    <hyperlink ref="A18" location="'Input'!F57" display="x3 = 1010. Days in the charging year (in Financial and general assumptions)"/>
    <hyperlink ref="A19" location="'Loads'!E279" display="x4 = 2305. MPANs (in Equivalent volume for each end user)"/>
    <hyperlink ref="A33" location="'AggCap'!B6" display="x1 = 3101. Mapping of tariffs to tariff groups"/>
    <hyperlink ref="A34" location="'AggCap'!B23" display="x2 = 3102. Unit-based contributions to aggregate maximum load (kW) (in Capacity use for tariffs charged for capacity on an exit point basis)"/>
    <hyperlink ref="A42" location="'AggCap'!B6" display="x1 = 3101. Mapping of tariffs to tariff groups"/>
    <hyperlink ref="A43" location="'AggCap'!C23" display="x2 = 3102. MPANs (in Equivalent volume for each end user) (in Capacity use for tariffs charged for capacity on an exit point basis)"/>
    <hyperlink ref="A51" location="'AggCap'!B46" display="x1 = 3104. Aggregate number of users charged for capacity on an exit point basis"/>
    <hyperlink ref="A52" location="'AggCap'!B37" display="x2 = 3103. Aggregate capacity (kW)"/>
    <hyperlink ref="A53" location="'Input'!E57" display="x3 = 1010. Power factor for all flows in the network model (in Financial and general assumptions)"/>
    <hyperlink ref="A61" location="'AggCap'!B6" display="x1 = 3101. Mapping of tariffs to tariff groups"/>
    <hyperlink ref="A62" location="'AggCap'!B56" display="x2 = 3105. Average maximum kVA by exit point"/>
    <hyperlink ref="A75" location="'Standing'!B24" display="x1 = 3002. Capacity elements p/kVA/day"/>
    <hyperlink ref="A76" location="'AggCap'!B65" display="x2 = 3106. Deemed average maximum kVA for each tariff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"Reactive power unit charges for "&amp;'Input'!B7&amp;" in "&amp;'Input'!C7&amp;" ("&amp;'Input'!D7&amp;")"</f>
        <v>0</v>
      </c>
    </row>
    <row r="3" spans="1:11" ht="21" customHeight="1">
      <c r="A3" s="1" t="s">
        <v>1035</v>
      </c>
    </row>
    <row r="4" spans="1:11">
      <c r="A4" s="2" t="s">
        <v>1036</v>
      </c>
    </row>
    <row r="5" spans="1:11">
      <c r="A5" s="2" t="s">
        <v>1037</v>
      </c>
    </row>
    <row r="7" spans="1:11">
      <c r="B7" s="15" t="s">
        <v>142</v>
      </c>
      <c r="C7" s="15" t="s">
        <v>143</v>
      </c>
      <c r="D7" s="15" t="s">
        <v>144</v>
      </c>
      <c r="E7" s="15" t="s">
        <v>145</v>
      </c>
      <c r="F7" s="15" t="s">
        <v>146</v>
      </c>
      <c r="G7" s="15" t="s">
        <v>151</v>
      </c>
      <c r="H7" s="15" t="s">
        <v>147</v>
      </c>
      <c r="I7" s="15" t="s">
        <v>148</v>
      </c>
      <c r="J7" s="15" t="s">
        <v>149</v>
      </c>
    </row>
    <row r="8" spans="1:11">
      <c r="A8" s="4" t="s">
        <v>184</v>
      </c>
      <c r="B8" s="37">
        <v>1</v>
      </c>
      <c r="C8" s="37">
        <v>1</v>
      </c>
      <c r="D8" s="37">
        <v>1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17"/>
    </row>
    <row r="9" spans="1:11">
      <c r="A9" s="4" t="s">
        <v>185</v>
      </c>
      <c r="B9" s="37">
        <v>1</v>
      </c>
      <c r="C9" s="37">
        <v>1</v>
      </c>
      <c r="D9" s="37">
        <v>1</v>
      </c>
      <c r="E9" s="37">
        <v>1</v>
      </c>
      <c r="F9" s="37">
        <v>1</v>
      </c>
      <c r="G9" s="37">
        <v>1</v>
      </c>
      <c r="H9" s="37">
        <v>1</v>
      </c>
      <c r="I9" s="37">
        <v>1</v>
      </c>
      <c r="J9" s="37">
        <v>1</v>
      </c>
      <c r="K9" s="17"/>
    </row>
    <row r="10" spans="1:11">
      <c r="A10" s="4" t="s">
        <v>186</v>
      </c>
      <c r="B10" s="37">
        <v>1</v>
      </c>
      <c r="C10" s="37">
        <v>1</v>
      </c>
      <c r="D10" s="37">
        <v>1</v>
      </c>
      <c r="E10" s="37">
        <v>1</v>
      </c>
      <c r="F10" s="37">
        <v>1</v>
      </c>
      <c r="G10" s="37">
        <v>1</v>
      </c>
      <c r="H10" s="37">
        <v>1</v>
      </c>
      <c r="I10" s="37">
        <v>1</v>
      </c>
      <c r="J10" s="37">
        <v>0</v>
      </c>
      <c r="K10" s="17"/>
    </row>
    <row r="11" spans="1:11">
      <c r="A11" s="4" t="s">
        <v>187</v>
      </c>
      <c r="B11" s="37">
        <v>1</v>
      </c>
      <c r="C11" s="37">
        <v>1</v>
      </c>
      <c r="D11" s="37">
        <v>1</v>
      </c>
      <c r="E11" s="37">
        <v>1</v>
      </c>
      <c r="F11" s="37">
        <v>1</v>
      </c>
      <c r="G11" s="37">
        <v>1</v>
      </c>
      <c r="H11" s="37">
        <v>1</v>
      </c>
      <c r="I11" s="37">
        <v>1</v>
      </c>
      <c r="J11" s="37">
        <v>0</v>
      </c>
      <c r="K11" s="17"/>
    </row>
    <row r="12" spans="1:11">
      <c r="A12" s="4" t="s">
        <v>194</v>
      </c>
      <c r="B12" s="37">
        <v>1</v>
      </c>
      <c r="C12" s="37">
        <v>1</v>
      </c>
      <c r="D12" s="37">
        <v>1</v>
      </c>
      <c r="E12" s="37">
        <v>1</v>
      </c>
      <c r="F12" s="37">
        <v>1</v>
      </c>
      <c r="G12" s="37">
        <v>1</v>
      </c>
      <c r="H12" s="37">
        <v>1</v>
      </c>
      <c r="I12" s="37">
        <v>0</v>
      </c>
      <c r="J12" s="37">
        <v>0</v>
      </c>
      <c r="K12" s="17"/>
    </row>
    <row r="13" spans="1:11">
      <c r="A13" s="4" t="s">
        <v>195</v>
      </c>
      <c r="B13" s="37">
        <v>1</v>
      </c>
      <c r="C13" s="37">
        <v>1</v>
      </c>
      <c r="D13" s="37">
        <v>1</v>
      </c>
      <c r="E13" s="37">
        <v>1</v>
      </c>
      <c r="F13" s="37">
        <v>1</v>
      </c>
      <c r="G13" s="37">
        <v>1</v>
      </c>
      <c r="H13" s="37">
        <v>1</v>
      </c>
      <c r="I13" s="37">
        <v>0</v>
      </c>
      <c r="J13" s="37">
        <v>0</v>
      </c>
      <c r="K13" s="17"/>
    </row>
    <row r="15" spans="1:11" ht="21" customHeight="1">
      <c r="A15" s="1" t="s">
        <v>1038</v>
      </c>
    </row>
    <row r="16" spans="1:11">
      <c r="A16" s="2" t="s">
        <v>351</v>
      </c>
    </row>
    <row r="17" spans="1:20">
      <c r="A17" s="33" t="s">
        <v>1039</v>
      </c>
    </row>
    <row r="18" spans="1:20">
      <c r="A18" s="2" t="s">
        <v>1040</v>
      </c>
    </row>
    <row r="20" spans="1:20">
      <c r="B20" s="15" t="s">
        <v>142</v>
      </c>
      <c r="C20" s="15" t="s">
        <v>306</v>
      </c>
      <c r="D20" s="15" t="s">
        <v>307</v>
      </c>
      <c r="E20" s="15" t="s">
        <v>308</v>
      </c>
      <c r="F20" s="15" t="s">
        <v>309</v>
      </c>
      <c r="G20" s="15" t="s">
        <v>310</v>
      </c>
      <c r="H20" s="15" t="s">
        <v>311</v>
      </c>
      <c r="I20" s="15" t="s">
        <v>312</v>
      </c>
      <c r="J20" s="15" t="s">
        <v>313</v>
      </c>
      <c r="K20" s="15" t="s">
        <v>294</v>
      </c>
      <c r="L20" s="15" t="s">
        <v>877</v>
      </c>
      <c r="M20" s="15" t="s">
        <v>878</v>
      </c>
      <c r="N20" s="15" t="s">
        <v>879</v>
      </c>
      <c r="O20" s="15" t="s">
        <v>880</v>
      </c>
      <c r="P20" s="15" t="s">
        <v>881</v>
      </c>
      <c r="Q20" s="15" t="s">
        <v>882</v>
      </c>
      <c r="R20" s="15" t="s">
        <v>883</v>
      </c>
      <c r="S20" s="15" t="s">
        <v>884</v>
      </c>
    </row>
    <row r="21" spans="1:20">
      <c r="A21" s="4" t="s">
        <v>180</v>
      </c>
      <c r="B21" s="38">
        <f>ABS('Standing'!B$57)</f>
        <v>0</v>
      </c>
      <c r="C21" s="38">
        <f>ABS('Standing'!C$57)</f>
        <v>0</v>
      </c>
      <c r="D21" s="38">
        <f>ABS('Standing'!D$57)</f>
        <v>0</v>
      </c>
      <c r="E21" s="38">
        <f>ABS('Standing'!E$57)</f>
        <v>0</v>
      </c>
      <c r="F21" s="38">
        <f>ABS('Standing'!F$57)</f>
        <v>0</v>
      </c>
      <c r="G21" s="38">
        <f>ABS('Standing'!G$57)</f>
        <v>0</v>
      </c>
      <c r="H21" s="38">
        <f>ABS('Standing'!H$57)</f>
        <v>0</v>
      </c>
      <c r="I21" s="38">
        <f>ABS('Standing'!I$57)</f>
        <v>0</v>
      </c>
      <c r="J21" s="38">
        <f>ABS('Standing'!J$57)</f>
        <v>0</v>
      </c>
      <c r="K21" s="38">
        <f>ABS('Standing'!K$57)</f>
        <v>0</v>
      </c>
      <c r="L21" s="38">
        <f>ABS('Standing'!L$57)</f>
        <v>0</v>
      </c>
      <c r="M21" s="38">
        <f>ABS('Standing'!M$57)</f>
        <v>0</v>
      </c>
      <c r="N21" s="38">
        <f>ABS('Standing'!N$57)</f>
        <v>0</v>
      </c>
      <c r="O21" s="38">
        <f>ABS('Standing'!O$57)</f>
        <v>0</v>
      </c>
      <c r="P21" s="38">
        <f>ABS('Standing'!P$57)</f>
        <v>0</v>
      </c>
      <c r="Q21" s="38">
        <f>ABS('Standing'!Q$57)</f>
        <v>0</v>
      </c>
      <c r="R21" s="38">
        <f>ABS('Standing'!R$57)</f>
        <v>0</v>
      </c>
      <c r="S21" s="38">
        <f>ABS('Standing'!S$57)</f>
        <v>0</v>
      </c>
      <c r="T21" s="17"/>
    </row>
    <row r="22" spans="1:20">
      <c r="A22" s="4" t="s">
        <v>181</v>
      </c>
      <c r="B22" s="38">
        <f>ABS('Standing'!B$58)</f>
        <v>0</v>
      </c>
      <c r="C22" s="38">
        <f>ABS('Standing'!C$58)</f>
        <v>0</v>
      </c>
      <c r="D22" s="38">
        <f>ABS('Standing'!D$58)</f>
        <v>0</v>
      </c>
      <c r="E22" s="38">
        <f>ABS('Standing'!E$58)</f>
        <v>0</v>
      </c>
      <c r="F22" s="38">
        <f>ABS('Standing'!F$58)</f>
        <v>0</v>
      </c>
      <c r="G22" s="38">
        <f>ABS('Standing'!G$58)</f>
        <v>0</v>
      </c>
      <c r="H22" s="38">
        <f>ABS('Standing'!H$58)</f>
        <v>0</v>
      </c>
      <c r="I22" s="38">
        <f>ABS('Standing'!I$58)</f>
        <v>0</v>
      </c>
      <c r="J22" s="38">
        <f>ABS('Standing'!J$58)</f>
        <v>0</v>
      </c>
      <c r="K22" s="38">
        <f>ABS('Standing'!K$58)</f>
        <v>0</v>
      </c>
      <c r="L22" s="38">
        <f>ABS('Standing'!L$58)</f>
        <v>0</v>
      </c>
      <c r="M22" s="38">
        <f>ABS('Standing'!M$58)</f>
        <v>0</v>
      </c>
      <c r="N22" s="38">
        <f>ABS('Standing'!N$58)</f>
        <v>0</v>
      </c>
      <c r="O22" s="38">
        <f>ABS('Standing'!O$58)</f>
        <v>0</v>
      </c>
      <c r="P22" s="38">
        <f>ABS('Standing'!P$58)</f>
        <v>0</v>
      </c>
      <c r="Q22" s="38">
        <f>ABS('Standing'!Q$58)</f>
        <v>0</v>
      </c>
      <c r="R22" s="38">
        <f>ABS('Standing'!R$58)</f>
        <v>0</v>
      </c>
      <c r="S22" s="38">
        <f>ABS('Standing'!S$58)</f>
        <v>0</v>
      </c>
      <c r="T22" s="17"/>
    </row>
    <row r="23" spans="1:20">
      <c r="A23" s="4" t="s">
        <v>193</v>
      </c>
      <c r="B23" s="38">
        <f>ABS('Standing'!B$59)</f>
        <v>0</v>
      </c>
      <c r="C23" s="38">
        <f>ABS('Standing'!C$59)</f>
        <v>0</v>
      </c>
      <c r="D23" s="38">
        <f>ABS('Standing'!D$59)</f>
        <v>0</v>
      </c>
      <c r="E23" s="38">
        <f>ABS('Standing'!E$59)</f>
        <v>0</v>
      </c>
      <c r="F23" s="38">
        <f>ABS('Standing'!F$59)</f>
        <v>0</v>
      </c>
      <c r="G23" s="38">
        <f>ABS('Standing'!G$59)</f>
        <v>0</v>
      </c>
      <c r="H23" s="38">
        <f>ABS('Standing'!H$59)</f>
        <v>0</v>
      </c>
      <c r="I23" s="38">
        <f>ABS('Standing'!I$59)</f>
        <v>0</v>
      </c>
      <c r="J23" s="38">
        <f>ABS('Standing'!J$59)</f>
        <v>0</v>
      </c>
      <c r="K23" s="38">
        <f>ABS('Standing'!K$59)</f>
        <v>0</v>
      </c>
      <c r="L23" s="38">
        <f>ABS('Standing'!L$59)</f>
        <v>0</v>
      </c>
      <c r="M23" s="38">
        <f>ABS('Standing'!M$59)</f>
        <v>0</v>
      </c>
      <c r="N23" s="38">
        <f>ABS('Standing'!N$59)</f>
        <v>0</v>
      </c>
      <c r="O23" s="38">
        <f>ABS('Standing'!O$59)</f>
        <v>0</v>
      </c>
      <c r="P23" s="38">
        <f>ABS('Standing'!P$59)</f>
        <v>0</v>
      </c>
      <c r="Q23" s="38">
        <f>ABS('Standing'!Q$59)</f>
        <v>0</v>
      </c>
      <c r="R23" s="38">
        <f>ABS('Standing'!R$59)</f>
        <v>0</v>
      </c>
      <c r="S23" s="38">
        <f>ABS('Standing'!S$59)</f>
        <v>0</v>
      </c>
      <c r="T23" s="17"/>
    </row>
    <row r="25" spans="1:20" ht="21" customHeight="1">
      <c r="A25" s="1" t="s">
        <v>1041</v>
      </c>
    </row>
    <row r="26" spans="1:20">
      <c r="A26" s="2" t="s">
        <v>351</v>
      </c>
    </row>
    <row r="27" spans="1:20">
      <c r="A27" s="33" t="s">
        <v>1042</v>
      </c>
    </row>
    <row r="28" spans="1:20">
      <c r="A28" s="33" t="s">
        <v>1043</v>
      </c>
    </row>
    <row r="29" spans="1:20">
      <c r="A29" s="33" t="s">
        <v>1026</v>
      </c>
    </row>
    <row r="30" spans="1:20">
      <c r="A30" s="2" t="s">
        <v>694</v>
      </c>
    </row>
    <row r="32" spans="1:20">
      <c r="B32" s="15" t="s">
        <v>142</v>
      </c>
      <c r="C32" s="15" t="s">
        <v>306</v>
      </c>
      <c r="D32" s="15" t="s">
        <v>307</v>
      </c>
      <c r="E32" s="15" t="s">
        <v>308</v>
      </c>
      <c r="F32" s="15" t="s">
        <v>309</v>
      </c>
      <c r="G32" s="15" t="s">
        <v>310</v>
      </c>
      <c r="H32" s="15" t="s">
        <v>311</v>
      </c>
      <c r="I32" s="15" t="s">
        <v>312</v>
      </c>
      <c r="J32" s="15" t="s">
        <v>313</v>
      </c>
      <c r="K32" s="15" t="s">
        <v>294</v>
      </c>
      <c r="L32" s="15" t="s">
        <v>877</v>
      </c>
      <c r="M32" s="15" t="s">
        <v>878</v>
      </c>
      <c r="N32" s="15" t="s">
        <v>879</v>
      </c>
      <c r="O32" s="15" t="s">
        <v>880</v>
      </c>
      <c r="P32" s="15" t="s">
        <v>881</v>
      </c>
      <c r="Q32" s="15" t="s">
        <v>882</v>
      </c>
      <c r="R32" s="15" t="s">
        <v>883</v>
      </c>
      <c r="S32" s="15" t="s">
        <v>884</v>
      </c>
    </row>
    <row r="33" spans="1:20">
      <c r="A33" s="4" t="s">
        <v>180</v>
      </c>
      <c r="B33" s="38">
        <f>B21*'Input'!B$350*'Input'!$E$58</f>
        <v>0</v>
      </c>
      <c r="C33" s="38">
        <f>C21*'Input'!C$350*'Input'!$E$58</f>
        <v>0</v>
      </c>
      <c r="D33" s="38">
        <f>D21*'Input'!D$350*'Input'!$E$58</f>
        <v>0</v>
      </c>
      <c r="E33" s="38">
        <f>E21*'Input'!E$350*'Input'!$E$58</f>
        <v>0</v>
      </c>
      <c r="F33" s="38">
        <f>F21*'Input'!F$350*'Input'!$E$58</f>
        <v>0</v>
      </c>
      <c r="G33" s="38">
        <f>G21*'Input'!G$350*'Input'!$E$58</f>
        <v>0</v>
      </c>
      <c r="H33" s="38">
        <f>H21*'Input'!H$350*'Input'!$E$58</f>
        <v>0</v>
      </c>
      <c r="I33" s="38">
        <f>I21*'Input'!I$350*'Input'!$E$58</f>
        <v>0</v>
      </c>
      <c r="J33" s="38">
        <f>J21*'Input'!J$350*'Input'!$E$58</f>
        <v>0</v>
      </c>
      <c r="K33" s="38">
        <f>K21*'Input'!B$350*'Input'!$E$58</f>
        <v>0</v>
      </c>
      <c r="L33" s="38">
        <f>L21*'Input'!C$350*'Input'!$E$58</f>
        <v>0</v>
      </c>
      <c r="M33" s="38">
        <f>M21*'Input'!D$350*'Input'!$E$58</f>
        <v>0</v>
      </c>
      <c r="N33" s="38">
        <f>N21*'Input'!E$350*'Input'!$E$58</f>
        <v>0</v>
      </c>
      <c r="O33" s="38">
        <f>O21*'Input'!F$350*'Input'!$E$58</f>
        <v>0</v>
      </c>
      <c r="P33" s="38">
        <f>P21*'Input'!G$350*'Input'!$E$58</f>
        <v>0</v>
      </c>
      <c r="Q33" s="38">
        <f>Q21*'Input'!H$350*'Input'!$E$58</f>
        <v>0</v>
      </c>
      <c r="R33" s="38">
        <f>R21*'Input'!I$350*'Input'!$E$58</f>
        <v>0</v>
      </c>
      <c r="S33" s="38">
        <f>S21*'Input'!J$350*'Input'!$E$58</f>
        <v>0</v>
      </c>
      <c r="T33" s="17"/>
    </row>
    <row r="34" spans="1:20">
      <c r="A34" s="4" t="s">
        <v>181</v>
      </c>
      <c r="B34" s="38">
        <f>B22*'Input'!B$350*'Input'!$E$58</f>
        <v>0</v>
      </c>
      <c r="C34" s="38">
        <f>C22*'Input'!C$350*'Input'!$E$58</f>
        <v>0</v>
      </c>
      <c r="D34" s="38">
        <f>D22*'Input'!D$350*'Input'!$E$58</f>
        <v>0</v>
      </c>
      <c r="E34" s="38">
        <f>E22*'Input'!E$350*'Input'!$E$58</f>
        <v>0</v>
      </c>
      <c r="F34" s="38">
        <f>F22*'Input'!F$350*'Input'!$E$58</f>
        <v>0</v>
      </c>
      <c r="G34" s="38">
        <f>G22*'Input'!G$350*'Input'!$E$58</f>
        <v>0</v>
      </c>
      <c r="H34" s="38">
        <f>H22*'Input'!H$350*'Input'!$E$58</f>
        <v>0</v>
      </c>
      <c r="I34" s="38">
        <f>I22*'Input'!I$350*'Input'!$E$58</f>
        <v>0</v>
      </c>
      <c r="J34" s="38">
        <f>J22*'Input'!J$350*'Input'!$E$58</f>
        <v>0</v>
      </c>
      <c r="K34" s="38">
        <f>K22*'Input'!B$350*'Input'!$E$58</f>
        <v>0</v>
      </c>
      <c r="L34" s="38">
        <f>L22*'Input'!C$350*'Input'!$E$58</f>
        <v>0</v>
      </c>
      <c r="M34" s="38">
        <f>M22*'Input'!D$350*'Input'!$E$58</f>
        <v>0</v>
      </c>
      <c r="N34" s="38">
        <f>N22*'Input'!E$350*'Input'!$E$58</f>
        <v>0</v>
      </c>
      <c r="O34" s="38">
        <f>O22*'Input'!F$350*'Input'!$E$58</f>
        <v>0</v>
      </c>
      <c r="P34" s="38">
        <f>P22*'Input'!G$350*'Input'!$E$58</f>
        <v>0</v>
      </c>
      <c r="Q34" s="38">
        <f>Q22*'Input'!H$350*'Input'!$E$58</f>
        <v>0</v>
      </c>
      <c r="R34" s="38">
        <f>R22*'Input'!I$350*'Input'!$E$58</f>
        <v>0</v>
      </c>
      <c r="S34" s="38">
        <f>S22*'Input'!J$350*'Input'!$E$58</f>
        <v>0</v>
      </c>
      <c r="T34" s="17"/>
    </row>
    <row r="35" spans="1:20">
      <c r="A35" s="4" t="s">
        <v>193</v>
      </c>
      <c r="B35" s="38">
        <f>B23*'Input'!B$350*'Input'!$E$58</f>
        <v>0</v>
      </c>
      <c r="C35" s="38">
        <f>C23*'Input'!C$350*'Input'!$E$58</f>
        <v>0</v>
      </c>
      <c r="D35" s="38">
        <f>D23*'Input'!D$350*'Input'!$E$58</f>
        <v>0</v>
      </c>
      <c r="E35" s="38">
        <f>E23*'Input'!E$350*'Input'!$E$58</f>
        <v>0</v>
      </c>
      <c r="F35" s="38">
        <f>F23*'Input'!F$350*'Input'!$E$58</f>
        <v>0</v>
      </c>
      <c r="G35" s="38">
        <f>G23*'Input'!G$350*'Input'!$E$58</f>
        <v>0</v>
      </c>
      <c r="H35" s="38">
        <f>H23*'Input'!H$350*'Input'!$E$58</f>
        <v>0</v>
      </c>
      <c r="I35" s="38">
        <f>I23*'Input'!I$350*'Input'!$E$58</f>
        <v>0</v>
      </c>
      <c r="J35" s="38">
        <f>J23*'Input'!J$350*'Input'!$E$58</f>
        <v>0</v>
      </c>
      <c r="K35" s="38">
        <f>K23*'Input'!B$350*'Input'!$E$58</f>
        <v>0</v>
      </c>
      <c r="L35" s="38">
        <f>L23*'Input'!C$350*'Input'!$E$58</f>
        <v>0</v>
      </c>
      <c r="M35" s="38">
        <f>M23*'Input'!D$350*'Input'!$E$58</f>
        <v>0</v>
      </c>
      <c r="N35" s="38">
        <f>N23*'Input'!E$350*'Input'!$E$58</f>
        <v>0</v>
      </c>
      <c r="O35" s="38">
        <f>O23*'Input'!F$350*'Input'!$E$58</f>
        <v>0</v>
      </c>
      <c r="P35" s="38">
        <f>P23*'Input'!G$350*'Input'!$E$58</f>
        <v>0</v>
      </c>
      <c r="Q35" s="38">
        <f>Q23*'Input'!H$350*'Input'!$E$58</f>
        <v>0</v>
      </c>
      <c r="R35" s="38">
        <f>R23*'Input'!I$350*'Input'!$E$58</f>
        <v>0</v>
      </c>
      <c r="S35" s="38">
        <f>S23*'Input'!J$350*'Input'!$E$58</f>
        <v>0</v>
      </c>
      <c r="T35" s="17"/>
    </row>
    <row r="37" spans="1:20" ht="21" customHeight="1">
      <c r="A37" s="1" t="s">
        <v>1044</v>
      </c>
    </row>
    <row r="38" spans="1:20">
      <c r="A38" s="2" t="s">
        <v>351</v>
      </c>
    </row>
    <row r="39" spans="1:20">
      <c r="A39" s="33" t="s">
        <v>1045</v>
      </c>
    </row>
    <row r="40" spans="1:20">
      <c r="A40" s="2" t="s">
        <v>1040</v>
      </c>
    </row>
    <row r="42" spans="1:20">
      <c r="B42" s="15" t="s">
        <v>1046</v>
      </c>
    </row>
    <row r="43" spans="1:20">
      <c r="A43" s="4" t="s">
        <v>184</v>
      </c>
      <c r="B43" s="38">
        <f>ABS('Loads'!B$61)</f>
        <v>0</v>
      </c>
      <c r="C43" s="17"/>
    </row>
    <row r="44" spans="1:20">
      <c r="A44" s="4" t="s">
        <v>185</v>
      </c>
      <c r="B44" s="38">
        <f>ABS('Loads'!B$62)</f>
        <v>0</v>
      </c>
      <c r="C44" s="17"/>
    </row>
    <row r="45" spans="1:20">
      <c r="A45" s="4" t="s">
        <v>186</v>
      </c>
      <c r="B45" s="38">
        <f>ABS('Loads'!B$63)</f>
        <v>0</v>
      </c>
      <c r="C45" s="17"/>
    </row>
    <row r="46" spans="1:20">
      <c r="A46" s="4" t="s">
        <v>187</v>
      </c>
      <c r="B46" s="38">
        <f>ABS('Loads'!B$64)</f>
        <v>0</v>
      </c>
      <c r="C46" s="17"/>
    </row>
    <row r="47" spans="1:20">
      <c r="A47" s="4" t="s">
        <v>194</v>
      </c>
      <c r="B47" s="38">
        <f>ABS('Loads'!B$65)</f>
        <v>0</v>
      </c>
      <c r="C47" s="17"/>
    </row>
    <row r="48" spans="1:20">
      <c r="A48" s="4" t="s">
        <v>195</v>
      </c>
      <c r="B48" s="38">
        <f>ABS('Loads'!B$66)</f>
        <v>0</v>
      </c>
      <c r="C48" s="17"/>
    </row>
    <row r="50" spans="1:20" ht="21" customHeight="1">
      <c r="A50" s="1" t="s">
        <v>1047</v>
      </c>
    </row>
    <row r="51" spans="1:20">
      <c r="A51" s="2" t="s">
        <v>351</v>
      </c>
    </row>
    <row r="52" spans="1:20">
      <c r="A52" s="33" t="s">
        <v>972</v>
      </c>
    </row>
    <row r="53" spans="1:20">
      <c r="A53" s="33" t="s">
        <v>1048</v>
      </c>
    </row>
    <row r="54" spans="1:20">
      <c r="A54" s="33" t="s">
        <v>398</v>
      </c>
    </row>
    <row r="55" spans="1:20">
      <c r="A55" s="33" t="s">
        <v>1049</v>
      </c>
    </row>
    <row r="56" spans="1:20">
      <c r="A56" s="33" t="s">
        <v>1050</v>
      </c>
    </row>
    <row r="57" spans="1:20">
      <c r="A57" s="33" t="s">
        <v>1051</v>
      </c>
    </row>
    <row r="58" spans="1:20">
      <c r="A58" s="33" t="s">
        <v>1052</v>
      </c>
    </row>
    <row r="59" spans="1:20">
      <c r="A59" s="2" t="s">
        <v>1053</v>
      </c>
    </row>
    <row r="61" spans="1:20">
      <c r="B61" s="15" t="s">
        <v>142</v>
      </c>
      <c r="C61" s="15" t="s">
        <v>306</v>
      </c>
      <c r="D61" s="15" t="s">
        <v>307</v>
      </c>
      <c r="E61" s="15" t="s">
        <v>308</v>
      </c>
      <c r="F61" s="15" t="s">
        <v>309</v>
      </c>
      <c r="G61" s="15" t="s">
        <v>310</v>
      </c>
      <c r="H61" s="15" t="s">
        <v>311</v>
      </c>
      <c r="I61" s="15" t="s">
        <v>312</v>
      </c>
      <c r="J61" s="15" t="s">
        <v>313</v>
      </c>
      <c r="K61" s="15" t="s">
        <v>294</v>
      </c>
      <c r="L61" s="15" t="s">
        <v>877</v>
      </c>
      <c r="M61" s="15" t="s">
        <v>878</v>
      </c>
      <c r="N61" s="15" t="s">
        <v>879</v>
      </c>
      <c r="O61" s="15" t="s">
        <v>880</v>
      </c>
      <c r="P61" s="15" t="s">
        <v>881</v>
      </c>
      <c r="Q61" s="15" t="s">
        <v>882</v>
      </c>
      <c r="R61" s="15" t="s">
        <v>883</v>
      </c>
      <c r="S61" s="15" t="s">
        <v>884</v>
      </c>
    </row>
    <row r="62" spans="1:20">
      <c r="A62" s="4" t="s">
        <v>184</v>
      </c>
      <c r="B62" s="38">
        <f>'Yard'!B$11*$B$43*'LAFs'!$I$32/'LAFs'!B$74*(1-'Contrib'!B$106)*B8/(24*'Input'!$F$58)*100</f>
        <v>0</v>
      </c>
      <c r="C62" s="38">
        <f>'Yard'!C$11*$B$43*'LAFs'!$I$32/'LAFs'!C$74*(1-'Contrib'!C$106)*C8/(24*'Input'!$F$58)*100</f>
        <v>0</v>
      </c>
      <c r="D62" s="38">
        <f>'Yard'!D$11*$B$43*'LAFs'!$I$32/'LAFs'!D$74*(1-'Contrib'!D$106)*D8/(24*'Input'!$F$58)*100</f>
        <v>0</v>
      </c>
      <c r="E62" s="38">
        <f>'Yard'!E$11*$B$43*'LAFs'!$I$32/'LAFs'!E$74*(1-'Contrib'!E$106)*E8/(24*'Input'!$F$58)*100</f>
        <v>0</v>
      </c>
      <c r="F62" s="38">
        <f>'Yard'!F$11*$B$43*'LAFs'!$I$32/'LAFs'!F$74*(1-'Contrib'!F$106)*F8/(24*'Input'!$F$58)*100</f>
        <v>0</v>
      </c>
      <c r="G62" s="38">
        <f>'Yard'!G$11*$B$43*'LAFs'!$I$32/'LAFs'!G$74*(1-'Contrib'!G$106)*G8/(24*'Input'!$F$58)*100</f>
        <v>0</v>
      </c>
      <c r="H62" s="38">
        <f>'Yard'!H$11*$B$43*'LAFs'!$I$32/'LAFs'!H$74*(1-'Contrib'!H$106)*H8/(24*'Input'!$F$58)*100</f>
        <v>0</v>
      </c>
      <c r="I62" s="38">
        <f>'Yard'!I$11*$B$43*'LAFs'!$I$32/'LAFs'!I$74*(1-'Contrib'!I$106)*I8/(24*'Input'!$F$58)*100</f>
        <v>0</v>
      </c>
      <c r="J62" s="38">
        <f>'Yard'!J$11*$B$43*'LAFs'!$I$32/'LAFs'!J$74*(1-'Contrib'!J$106)*J8/(24*'Input'!$F$58)*100</f>
        <v>0</v>
      </c>
      <c r="K62" s="38">
        <f>'Yard'!K$11*$B$43*'LAFs'!$I$32/'LAFs'!B$74*(1-'Contrib'!K$106)*B8/(24*'Input'!$F$58)*100</f>
        <v>0</v>
      </c>
      <c r="L62" s="38">
        <f>'Yard'!L$11*$B$43*'LAFs'!$I$32/'LAFs'!C$74*(1-'Contrib'!L$106)*C8/(24*'Input'!$F$58)*100</f>
        <v>0</v>
      </c>
      <c r="M62" s="38">
        <f>'Yard'!M$11*$B$43*'LAFs'!$I$32/'LAFs'!D$74*(1-'Contrib'!M$106)*D8/(24*'Input'!$F$58)*100</f>
        <v>0</v>
      </c>
      <c r="N62" s="38">
        <f>'Yard'!N$11*$B$43*'LAFs'!$I$32/'LAFs'!E$74*(1-'Contrib'!N$106)*E8/(24*'Input'!$F$58)*100</f>
        <v>0</v>
      </c>
      <c r="O62" s="38">
        <f>'Yard'!O$11*$B$43*'LAFs'!$I$32/'LAFs'!F$74*(1-'Contrib'!O$106)*F8/(24*'Input'!$F$58)*100</f>
        <v>0</v>
      </c>
      <c r="P62" s="38">
        <f>'Yard'!P$11*$B$43*'LAFs'!$I$32/'LAFs'!G$74*(1-'Contrib'!P$106)*G8/(24*'Input'!$F$58)*100</f>
        <v>0</v>
      </c>
      <c r="Q62" s="38">
        <f>'Yard'!Q$11*$B$43*'LAFs'!$I$32/'LAFs'!H$74*(1-'Contrib'!Q$106)*H8/(24*'Input'!$F$58)*100</f>
        <v>0</v>
      </c>
      <c r="R62" s="38">
        <f>'Yard'!R$11*$B$43*'LAFs'!$I$32/'LAFs'!I$74*(1-'Contrib'!R$106)*I8/(24*'Input'!$F$58)*100</f>
        <v>0</v>
      </c>
      <c r="S62" s="38">
        <f>'Yard'!S$11*$B$43*'LAFs'!$I$32/'LAFs'!J$74*(1-'Contrib'!S$106)*J8/(24*'Input'!$F$58)*100</f>
        <v>0</v>
      </c>
      <c r="T62" s="17"/>
    </row>
    <row r="63" spans="1:20">
      <c r="A63" s="4" t="s">
        <v>185</v>
      </c>
      <c r="B63" s="38">
        <f>'Yard'!B$11*$B$44*'LAFs'!$I$33/'LAFs'!B$74*(1-'Contrib'!B$107)*B9/(24*'Input'!$F$58)*100</f>
        <v>0</v>
      </c>
      <c r="C63" s="38">
        <f>'Yard'!C$11*$B$44*'LAFs'!$I$33/'LAFs'!C$74*(1-'Contrib'!C$107)*C9/(24*'Input'!$F$58)*100</f>
        <v>0</v>
      </c>
      <c r="D63" s="38">
        <f>'Yard'!D$11*$B$44*'LAFs'!$I$33/'LAFs'!D$74*(1-'Contrib'!D$107)*D9/(24*'Input'!$F$58)*100</f>
        <v>0</v>
      </c>
      <c r="E63" s="38">
        <f>'Yard'!E$11*$B$44*'LAFs'!$I$33/'LAFs'!E$74*(1-'Contrib'!E$107)*E9/(24*'Input'!$F$58)*100</f>
        <v>0</v>
      </c>
      <c r="F63" s="38">
        <f>'Yard'!F$11*$B$44*'LAFs'!$I$33/'LAFs'!F$74*(1-'Contrib'!F$107)*F9/(24*'Input'!$F$58)*100</f>
        <v>0</v>
      </c>
      <c r="G63" s="38">
        <f>'Yard'!G$11*$B$44*'LAFs'!$I$33/'LAFs'!G$74*(1-'Contrib'!G$107)*G9/(24*'Input'!$F$58)*100</f>
        <v>0</v>
      </c>
      <c r="H63" s="38">
        <f>'Yard'!H$11*$B$44*'LAFs'!$I$33/'LAFs'!H$74*(1-'Contrib'!H$107)*H9/(24*'Input'!$F$58)*100</f>
        <v>0</v>
      </c>
      <c r="I63" s="38">
        <f>'Yard'!I$11*$B$44*'LAFs'!$I$33/'LAFs'!I$74*(1-'Contrib'!I$107)*I9/(24*'Input'!$F$58)*100</f>
        <v>0</v>
      </c>
      <c r="J63" s="38">
        <f>'Yard'!J$11*$B$44*'LAFs'!$I$33/'LAFs'!J$74*(1-'Contrib'!J$107)*J9/(24*'Input'!$F$58)*100</f>
        <v>0</v>
      </c>
      <c r="K63" s="38">
        <f>'Yard'!K$11*$B$44*'LAFs'!$I$33/'LAFs'!B$74*(1-'Contrib'!K$107)*B9/(24*'Input'!$F$58)*100</f>
        <v>0</v>
      </c>
      <c r="L63" s="38">
        <f>'Yard'!L$11*$B$44*'LAFs'!$I$33/'LAFs'!C$74*(1-'Contrib'!L$107)*C9/(24*'Input'!$F$58)*100</f>
        <v>0</v>
      </c>
      <c r="M63" s="38">
        <f>'Yard'!M$11*$B$44*'LAFs'!$I$33/'LAFs'!D$74*(1-'Contrib'!M$107)*D9/(24*'Input'!$F$58)*100</f>
        <v>0</v>
      </c>
      <c r="N63" s="38">
        <f>'Yard'!N$11*$B$44*'LAFs'!$I$33/'LAFs'!E$74*(1-'Contrib'!N$107)*E9/(24*'Input'!$F$58)*100</f>
        <v>0</v>
      </c>
      <c r="O63" s="38">
        <f>'Yard'!O$11*$B$44*'LAFs'!$I$33/'LAFs'!F$74*(1-'Contrib'!O$107)*F9/(24*'Input'!$F$58)*100</f>
        <v>0</v>
      </c>
      <c r="P63" s="38">
        <f>'Yard'!P$11*$B$44*'LAFs'!$I$33/'LAFs'!G$74*(1-'Contrib'!P$107)*G9/(24*'Input'!$F$58)*100</f>
        <v>0</v>
      </c>
      <c r="Q63" s="38">
        <f>'Yard'!Q$11*$B$44*'LAFs'!$I$33/'LAFs'!H$74*(1-'Contrib'!Q$107)*H9/(24*'Input'!$F$58)*100</f>
        <v>0</v>
      </c>
      <c r="R63" s="38">
        <f>'Yard'!R$11*$B$44*'LAFs'!$I$33/'LAFs'!I$74*(1-'Contrib'!R$107)*I9/(24*'Input'!$F$58)*100</f>
        <v>0</v>
      </c>
      <c r="S63" s="38">
        <f>'Yard'!S$11*$B$44*'LAFs'!$I$33/'LAFs'!J$74*(1-'Contrib'!S$107)*J9/(24*'Input'!$F$58)*100</f>
        <v>0</v>
      </c>
      <c r="T63" s="17"/>
    </row>
    <row r="64" spans="1:20">
      <c r="A64" s="4" t="s">
        <v>186</v>
      </c>
      <c r="B64" s="38">
        <f>'Yard'!B$11*$B$45*'LAFs'!$I$34/'LAFs'!B$74*(1-'Contrib'!B$108)*B10/(24*'Input'!$F$58)*100</f>
        <v>0</v>
      </c>
      <c r="C64" s="38">
        <f>'Yard'!C$11*$B$45*'LAFs'!$I$34/'LAFs'!C$74*(1-'Contrib'!C$108)*C10/(24*'Input'!$F$58)*100</f>
        <v>0</v>
      </c>
      <c r="D64" s="38">
        <f>'Yard'!D$11*$B$45*'LAFs'!$I$34/'LAFs'!D$74*(1-'Contrib'!D$108)*D10/(24*'Input'!$F$58)*100</f>
        <v>0</v>
      </c>
      <c r="E64" s="38">
        <f>'Yard'!E$11*$B$45*'LAFs'!$I$34/'LAFs'!E$74*(1-'Contrib'!E$108)*E10/(24*'Input'!$F$58)*100</f>
        <v>0</v>
      </c>
      <c r="F64" s="38">
        <f>'Yard'!F$11*$B$45*'LAFs'!$I$34/'LAFs'!F$74*(1-'Contrib'!F$108)*F10/(24*'Input'!$F$58)*100</f>
        <v>0</v>
      </c>
      <c r="G64" s="38">
        <f>'Yard'!G$11*$B$45*'LAFs'!$I$34/'LAFs'!G$74*(1-'Contrib'!G$108)*G10/(24*'Input'!$F$58)*100</f>
        <v>0</v>
      </c>
      <c r="H64" s="38">
        <f>'Yard'!H$11*$B$45*'LAFs'!$I$34/'LAFs'!H$74*(1-'Contrib'!H$108)*H10/(24*'Input'!$F$58)*100</f>
        <v>0</v>
      </c>
      <c r="I64" s="38">
        <f>'Yard'!I$11*$B$45*'LAFs'!$I$34/'LAFs'!I$74*(1-'Contrib'!I$108)*I10/(24*'Input'!$F$58)*100</f>
        <v>0</v>
      </c>
      <c r="J64" s="38">
        <f>'Yard'!J$11*$B$45*'LAFs'!$I$34/'LAFs'!J$74*(1-'Contrib'!J$108)*J10/(24*'Input'!$F$58)*100</f>
        <v>0</v>
      </c>
      <c r="K64" s="38">
        <f>'Yard'!K$11*$B$45*'LAFs'!$I$34/'LAFs'!B$74*(1-'Contrib'!K$108)*B10/(24*'Input'!$F$58)*100</f>
        <v>0</v>
      </c>
      <c r="L64" s="38">
        <f>'Yard'!L$11*$B$45*'LAFs'!$I$34/'LAFs'!C$74*(1-'Contrib'!L$108)*C10/(24*'Input'!$F$58)*100</f>
        <v>0</v>
      </c>
      <c r="M64" s="38">
        <f>'Yard'!M$11*$B$45*'LAFs'!$I$34/'LAFs'!D$74*(1-'Contrib'!M$108)*D10/(24*'Input'!$F$58)*100</f>
        <v>0</v>
      </c>
      <c r="N64" s="38">
        <f>'Yard'!N$11*$B$45*'LAFs'!$I$34/'LAFs'!E$74*(1-'Contrib'!N$108)*E10/(24*'Input'!$F$58)*100</f>
        <v>0</v>
      </c>
      <c r="O64" s="38">
        <f>'Yard'!O$11*$B$45*'LAFs'!$I$34/'LAFs'!F$74*(1-'Contrib'!O$108)*F10/(24*'Input'!$F$58)*100</f>
        <v>0</v>
      </c>
      <c r="P64" s="38">
        <f>'Yard'!P$11*$B$45*'LAFs'!$I$34/'LAFs'!G$74*(1-'Contrib'!P$108)*G10/(24*'Input'!$F$58)*100</f>
        <v>0</v>
      </c>
      <c r="Q64" s="38">
        <f>'Yard'!Q$11*$B$45*'LAFs'!$I$34/'LAFs'!H$74*(1-'Contrib'!Q$108)*H10/(24*'Input'!$F$58)*100</f>
        <v>0</v>
      </c>
      <c r="R64" s="38">
        <f>'Yard'!R$11*$B$45*'LAFs'!$I$34/'LAFs'!I$74*(1-'Contrib'!R$108)*I10/(24*'Input'!$F$58)*100</f>
        <v>0</v>
      </c>
      <c r="S64" s="38">
        <f>'Yard'!S$11*$B$45*'LAFs'!$I$34/'LAFs'!J$74*(1-'Contrib'!S$108)*J10/(24*'Input'!$F$58)*100</f>
        <v>0</v>
      </c>
      <c r="T64" s="17"/>
    </row>
    <row r="65" spans="1:20">
      <c r="A65" s="4" t="s">
        <v>187</v>
      </c>
      <c r="B65" s="38">
        <f>'Yard'!B$11*$B$46*'LAFs'!$I$35/'LAFs'!B$74*(1-'Contrib'!B$109)*B11/(24*'Input'!$F$58)*100</f>
        <v>0</v>
      </c>
      <c r="C65" s="38">
        <f>'Yard'!C$11*$B$46*'LAFs'!$I$35/'LAFs'!C$74*(1-'Contrib'!C$109)*C11/(24*'Input'!$F$58)*100</f>
        <v>0</v>
      </c>
      <c r="D65" s="38">
        <f>'Yard'!D$11*$B$46*'LAFs'!$I$35/'LAFs'!D$74*(1-'Contrib'!D$109)*D11/(24*'Input'!$F$58)*100</f>
        <v>0</v>
      </c>
      <c r="E65" s="38">
        <f>'Yard'!E$11*$B$46*'LAFs'!$I$35/'LAFs'!E$74*(1-'Contrib'!E$109)*E11/(24*'Input'!$F$58)*100</f>
        <v>0</v>
      </c>
      <c r="F65" s="38">
        <f>'Yard'!F$11*$B$46*'LAFs'!$I$35/'LAFs'!F$74*(1-'Contrib'!F$109)*F11/(24*'Input'!$F$58)*100</f>
        <v>0</v>
      </c>
      <c r="G65" s="38">
        <f>'Yard'!G$11*$B$46*'LAFs'!$I$35/'LAFs'!G$74*(1-'Contrib'!G$109)*G11/(24*'Input'!$F$58)*100</f>
        <v>0</v>
      </c>
      <c r="H65" s="38">
        <f>'Yard'!H$11*$B$46*'LAFs'!$I$35/'LAFs'!H$74*(1-'Contrib'!H$109)*H11/(24*'Input'!$F$58)*100</f>
        <v>0</v>
      </c>
      <c r="I65" s="38">
        <f>'Yard'!I$11*$B$46*'LAFs'!$I$35/'LAFs'!I$74*(1-'Contrib'!I$109)*I11/(24*'Input'!$F$58)*100</f>
        <v>0</v>
      </c>
      <c r="J65" s="38">
        <f>'Yard'!J$11*$B$46*'LAFs'!$I$35/'LAFs'!J$74*(1-'Contrib'!J$109)*J11/(24*'Input'!$F$58)*100</f>
        <v>0</v>
      </c>
      <c r="K65" s="38">
        <f>'Yard'!K$11*$B$46*'LAFs'!$I$35/'LAFs'!B$74*(1-'Contrib'!K$109)*B11/(24*'Input'!$F$58)*100</f>
        <v>0</v>
      </c>
      <c r="L65" s="38">
        <f>'Yard'!L$11*$B$46*'LAFs'!$I$35/'LAFs'!C$74*(1-'Contrib'!L$109)*C11/(24*'Input'!$F$58)*100</f>
        <v>0</v>
      </c>
      <c r="M65" s="38">
        <f>'Yard'!M$11*$B$46*'LAFs'!$I$35/'LAFs'!D$74*(1-'Contrib'!M$109)*D11/(24*'Input'!$F$58)*100</f>
        <v>0</v>
      </c>
      <c r="N65" s="38">
        <f>'Yard'!N$11*$B$46*'LAFs'!$I$35/'LAFs'!E$74*(1-'Contrib'!N$109)*E11/(24*'Input'!$F$58)*100</f>
        <v>0</v>
      </c>
      <c r="O65" s="38">
        <f>'Yard'!O$11*$B$46*'LAFs'!$I$35/'LAFs'!F$74*(1-'Contrib'!O$109)*F11/(24*'Input'!$F$58)*100</f>
        <v>0</v>
      </c>
      <c r="P65" s="38">
        <f>'Yard'!P$11*$B$46*'LAFs'!$I$35/'LAFs'!G$74*(1-'Contrib'!P$109)*G11/(24*'Input'!$F$58)*100</f>
        <v>0</v>
      </c>
      <c r="Q65" s="38">
        <f>'Yard'!Q$11*$B$46*'LAFs'!$I$35/'LAFs'!H$74*(1-'Contrib'!Q$109)*H11/(24*'Input'!$F$58)*100</f>
        <v>0</v>
      </c>
      <c r="R65" s="38">
        <f>'Yard'!R$11*$B$46*'LAFs'!$I$35/'LAFs'!I$74*(1-'Contrib'!R$109)*I11/(24*'Input'!$F$58)*100</f>
        <v>0</v>
      </c>
      <c r="S65" s="38">
        <f>'Yard'!S$11*$B$46*'LAFs'!$I$35/'LAFs'!J$74*(1-'Contrib'!S$109)*J11/(24*'Input'!$F$58)*100</f>
        <v>0</v>
      </c>
      <c r="T65" s="17"/>
    </row>
    <row r="66" spans="1:20">
      <c r="A66" s="4" t="s">
        <v>194</v>
      </c>
      <c r="B66" s="38">
        <f>'Yard'!B$11*$B$47*'LAFs'!$I$36/'LAFs'!B$74*(1-'Contrib'!B$110)*B12/(24*'Input'!$F$58)*100</f>
        <v>0</v>
      </c>
      <c r="C66" s="38">
        <f>'Yard'!C$11*$B$47*'LAFs'!$I$36/'LAFs'!C$74*(1-'Contrib'!C$110)*C12/(24*'Input'!$F$58)*100</f>
        <v>0</v>
      </c>
      <c r="D66" s="38">
        <f>'Yard'!D$11*$B$47*'LAFs'!$I$36/'LAFs'!D$74*(1-'Contrib'!D$110)*D12/(24*'Input'!$F$58)*100</f>
        <v>0</v>
      </c>
      <c r="E66" s="38">
        <f>'Yard'!E$11*$B$47*'LAFs'!$I$36/'LAFs'!E$74*(1-'Contrib'!E$110)*E12/(24*'Input'!$F$58)*100</f>
        <v>0</v>
      </c>
      <c r="F66" s="38">
        <f>'Yard'!F$11*$B$47*'LAFs'!$I$36/'LAFs'!F$74*(1-'Contrib'!F$110)*F12/(24*'Input'!$F$58)*100</f>
        <v>0</v>
      </c>
      <c r="G66" s="38">
        <f>'Yard'!G$11*$B$47*'LAFs'!$I$36/'LAFs'!G$74*(1-'Contrib'!G$110)*G12/(24*'Input'!$F$58)*100</f>
        <v>0</v>
      </c>
      <c r="H66" s="38">
        <f>'Yard'!H$11*$B$47*'LAFs'!$I$36/'LAFs'!H$74*(1-'Contrib'!H$110)*H12/(24*'Input'!$F$58)*100</f>
        <v>0</v>
      </c>
      <c r="I66" s="38">
        <f>'Yard'!I$11*$B$47*'LAFs'!$I$36/'LAFs'!I$74*(1-'Contrib'!I$110)*I12/(24*'Input'!$F$58)*100</f>
        <v>0</v>
      </c>
      <c r="J66" s="38">
        <f>'Yard'!J$11*$B$47*'LAFs'!$I$36/'LAFs'!J$74*(1-'Contrib'!J$110)*J12/(24*'Input'!$F$58)*100</f>
        <v>0</v>
      </c>
      <c r="K66" s="38">
        <f>'Yard'!K$11*$B$47*'LAFs'!$I$36/'LAFs'!B$74*(1-'Contrib'!K$110)*B12/(24*'Input'!$F$58)*100</f>
        <v>0</v>
      </c>
      <c r="L66" s="38">
        <f>'Yard'!L$11*$B$47*'LAFs'!$I$36/'LAFs'!C$74*(1-'Contrib'!L$110)*C12/(24*'Input'!$F$58)*100</f>
        <v>0</v>
      </c>
      <c r="M66" s="38">
        <f>'Yard'!M$11*$B$47*'LAFs'!$I$36/'LAFs'!D$74*(1-'Contrib'!M$110)*D12/(24*'Input'!$F$58)*100</f>
        <v>0</v>
      </c>
      <c r="N66" s="38">
        <f>'Yard'!N$11*$B$47*'LAFs'!$I$36/'LAFs'!E$74*(1-'Contrib'!N$110)*E12/(24*'Input'!$F$58)*100</f>
        <v>0</v>
      </c>
      <c r="O66" s="38">
        <f>'Yard'!O$11*$B$47*'LAFs'!$I$36/'LAFs'!F$74*(1-'Contrib'!O$110)*F12/(24*'Input'!$F$58)*100</f>
        <v>0</v>
      </c>
      <c r="P66" s="38">
        <f>'Yard'!P$11*$B$47*'LAFs'!$I$36/'LAFs'!G$74*(1-'Contrib'!P$110)*G12/(24*'Input'!$F$58)*100</f>
        <v>0</v>
      </c>
      <c r="Q66" s="38">
        <f>'Yard'!Q$11*$B$47*'LAFs'!$I$36/'LAFs'!H$74*(1-'Contrib'!Q$110)*H12/(24*'Input'!$F$58)*100</f>
        <v>0</v>
      </c>
      <c r="R66" s="38">
        <f>'Yard'!R$11*$B$47*'LAFs'!$I$36/'LAFs'!I$74*(1-'Contrib'!R$110)*I12/(24*'Input'!$F$58)*100</f>
        <v>0</v>
      </c>
      <c r="S66" s="38">
        <f>'Yard'!S$11*$B$47*'LAFs'!$I$36/'LAFs'!J$74*(1-'Contrib'!S$110)*J12/(24*'Input'!$F$58)*100</f>
        <v>0</v>
      </c>
      <c r="T66" s="17"/>
    </row>
    <row r="67" spans="1:20">
      <c r="A67" s="4" t="s">
        <v>195</v>
      </c>
      <c r="B67" s="38">
        <f>'Yard'!B$11*$B$48*'LAFs'!$I$37/'LAFs'!B$74*(1-'Contrib'!B$111)*B13/(24*'Input'!$F$58)*100</f>
        <v>0</v>
      </c>
      <c r="C67" s="38">
        <f>'Yard'!C$11*$B$48*'LAFs'!$I$37/'LAFs'!C$74*(1-'Contrib'!C$111)*C13/(24*'Input'!$F$58)*100</f>
        <v>0</v>
      </c>
      <c r="D67" s="38">
        <f>'Yard'!D$11*$B$48*'LAFs'!$I$37/'LAFs'!D$74*(1-'Contrib'!D$111)*D13/(24*'Input'!$F$58)*100</f>
        <v>0</v>
      </c>
      <c r="E67" s="38">
        <f>'Yard'!E$11*$B$48*'LAFs'!$I$37/'LAFs'!E$74*(1-'Contrib'!E$111)*E13/(24*'Input'!$F$58)*100</f>
        <v>0</v>
      </c>
      <c r="F67" s="38">
        <f>'Yard'!F$11*$B$48*'LAFs'!$I$37/'LAFs'!F$74*(1-'Contrib'!F$111)*F13/(24*'Input'!$F$58)*100</f>
        <v>0</v>
      </c>
      <c r="G67" s="38">
        <f>'Yard'!G$11*$B$48*'LAFs'!$I$37/'LAFs'!G$74*(1-'Contrib'!G$111)*G13/(24*'Input'!$F$58)*100</f>
        <v>0</v>
      </c>
      <c r="H67" s="38">
        <f>'Yard'!H$11*$B$48*'LAFs'!$I$37/'LAFs'!H$74*(1-'Contrib'!H$111)*H13/(24*'Input'!$F$58)*100</f>
        <v>0</v>
      </c>
      <c r="I67" s="38">
        <f>'Yard'!I$11*$B$48*'LAFs'!$I$37/'LAFs'!I$74*(1-'Contrib'!I$111)*I13/(24*'Input'!$F$58)*100</f>
        <v>0</v>
      </c>
      <c r="J67" s="38">
        <f>'Yard'!J$11*$B$48*'LAFs'!$I$37/'LAFs'!J$74*(1-'Contrib'!J$111)*J13/(24*'Input'!$F$58)*100</f>
        <v>0</v>
      </c>
      <c r="K67" s="38">
        <f>'Yard'!K$11*$B$48*'LAFs'!$I$37/'LAFs'!B$74*(1-'Contrib'!K$111)*B13/(24*'Input'!$F$58)*100</f>
        <v>0</v>
      </c>
      <c r="L67" s="38">
        <f>'Yard'!L$11*$B$48*'LAFs'!$I$37/'LAFs'!C$74*(1-'Contrib'!L$111)*C13/(24*'Input'!$F$58)*100</f>
        <v>0</v>
      </c>
      <c r="M67" s="38">
        <f>'Yard'!M$11*$B$48*'LAFs'!$I$37/'LAFs'!D$74*(1-'Contrib'!M$111)*D13/(24*'Input'!$F$58)*100</f>
        <v>0</v>
      </c>
      <c r="N67" s="38">
        <f>'Yard'!N$11*$B$48*'LAFs'!$I$37/'LAFs'!E$74*(1-'Contrib'!N$111)*E13/(24*'Input'!$F$58)*100</f>
        <v>0</v>
      </c>
      <c r="O67" s="38">
        <f>'Yard'!O$11*$B$48*'LAFs'!$I$37/'LAFs'!F$74*(1-'Contrib'!O$111)*F13/(24*'Input'!$F$58)*100</f>
        <v>0</v>
      </c>
      <c r="P67" s="38">
        <f>'Yard'!P$11*$B$48*'LAFs'!$I$37/'LAFs'!G$74*(1-'Contrib'!P$111)*G13/(24*'Input'!$F$58)*100</f>
        <v>0</v>
      </c>
      <c r="Q67" s="38">
        <f>'Yard'!Q$11*$B$48*'LAFs'!$I$37/'LAFs'!H$74*(1-'Contrib'!Q$111)*H13/(24*'Input'!$F$58)*100</f>
        <v>0</v>
      </c>
      <c r="R67" s="38">
        <f>'Yard'!R$11*$B$48*'LAFs'!$I$37/'LAFs'!I$74*(1-'Contrib'!R$111)*I13/(24*'Input'!$F$58)*100</f>
        <v>0</v>
      </c>
      <c r="S67" s="38">
        <f>'Yard'!S$11*$B$48*'LAFs'!$I$37/'LAFs'!J$74*(1-'Contrib'!S$111)*J13/(24*'Input'!$F$58)*100</f>
        <v>0</v>
      </c>
      <c r="T67" s="17"/>
    </row>
    <row r="69" spans="1:20" ht="21" customHeight="1">
      <c r="A69" s="1" t="s">
        <v>1054</v>
      </c>
    </row>
    <row r="70" spans="1:20">
      <c r="A70" s="2" t="s">
        <v>351</v>
      </c>
    </row>
    <row r="71" spans="1:20">
      <c r="A71" s="33" t="s">
        <v>1055</v>
      </c>
    </row>
    <row r="72" spans="1:20">
      <c r="A72" s="33" t="s">
        <v>1043</v>
      </c>
    </row>
    <row r="73" spans="1:20">
      <c r="A73" s="33" t="s">
        <v>1026</v>
      </c>
    </row>
    <row r="74" spans="1:20">
      <c r="A74" s="2" t="s">
        <v>694</v>
      </c>
    </row>
    <row r="76" spans="1:20">
      <c r="B76" s="15" t="s">
        <v>142</v>
      </c>
      <c r="C76" s="15" t="s">
        <v>306</v>
      </c>
      <c r="D76" s="15" t="s">
        <v>307</v>
      </c>
      <c r="E76" s="15" t="s">
        <v>308</v>
      </c>
      <c r="F76" s="15" t="s">
        <v>309</v>
      </c>
      <c r="G76" s="15" t="s">
        <v>310</v>
      </c>
      <c r="H76" s="15" t="s">
        <v>311</v>
      </c>
      <c r="I76" s="15" t="s">
        <v>312</v>
      </c>
      <c r="J76" s="15" t="s">
        <v>313</v>
      </c>
      <c r="K76" s="15" t="s">
        <v>294</v>
      </c>
      <c r="L76" s="15" t="s">
        <v>877</v>
      </c>
      <c r="M76" s="15" t="s">
        <v>878</v>
      </c>
      <c r="N76" s="15" t="s">
        <v>879</v>
      </c>
      <c r="O76" s="15" t="s">
        <v>880</v>
      </c>
      <c r="P76" s="15" t="s">
        <v>881</v>
      </c>
      <c r="Q76" s="15" t="s">
        <v>882</v>
      </c>
      <c r="R76" s="15" t="s">
        <v>883</v>
      </c>
      <c r="S76" s="15" t="s">
        <v>884</v>
      </c>
    </row>
    <row r="77" spans="1:20">
      <c r="A77" s="4" t="s">
        <v>184</v>
      </c>
      <c r="B77" s="38">
        <f>B62*'Input'!B$350*'Input'!$E$58</f>
        <v>0</v>
      </c>
      <c r="C77" s="38">
        <f>C62*'Input'!C$350*'Input'!$E$58</f>
        <v>0</v>
      </c>
      <c r="D77" s="38">
        <f>D62*'Input'!D$350*'Input'!$E$58</f>
        <v>0</v>
      </c>
      <c r="E77" s="38">
        <f>E62*'Input'!E$350*'Input'!$E$58</f>
        <v>0</v>
      </c>
      <c r="F77" s="38">
        <f>F62*'Input'!F$350*'Input'!$E$58</f>
        <v>0</v>
      </c>
      <c r="G77" s="38">
        <f>G62*'Input'!G$350*'Input'!$E$58</f>
        <v>0</v>
      </c>
      <c r="H77" s="38">
        <f>H62*'Input'!H$350*'Input'!$E$58</f>
        <v>0</v>
      </c>
      <c r="I77" s="38">
        <f>I62*'Input'!I$350*'Input'!$E$58</f>
        <v>0</v>
      </c>
      <c r="J77" s="38">
        <f>J62*'Input'!J$350*'Input'!$E$58</f>
        <v>0</v>
      </c>
      <c r="K77" s="38">
        <f>K62*'Input'!B$350*'Input'!$E$58</f>
        <v>0</v>
      </c>
      <c r="L77" s="38">
        <f>L62*'Input'!C$350*'Input'!$E$58</f>
        <v>0</v>
      </c>
      <c r="M77" s="38">
        <f>M62*'Input'!D$350*'Input'!$E$58</f>
        <v>0</v>
      </c>
      <c r="N77" s="38">
        <f>N62*'Input'!E$350*'Input'!$E$58</f>
        <v>0</v>
      </c>
      <c r="O77" s="38">
        <f>O62*'Input'!F$350*'Input'!$E$58</f>
        <v>0</v>
      </c>
      <c r="P77" s="38">
        <f>P62*'Input'!G$350*'Input'!$E$58</f>
        <v>0</v>
      </c>
      <c r="Q77" s="38">
        <f>Q62*'Input'!H$350*'Input'!$E$58</f>
        <v>0</v>
      </c>
      <c r="R77" s="38">
        <f>R62*'Input'!I$350*'Input'!$E$58</f>
        <v>0</v>
      </c>
      <c r="S77" s="38">
        <f>S62*'Input'!J$350*'Input'!$E$58</f>
        <v>0</v>
      </c>
      <c r="T77" s="17"/>
    </row>
    <row r="78" spans="1:20">
      <c r="A78" s="4" t="s">
        <v>185</v>
      </c>
      <c r="B78" s="38">
        <f>B63*'Input'!B$350*'Input'!$E$58</f>
        <v>0</v>
      </c>
      <c r="C78" s="38">
        <f>C63*'Input'!C$350*'Input'!$E$58</f>
        <v>0</v>
      </c>
      <c r="D78" s="38">
        <f>D63*'Input'!D$350*'Input'!$E$58</f>
        <v>0</v>
      </c>
      <c r="E78" s="38">
        <f>E63*'Input'!E$350*'Input'!$E$58</f>
        <v>0</v>
      </c>
      <c r="F78" s="38">
        <f>F63*'Input'!F$350*'Input'!$E$58</f>
        <v>0</v>
      </c>
      <c r="G78" s="38">
        <f>G63*'Input'!G$350*'Input'!$E$58</f>
        <v>0</v>
      </c>
      <c r="H78" s="38">
        <f>H63*'Input'!H$350*'Input'!$E$58</f>
        <v>0</v>
      </c>
      <c r="I78" s="38">
        <f>I63*'Input'!I$350*'Input'!$E$58</f>
        <v>0</v>
      </c>
      <c r="J78" s="38">
        <f>J63*'Input'!J$350*'Input'!$E$58</f>
        <v>0</v>
      </c>
      <c r="K78" s="38">
        <f>K63*'Input'!B$350*'Input'!$E$58</f>
        <v>0</v>
      </c>
      <c r="L78" s="38">
        <f>L63*'Input'!C$350*'Input'!$E$58</f>
        <v>0</v>
      </c>
      <c r="M78" s="38">
        <f>M63*'Input'!D$350*'Input'!$E$58</f>
        <v>0</v>
      </c>
      <c r="N78" s="38">
        <f>N63*'Input'!E$350*'Input'!$E$58</f>
        <v>0</v>
      </c>
      <c r="O78" s="38">
        <f>O63*'Input'!F$350*'Input'!$E$58</f>
        <v>0</v>
      </c>
      <c r="P78" s="38">
        <f>P63*'Input'!G$350*'Input'!$E$58</f>
        <v>0</v>
      </c>
      <c r="Q78" s="38">
        <f>Q63*'Input'!H$350*'Input'!$E$58</f>
        <v>0</v>
      </c>
      <c r="R78" s="38">
        <f>R63*'Input'!I$350*'Input'!$E$58</f>
        <v>0</v>
      </c>
      <c r="S78" s="38">
        <f>S63*'Input'!J$350*'Input'!$E$58</f>
        <v>0</v>
      </c>
      <c r="T78" s="17"/>
    </row>
    <row r="79" spans="1:20">
      <c r="A79" s="4" t="s">
        <v>186</v>
      </c>
      <c r="B79" s="38">
        <f>B64*'Input'!B$350*'Input'!$E$58</f>
        <v>0</v>
      </c>
      <c r="C79" s="38">
        <f>C64*'Input'!C$350*'Input'!$E$58</f>
        <v>0</v>
      </c>
      <c r="D79" s="38">
        <f>D64*'Input'!D$350*'Input'!$E$58</f>
        <v>0</v>
      </c>
      <c r="E79" s="38">
        <f>E64*'Input'!E$350*'Input'!$E$58</f>
        <v>0</v>
      </c>
      <c r="F79" s="38">
        <f>F64*'Input'!F$350*'Input'!$E$58</f>
        <v>0</v>
      </c>
      <c r="G79" s="38">
        <f>G64*'Input'!G$350*'Input'!$E$58</f>
        <v>0</v>
      </c>
      <c r="H79" s="38">
        <f>H64*'Input'!H$350*'Input'!$E$58</f>
        <v>0</v>
      </c>
      <c r="I79" s="38">
        <f>I64*'Input'!I$350*'Input'!$E$58</f>
        <v>0</v>
      </c>
      <c r="J79" s="38">
        <f>J64*'Input'!J$350*'Input'!$E$58</f>
        <v>0</v>
      </c>
      <c r="K79" s="38">
        <f>K64*'Input'!B$350*'Input'!$E$58</f>
        <v>0</v>
      </c>
      <c r="L79" s="38">
        <f>L64*'Input'!C$350*'Input'!$E$58</f>
        <v>0</v>
      </c>
      <c r="M79" s="38">
        <f>M64*'Input'!D$350*'Input'!$E$58</f>
        <v>0</v>
      </c>
      <c r="N79" s="38">
        <f>N64*'Input'!E$350*'Input'!$E$58</f>
        <v>0</v>
      </c>
      <c r="O79" s="38">
        <f>O64*'Input'!F$350*'Input'!$E$58</f>
        <v>0</v>
      </c>
      <c r="P79" s="38">
        <f>P64*'Input'!G$350*'Input'!$E$58</f>
        <v>0</v>
      </c>
      <c r="Q79" s="38">
        <f>Q64*'Input'!H$350*'Input'!$E$58</f>
        <v>0</v>
      </c>
      <c r="R79" s="38">
        <f>R64*'Input'!I$350*'Input'!$E$58</f>
        <v>0</v>
      </c>
      <c r="S79" s="38">
        <f>S64*'Input'!J$350*'Input'!$E$58</f>
        <v>0</v>
      </c>
      <c r="T79" s="17"/>
    </row>
    <row r="80" spans="1:20">
      <c r="A80" s="4" t="s">
        <v>187</v>
      </c>
      <c r="B80" s="38">
        <f>B65*'Input'!B$350*'Input'!$E$58</f>
        <v>0</v>
      </c>
      <c r="C80" s="38">
        <f>C65*'Input'!C$350*'Input'!$E$58</f>
        <v>0</v>
      </c>
      <c r="D80" s="38">
        <f>D65*'Input'!D$350*'Input'!$E$58</f>
        <v>0</v>
      </c>
      <c r="E80" s="38">
        <f>E65*'Input'!E$350*'Input'!$E$58</f>
        <v>0</v>
      </c>
      <c r="F80" s="38">
        <f>F65*'Input'!F$350*'Input'!$E$58</f>
        <v>0</v>
      </c>
      <c r="G80" s="38">
        <f>G65*'Input'!G$350*'Input'!$E$58</f>
        <v>0</v>
      </c>
      <c r="H80" s="38">
        <f>H65*'Input'!H$350*'Input'!$E$58</f>
        <v>0</v>
      </c>
      <c r="I80" s="38">
        <f>I65*'Input'!I$350*'Input'!$E$58</f>
        <v>0</v>
      </c>
      <c r="J80" s="38">
        <f>J65*'Input'!J$350*'Input'!$E$58</f>
        <v>0</v>
      </c>
      <c r="K80" s="38">
        <f>K65*'Input'!B$350*'Input'!$E$58</f>
        <v>0</v>
      </c>
      <c r="L80" s="38">
        <f>L65*'Input'!C$350*'Input'!$E$58</f>
        <v>0</v>
      </c>
      <c r="M80" s="38">
        <f>M65*'Input'!D$350*'Input'!$E$58</f>
        <v>0</v>
      </c>
      <c r="N80" s="38">
        <f>N65*'Input'!E$350*'Input'!$E$58</f>
        <v>0</v>
      </c>
      <c r="O80" s="38">
        <f>O65*'Input'!F$350*'Input'!$E$58</f>
        <v>0</v>
      </c>
      <c r="P80" s="38">
        <f>P65*'Input'!G$350*'Input'!$E$58</f>
        <v>0</v>
      </c>
      <c r="Q80" s="38">
        <f>Q65*'Input'!H$350*'Input'!$E$58</f>
        <v>0</v>
      </c>
      <c r="R80" s="38">
        <f>R65*'Input'!I$350*'Input'!$E$58</f>
        <v>0</v>
      </c>
      <c r="S80" s="38">
        <f>S65*'Input'!J$350*'Input'!$E$58</f>
        <v>0</v>
      </c>
      <c r="T80" s="17"/>
    </row>
    <row r="81" spans="1:20">
      <c r="A81" s="4" t="s">
        <v>194</v>
      </c>
      <c r="B81" s="38">
        <f>B66*'Input'!B$350*'Input'!$E$58</f>
        <v>0</v>
      </c>
      <c r="C81" s="38">
        <f>C66*'Input'!C$350*'Input'!$E$58</f>
        <v>0</v>
      </c>
      <c r="D81" s="38">
        <f>D66*'Input'!D$350*'Input'!$E$58</f>
        <v>0</v>
      </c>
      <c r="E81" s="38">
        <f>E66*'Input'!E$350*'Input'!$E$58</f>
        <v>0</v>
      </c>
      <c r="F81" s="38">
        <f>F66*'Input'!F$350*'Input'!$E$58</f>
        <v>0</v>
      </c>
      <c r="G81" s="38">
        <f>G66*'Input'!G$350*'Input'!$E$58</f>
        <v>0</v>
      </c>
      <c r="H81" s="38">
        <f>H66*'Input'!H$350*'Input'!$E$58</f>
        <v>0</v>
      </c>
      <c r="I81" s="38">
        <f>I66*'Input'!I$350*'Input'!$E$58</f>
        <v>0</v>
      </c>
      <c r="J81" s="38">
        <f>J66*'Input'!J$350*'Input'!$E$58</f>
        <v>0</v>
      </c>
      <c r="K81" s="38">
        <f>K66*'Input'!B$350*'Input'!$E$58</f>
        <v>0</v>
      </c>
      <c r="L81" s="38">
        <f>L66*'Input'!C$350*'Input'!$E$58</f>
        <v>0</v>
      </c>
      <c r="M81" s="38">
        <f>M66*'Input'!D$350*'Input'!$E$58</f>
        <v>0</v>
      </c>
      <c r="N81" s="38">
        <f>N66*'Input'!E$350*'Input'!$E$58</f>
        <v>0</v>
      </c>
      <c r="O81" s="38">
        <f>O66*'Input'!F$350*'Input'!$E$58</f>
        <v>0</v>
      </c>
      <c r="P81" s="38">
        <f>P66*'Input'!G$350*'Input'!$E$58</f>
        <v>0</v>
      </c>
      <c r="Q81" s="38">
        <f>Q66*'Input'!H$350*'Input'!$E$58</f>
        <v>0</v>
      </c>
      <c r="R81" s="38">
        <f>R66*'Input'!I$350*'Input'!$E$58</f>
        <v>0</v>
      </c>
      <c r="S81" s="38">
        <f>S66*'Input'!J$350*'Input'!$E$58</f>
        <v>0</v>
      </c>
      <c r="T81" s="17"/>
    </row>
    <row r="82" spans="1:20">
      <c r="A82" s="4" t="s">
        <v>195</v>
      </c>
      <c r="B82" s="38">
        <f>B67*'Input'!B$350*'Input'!$E$58</f>
        <v>0</v>
      </c>
      <c r="C82" s="38">
        <f>C67*'Input'!C$350*'Input'!$E$58</f>
        <v>0</v>
      </c>
      <c r="D82" s="38">
        <f>D67*'Input'!D$350*'Input'!$E$58</f>
        <v>0</v>
      </c>
      <c r="E82" s="38">
        <f>E67*'Input'!E$350*'Input'!$E$58</f>
        <v>0</v>
      </c>
      <c r="F82" s="38">
        <f>F67*'Input'!F$350*'Input'!$E$58</f>
        <v>0</v>
      </c>
      <c r="G82" s="38">
        <f>G67*'Input'!G$350*'Input'!$E$58</f>
        <v>0</v>
      </c>
      <c r="H82" s="38">
        <f>H67*'Input'!H$350*'Input'!$E$58</f>
        <v>0</v>
      </c>
      <c r="I82" s="38">
        <f>I67*'Input'!I$350*'Input'!$E$58</f>
        <v>0</v>
      </c>
      <c r="J82" s="38">
        <f>J67*'Input'!J$350*'Input'!$E$58</f>
        <v>0</v>
      </c>
      <c r="K82" s="38">
        <f>K67*'Input'!B$350*'Input'!$E$58</f>
        <v>0</v>
      </c>
      <c r="L82" s="38">
        <f>L67*'Input'!C$350*'Input'!$E$58</f>
        <v>0</v>
      </c>
      <c r="M82" s="38">
        <f>M67*'Input'!D$350*'Input'!$E$58</f>
        <v>0</v>
      </c>
      <c r="N82" s="38">
        <f>N67*'Input'!E$350*'Input'!$E$58</f>
        <v>0</v>
      </c>
      <c r="O82" s="38">
        <f>O67*'Input'!F$350*'Input'!$E$58</f>
        <v>0</v>
      </c>
      <c r="P82" s="38">
        <f>P67*'Input'!G$350*'Input'!$E$58</f>
        <v>0</v>
      </c>
      <c r="Q82" s="38">
        <f>Q67*'Input'!H$350*'Input'!$E$58</f>
        <v>0</v>
      </c>
      <c r="R82" s="38">
        <f>R67*'Input'!I$350*'Input'!$E$58</f>
        <v>0</v>
      </c>
      <c r="S82" s="38">
        <f>S67*'Input'!J$350*'Input'!$E$58</f>
        <v>0</v>
      </c>
      <c r="T82" s="17"/>
    </row>
  </sheetData>
  <sheetProtection sheet="1" objects="1" scenarios="1"/>
  <hyperlinks>
    <hyperlink ref="A17" location="'Standing'!B48" display="x1 = 3003. Yardstick components p/kWh (taking account of standing charges)"/>
    <hyperlink ref="A27" location="'Reactive'!B20" display="x1 = 3202. Standard components p/kWh for reactive power (absolute value)"/>
    <hyperlink ref="A28" location="'Input'!B349" display="x2 = 1092. Average kVAr by kVA, by network level"/>
    <hyperlink ref="A29" location="'Input'!E57" display="x3 = 1010. Power factor for all flows in the network model (in Financial and general assumptions)"/>
    <hyperlink ref="A39" location="'Loads'!B42" display="x1 = 2302. Load coefficient"/>
    <hyperlink ref="A52" location="'Yard'!B10" display="x1 = 2901. Unit cost at each level, £/kW/year (relative to system simultaneous maximum load)"/>
    <hyperlink ref="A53" location="'Reactive'!B42" display="x2 = 3204. Absolute value of load coefficient (kW peak / average kW)"/>
    <hyperlink ref="A54" location="'LAFs'!I13" display="x3 = 2001. Loss adjustment factor to transmission (in Loss adjustment factors to transmission)"/>
    <hyperlink ref="A55" location="'LAFs'!B73" display="x4 = 2004. Loss adjustment factor to transmission for each network level"/>
    <hyperlink ref="A56" location="'Contrib'!B87" display="x5 = 2804. Proportion of annual charge covered by contributions (for all charging levels)"/>
    <hyperlink ref="A57" location="'Reactive'!B7" display="x6 = 3201. Network use factors for generator reactive unit charges"/>
    <hyperlink ref="A58" location="'Input'!F57" display="x7 = 1010. Days in the charging year (in Financial and general assumptions)"/>
    <hyperlink ref="A71" location="'Reactive'!B61" display="x1 = 3205. Pay-as-you-go components p/kWh for reactive power (absolute value)"/>
    <hyperlink ref="A72" location="'Input'!B349" display="x2 = 1092. Average kVAr by kVA, by network level"/>
    <hyperlink ref="A73" location="'Input'!E57" display="x3 = 1010. Power factor for all flows in the network model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4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4" ht="21" customHeight="1">
      <c r="A1" s="1">
        <f>"Aggregation for "&amp;'Input'!B7&amp;" in "&amp;'Input'!C7&amp;" ("&amp;'Input'!D7&amp;")"</f>
        <v>0</v>
      </c>
    </row>
    <row r="2" spans="1:24">
      <c r="A2" s="2" t="s">
        <v>1056</v>
      </c>
    </row>
    <row r="4" spans="1:24" ht="21" customHeight="1">
      <c r="A4" s="1" t="s">
        <v>1057</v>
      </c>
    </row>
    <row r="5" spans="1:24">
      <c r="A5" s="2" t="s">
        <v>351</v>
      </c>
    </row>
    <row r="6" spans="1:24">
      <c r="A6" s="33" t="s">
        <v>1058</v>
      </c>
    </row>
    <row r="7" spans="1:24">
      <c r="A7" s="33" t="s">
        <v>1059</v>
      </c>
    </row>
    <row r="8" spans="1:24">
      <c r="A8" s="33" t="s">
        <v>1060</v>
      </c>
    </row>
    <row r="9" spans="1:24">
      <c r="A9" s="33" t="s">
        <v>1061</v>
      </c>
    </row>
    <row r="10" spans="1:24">
      <c r="A10" s="33" t="s">
        <v>1062</v>
      </c>
    </row>
    <row r="11" spans="1:24">
      <c r="A11" s="33" t="s">
        <v>1063</v>
      </c>
    </row>
    <row r="12" spans="1:24">
      <c r="A12" s="2" t="s">
        <v>386</v>
      </c>
    </row>
    <row r="14" spans="1:24">
      <c r="B14" s="15" t="s">
        <v>142</v>
      </c>
      <c r="C14" s="15" t="s">
        <v>306</v>
      </c>
      <c r="D14" s="15" t="s">
        <v>307</v>
      </c>
      <c r="E14" s="15" t="s">
        <v>308</v>
      </c>
      <c r="F14" s="15" t="s">
        <v>309</v>
      </c>
      <c r="G14" s="15" t="s">
        <v>310</v>
      </c>
      <c r="H14" s="15" t="s">
        <v>311</v>
      </c>
      <c r="I14" s="15" t="s">
        <v>312</v>
      </c>
      <c r="J14" s="15" t="s">
        <v>313</v>
      </c>
      <c r="K14" s="15" t="s">
        <v>463</v>
      </c>
      <c r="L14" s="15" t="s">
        <v>475</v>
      </c>
      <c r="M14" s="15" t="s">
        <v>294</v>
      </c>
      <c r="N14" s="15" t="s">
        <v>877</v>
      </c>
      <c r="O14" s="15" t="s">
        <v>878</v>
      </c>
      <c r="P14" s="15" t="s">
        <v>879</v>
      </c>
      <c r="Q14" s="15" t="s">
        <v>880</v>
      </c>
      <c r="R14" s="15" t="s">
        <v>881</v>
      </c>
      <c r="S14" s="15" t="s">
        <v>882</v>
      </c>
      <c r="T14" s="15" t="s">
        <v>883</v>
      </c>
      <c r="U14" s="15" t="s">
        <v>884</v>
      </c>
      <c r="V14" s="15" t="s">
        <v>885</v>
      </c>
      <c r="W14" s="15" t="s">
        <v>886</v>
      </c>
    </row>
    <row r="15" spans="1:24">
      <c r="A15" s="4" t="s">
        <v>174</v>
      </c>
      <c r="B15" s="39">
        <f>'Standing'!$B$73</f>
        <v>0</v>
      </c>
      <c r="C15" s="39">
        <f>'Standing'!$C$73</f>
        <v>0</v>
      </c>
      <c r="D15" s="39">
        <f>'Standing'!$D$73</f>
        <v>0</v>
      </c>
      <c r="E15" s="39">
        <f>'Standing'!$E$73</f>
        <v>0</v>
      </c>
      <c r="F15" s="39">
        <f>'Standing'!$F$73</f>
        <v>0</v>
      </c>
      <c r="G15" s="39">
        <f>'Standing'!$G$73</f>
        <v>0</v>
      </c>
      <c r="H15" s="39">
        <f>'Standing'!$H$73</f>
        <v>0</v>
      </c>
      <c r="I15" s="39">
        <f>'Standing'!$I$73</f>
        <v>0</v>
      </c>
      <c r="J15" s="39">
        <f>'Standing'!$J$73</f>
        <v>0</v>
      </c>
      <c r="K15" s="10"/>
      <c r="L15" s="10"/>
      <c r="M15" s="39">
        <f>'Standing'!$K$73</f>
        <v>0</v>
      </c>
      <c r="N15" s="39">
        <f>'Standing'!$L$73</f>
        <v>0</v>
      </c>
      <c r="O15" s="39">
        <f>'Standing'!$M$73</f>
        <v>0</v>
      </c>
      <c r="P15" s="39">
        <f>'Standing'!$N$73</f>
        <v>0</v>
      </c>
      <c r="Q15" s="39">
        <f>'Standing'!$O$73</f>
        <v>0</v>
      </c>
      <c r="R15" s="39">
        <f>'Standing'!$P$73</f>
        <v>0</v>
      </c>
      <c r="S15" s="39">
        <f>'Standing'!$Q$73</f>
        <v>0</v>
      </c>
      <c r="T15" s="39">
        <f>'Standing'!$R$73</f>
        <v>0</v>
      </c>
      <c r="U15" s="39">
        <f>'Standing'!$S$73</f>
        <v>0</v>
      </c>
      <c r="V15" s="10"/>
      <c r="W15" s="10"/>
      <c r="X15" s="17"/>
    </row>
    <row r="16" spans="1:24">
      <c r="A16" s="4" t="s">
        <v>175</v>
      </c>
      <c r="B16" s="39">
        <f>'Standing'!$B$74</f>
        <v>0</v>
      </c>
      <c r="C16" s="39">
        <f>'Standing'!$C$74</f>
        <v>0</v>
      </c>
      <c r="D16" s="39">
        <f>'Standing'!$D$74</f>
        <v>0</v>
      </c>
      <c r="E16" s="39">
        <f>'Standing'!$E$74</f>
        <v>0</v>
      </c>
      <c r="F16" s="39">
        <f>'Standing'!$F$74</f>
        <v>0</v>
      </c>
      <c r="G16" s="39">
        <f>'Standing'!$G$74</f>
        <v>0</v>
      </c>
      <c r="H16" s="39">
        <f>'Standing'!$H$74</f>
        <v>0</v>
      </c>
      <c r="I16" s="39">
        <f>'Standing'!$I$74</f>
        <v>0</v>
      </c>
      <c r="J16" s="39">
        <f>'Standing'!$J$74</f>
        <v>0</v>
      </c>
      <c r="K16" s="10"/>
      <c r="L16" s="10"/>
      <c r="M16" s="39">
        <f>'Standing'!$K$74</f>
        <v>0</v>
      </c>
      <c r="N16" s="39">
        <f>'Standing'!$L$74</f>
        <v>0</v>
      </c>
      <c r="O16" s="39">
        <f>'Standing'!$M$74</f>
        <v>0</v>
      </c>
      <c r="P16" s="39">
        <f>'Standing'!$N$74</f>
        <v>0</v>
      </c>
      <c r="Q16" s="39">
        <f>'Standing'!$O$74</f>
        <v>0</v>
      </c>
      <c r="R16" s="39">
        <f>'Standing'!$P$74</f>
        <v>0</v>
      </c>
      <c r="S16" s="39">
        <f>'Standing'!$Q$74</f>
        <v>0</v>
      </c>
      <c r="T16" s="39">
        <f>'Standing'!$R$74</f>
        <v>0</v>
      </c>
      <c r="U16" s="39">
        <f>'Standing'!$S$74</f>
        <v>0</v>
      </c>
      <c r="V16" s="10"/>
      <c r="W16" s="10"/>
      <c r="X16" s="17"/>
    </row>
    <row r="17" spans="1:24">
      <c r="A17" s="4" t="s">
        <v>211</v>
      </c>
      <c r="B17" s="39">
        <f>'Standing'!$B$75</f>
        <v>0</v>
      </c>
      <c r="C17" s="39">
        <f>'Standing'!$C$75</f>
        <v>0</v>
      </c>
      <c r="D17" s="39">
        <f>'Standing'!$D$75</f>
        <v>0</v>
      </c>
      <c r="E17" s="39">
        <f>'Standing'!$E$75</f>
        <v>0</v>
      </c>
      <c r="F17" s="39">
        <f>'Standing'!$F$75</f>
        <v>0</v>
      </c>
      <c r="G17" s="39">
        <f>'Standing'!$G$75</f>
        <v>0</v>
      </c>
      <c r="H17" s="39">
        <f>'Standing'!$H$75</f>
        <v>0</v>
      </c>
      <c r="I17" s="39">
        <f>'Standing'!$I$75</f>
        <v>0</v>
      </c>
      <c r="J17" s="39">
        <f>'Standing'!$J$75</f>
        <v>0</v>
      </c>
      <c r="K17" s="10"/>
      <c r="L17" s="10"/>
      <c r="M17" s="39">
        <f>'Standing'!$K$75</f>
        <v>0</v>
      </c>
      <c r="N17" s="39">
        <f>'Standing'!$L$75</f>
        <v>0</v>
      </c>
      <c r="O17" s="39">
        <f>'Standing'!$M$75</f>
        <v>0</v>
      </c>
      <c r="P17" s="39">
        <f>'Standing'!$N$75</f>
        <v>0</v>
      </c>
      <c r="Q17" s="39">
        <f>'Standing'!$O$75</f>
        <v>0</v>
      </c>
      <c r="R17" s="39">
        <f>'Standing'!$P$75</f>
        <v>0</v>
      </c>
      <c r="S17" s="39">
        <f>'Standing'!$Q$75</f>
        <v>0</v>
      </c>
      <c r="T17" s="39">
        <f>'Standing'!$R$75</f>
        <v>0</v>
      </c>
      <c r="U17" s="39">
        <f>'Standing'!$S$75</f>
        <v>0</v>
      </c>
      <c r="V17" s="10"/>
      <c r="W17" s="10"/>
      <c r="X17" s="17"/>
    </row>
    <row r="18" spans="1:24">
      <c r="A18" s="4" t="s">
        <v>176</v>
      </c>
      <c r="B18" s="39">
        <f>'Standing'!$B$76</f>
        <v>0</v>
      </c>
      <c r="C18" s="39">
        <f>'Standing'!$C$76</f>
        <v>0</v>
      </c>
      <c r="D18" s="39">
        <f>'Standing'!$D$76</f>
        <v>0</v>
      </c>
      <c r="E18" s="39">
        <f>'Standing'!$E$76</f>
        <v>0</v>
      </c>
      <c r="F18" s="39">
        <f>'Standing'!$F$76</f>
        <v>0</v>
      </c>
      <c r="G18" s="39">
        <f>'Standing'!$G$76</f>
        <v>0</v>
      </c>
      <c r="H18" s="39">
        <f>'Standing'!$H$76</f>
        <v>0</v>
      </c>
      <c r="I18" s="39">
        <f>'Standing'!$I$76</f>
        <v>0</v>
      </c>
      <c r="J18" s="39">
        <f>'Standing'!$J$76</f>
        <v>0</v>
      </c>
      <c r="K18" s="10"/>
      <c r="L18" s="10"/>
      <c r="M18" s="39">
        <f>'Standing'!$K$76</f>
        <v>0</v>
      </c>
      <c r="N18" s="39">
        <f>'Standing'!$L$76</f>
        <v>0</v>
      </c>
      <c r="O18" s="39">
        <f>'Standing'!$M$76</f>
        <v>0</v>
      </c>
      <c r="P18" s="39">
        <f>'Standing'!$N$76</f>
        <v>0</v>
      </c>
      <c r="Q18" s="39">
        <f>'Standing'!$O$76</f>
        <v>0</v>
      </c>
      <c r="R18" s="39">
        <f>'Standing'!$P$76</f>
        <v>0</v>
      </c>
      <c r="S18" s="39">
        <f>'Standing'!$Q$76</f>
        <v>0</v>
      </c>
      <c r="T18" s="39">
        <f>'Standing'!$R$76</f>
        <v>0</v>
      </c>
      <c r="U18" s="39">
        <f>'Standing'!$S$76</f>
        <v>0</v>
      </c>
      <c r="V18" s="10"/>
      <c r="W18" s="10"/>
      <c r="X18" s="17"/>
    </row>
    <row r="19" spans="1:24">
      <c r="A19" s="4" t="s">
        <v>177</v>
      </c>
      <c r="B19" s="39">
        <f>'Standing'!$B$77</f>
        <v>0</v>
      </c>
      <c r="C19" s="39">
        <f>'Standing'!$C$77</f>
        <v>0</v>
      </c>
      <c r="D19" s="39">
        <f>'Standing'!$D$77</f>
        <v>0</v>
      </c>
      <c r="E19" s="39">
        <f>'Standing'!$E$77</f>
        <v>0</v>
      </c>
      <c r="F19" s="39">
        <f>'Standing'!$F$77</f>
        <v>0</v>
      </c>
      <c r="G19" s="39">
        <f>'Standing'!$G$77</f>
        <v>0</v>
      </c>
      <c r="H19" s="39">
        <f>'Standing'!$H$77</f>
        <v>0</v>
      </c>
      <c r="I19" s="39">
        <f>'Standing'!$I$77</f>
        <v>0</v>
      </c>
      <c r="J19" s="39">
        <f>'Standing'!$J$77</f>
        <v>0</v>
      </c>
      <c r="K19" s="10"/>
      <c r="L19" s="10"/>
      <c r="M19" s="39">
        <f>'Standing'!$K$77</f>
        <v>0</v>
      </c>
      <c r="N19" s="39">
        <f>'Standing'!$L$77</f>
        <v>0</v>
      </c>
      <c r="O19" s="39">
        <f>'Standing'!$M$77</f>
        <v>0</v>
      </c>
      <c r="P19" s="39">
        <f>'Standing'!$N$77</f>
        <v>0</v>
      </c>
      <c r="Q19" s="39">
        <f>'Standing'!$O$77</f>
        <v>0</v>
      </c>
      <c r="R19" s="39">
        <f>'Standing'!$P$77</f>
        <v>0</v>
      </c>
      <c r="S19" s="39">
        <f>'Standing'!$Q$77</f>
        <v>0</v>
      </c>
      <c r="T19" s="39">
        <f>'Standing'!$R$77</f>
        <v>0</v>
      </c>
      <c r="U19" s="39">
        <f>'Standing'!$S$77</f>
        <v>0</v>
      </c>
      <c r="V19" s="10"/>
      <c r="W19" s="10"/>
      <c r="X19" s="17"/>
    </row>
    <row r="20" spans="1:24">
      <c r="A20" s="4" t="s">
        <v>212</v>
      </c>
      <c r="B20" s="39">
        <f>'Standing'!$B$78</f>
        <v>0</v>
      </c>
      <c r="C20" s="39">
        <f>'Standing'!$C$78</f>
        <v>0</v>
      </c>
      <c r="D20" s="39">
        <f>'Standing'!$D$78</f>
        <v>0</v>
      </c>
      <c r="E20" s="39">
        <f>'Standing'!$E$78</f>
        <v>0</v>
      </c>
      <c r="F20" s="39">
        <f>'Standing'!$F$78</f>
        <v>0</v>
      </c>
      <c r="G20" s="39">
        <f>'Standing'!$G$78</f>
        <v>0</v>
      </c>
      <c r="H20" s="39">
        <f>'Standing'!$H$78</f>
        <v>0</v>
      </c>
      <c r="I20" s="39">
        <f>'Standing'!$I$78</f>
        <v>0</v>
      </c>
      <c r="J20" s="39">
        <f>'Standing'!$J$78</f>
        <v>0</v>
      </c>
      <c r="K20" s="10"/>
      <c r="L20" s="10"/>
      <c r="M20" s="39">
        <f>'Standing'!$K$78</f>
        <v>0</v>
      </c>
      <c r="N20" s="39">
        <f>'Standing'!$L$78</f>
        <v>0</v>
      </c>
      <c r="O20" s="39">
        <f>'Standing'!$M$78</f>
        <v>0</v>
      </c>
      <c r="P20" s="39">
        <f>'Standing'!$N$78</f>
        <v>0</v>
      </c>
      <c r="Q20" s="39">
        <f>'Standing'!$O$78</f>
        <v>0</v>
      </c>
      <c r="R20" s="39">
        <f>'Standing'!$P$78</f>
        <v>0</v>
      </c>
      <c r="S20" s="39">
        <f>'Standing'!$Q$78</f>
        <v>0</v>
      </c>
      <c r="T20" s="39">
        <f>'Standing'!$R$78</f>
        <v>0</v>
      </c>
      <c r="U20" s="39">
        <f>'Standing'!$S$78</f>
        <v>0</v>
      </c>
      <c r="V20" s="10"/>
      <c r="W20" s="10"/>
      <c r="X20" s="17"/>
    </row>
    <row r="21" spans="1:24">
      <c r="A21" s="4" t="s">
        <v>178</v>
      </c>
      <c r="B21" s="39">
        <f>'Standing'!$B$79</f>
        <v>0</v>
      </c>
      <c r="C21" s="39">
        <f>'Standing'!$C$79</f>
        <v>0</v>
      </c>
      <c r="D21" s="39">
        <f>'Standing'!$D$79</f>
        <v>0</v>
      </c>
      <c r="E21" s="39">
        <f>'Standing'!$E$79</f>
        <v>0</v>
      </c>
      <c r="F21" s="39">
        <f>'Standing'!$F$79</f>
        <v>0</v>
      </c>
      <c r="G21" s="39">
        <f>'Standing'!$G$79</f>
        <v>0</v>
      </c>
      <c r="H21" s="39">
        <f>'Standing'!$H$79</f>
        <v>0</v>
      </c>
      <c r="I21" s="39">
        <f>'Standing'!$I$79</f>
        <v>0</v>
      </c>
      <c r="J21" s="39">
        <f>'Standing'!$J$79</f>
        <v>0</v>
      </c>
      <c r="K21" s="10"/>
      <c r="L21" s="10"/>
      <c r="M21" s="39">
        <f>'Standing'!$K$79</f>
        <v>0</v>
      </c>
      <c r="N21" s="39">
        <f>'Standing'!$L$79</f>
        <v>0</v>
      </c>
      <c r="O21" s="39">
        <f>'Standing'!$M$79</f>
        <v>0</v>
      </c>
      <c r="P21" s="39">
        <f>'Standing'!$N$79</f>
        <v>0</v>
      </c>
      <c r="Q21" s="39">
        <f>'Standing'!$O$79</f>
        <v>0</v>
      </c>
      <c r="R21" s="39">
        <f>'Standing'!$P$79</f>
        <v>0</v>
      </c>
      <c r="S21" s="39">
        <f>'Standing'!$Q$79</f>
        <v>0</v>
      </c>
      <c r="T21" s="39">
        <f>'Standing'!$R$79</f>
        <v>0</v>
      </c>
      <c r="U21" s="39">
        <f>'Standing'!$S$79</f>
        <v>0</v>
      </c>
      <c r="V21" s="10"/>
      <c r="W21" s="10"/>
      <c r="X21" s="17"/>
    </row>
    <row r="22" spans="1:24">
      <c r="A22" s="4" t="s">
        <v>179</v>
      </c>
      <c r="B22" s="39">
        <f>'Standing'!$B$80</f>
        <v>0</v>
      </c>
      <c r="C22" s="39">
        <f>'Standing'!$C$80</f>
        <v>0</v>
      </c>
      <c r="D22" s="39">
        <f>'Standing'!$D$80</f>
        <v>0</v>
      </c>
      <c r="E22" s="39">
        <f>'Standing'!$E$80</f>
        <v>0</v>
      </c>
      <c r="F22" s="39">
        <f>'Standing'!$F$80</f>
        <v>0</v>
      </c>
      <c r="G22" s="39">
        <f>'Standing'!$G$80</f>
        <v>0</v>
      </c>
      <c r="H22" s="39">
        <f>'Standing'!$H$80</f>
        <v>0</v>
      </c>
      <c r="I22" s="39">
        <f>'Standing'!$I$80</f>
        <v>0</v>
      </c>
      <c r="J22" s="39">
        <f>'Standing'!$J$80</f>
        <v>0</v>
      </c>
      <c r="K22" s="10"/>
      <c r="L22" s="10"/>
      <c r="M22" s="39">
        <f>'Standing'!$K$80</f>
        <v>0</v>
      </c>
      <c r="N22" s="39">
        <f>'Standing'!$L$80</f>
        <v>0</v>
      </c>
      <c r="O22" s="39">
        <f>'Standing'!$M$80</f>
        <v>0</v>
      </c>
      <c r="P22" s="39">
        <f>'Standing'!$N$80</f>
        <v>0</v>
      </c>
      <c r="Q22" s="39">
        <f>'Standing'!$O$80</f>
        <v>0</v>
      </c>
      <c r="R22" s="39">
        <f>'Standing'!$P$80</f>
        <v>0</v>
      </c>
      <c r="S22" s="39">
        <f>'Standing'!$Q$80</f>
        <v>0</v>
      </c>
      <c r="T22" s="39">
        <f>'Standing'!$R$80</f>
        <v>0</v>
      </c>
      <c r="U22" s="39">
        <f>'Standing'!$S$80</f>
        <v>0</v>
      </c>
      <c r="V22" s="10"/>
      <c r="W22" s="10"/>
      <c r="X22" s="17"/>
    </row>
    <row r="23" spans="1:24">
      <c r="A23" s="4" t="s">
        <v>180</v>
      </c>
      <c r="B23" s="39">
        <f>'Standing'!$B$81</f>
        <v>0</v>
      </c>
      <c r="C23" s="39">
        <f>'Standing'!$C$81</f>
        <v>0</v>
      </c>
      <c r="D23" s="39">
        <f>'Standing'!$D$81</f>
        <v>0</v>
      </c>
      <c r="E23" s="39">
        <f>'Standing'!$E$81</f>
        <v>0</v>
      </c>
      <c r="F23" s="39">
        <f>'Standing'!$F$81</f>
        <v>0</v>
      </c>
      <c r="G23" s="39">
        <f>'Standing'!$G$81</f>
        <v>0</v>
      </c>
      <c r="H23" s="39">
        <f>'Standing'!$H$81</f>
        <v>0</v>
      </c>
      <c r="I23" s="39">
        <f>'Standing'!$I$81</f>
        <v>0</v>
      </c>
      <c r="J23" s="39">
        <f>'Standing'!$J$81</f>
        <v>0</v>
      </c>
      <c r="K23" s="10"/>
      <c r="L23" s="10"/>
      <c r="M23" s="39">
        <f>'Standing'!$K$81</f>
        <v>0</v>
      </c>
      <c r="N23" s="39">
        <f>'Standing'!$L$81</f>
        <v>0</v>
      </c>
      <c r="O23" s="39">
        <f>'Standing'!$M$81</f>
        <v>0</v>
      </c>
      <c r="P23" s="39">
        <f>'Standing'!$N$81</f>
        <v>0</v>
      </c>
      <c r="Q23" s="39">
        <f>'Standing'!$O$81</f>
        <v>0</v>
      </c>
      <c r="R23" s="39">
        <f>'Standing'!$P$81</f>
        <v>0</v>
      </c>
      <c r="S23" s="39">
        <f>'Standing'!$Q$81</f>
        <v>0</v>
      </c>
      <c r="T23" s="39">
        <f>'Standing'!$R$81</f>
        <v>0</v>
      </c>
      <c r="U23" s="39">
        <f>'Standing'!$S$81</f>
        <v>0</v>
      </c>
      <c r="V23" s="10"/>
      <c r="W23" s="10"/>
      <c r="X23" s="17"/>
    </row>
    <row r="24" spans="1:24">
      <c r="A24" s="4" t="s">
        <v>181</v>
      </c>
      <c r="B24" s="39">
        <f>'Standing'!$B$82</f>
        <v>0</v>
      </c>
      <c r="C24" s="39">
        <f>'Standing'!$C$82</f>
        <v>0</v>
      </c>
      <c r="D24" s="39">
        <f>'Standing'!$D$82</f>
        <v>0</v>
      </c>
      <c r="E24" s="39">
        <f>'Standing'!$E$82</f>
        <v>0</v>
      </c>
      <c r="F24" s="39">
        <f>'Standing'!$F$82</f>
        <v>0</v>
      </c>
      <c r="G24" s="39">
        <f>'Standing'!$G$82</f>
        <v>0</v>
      </c>
      <c r="H24" s="39">
        <f>'Standing'!$H$82</f>
        <v>0</v>
      </c>
      <c r="I24" s="39">
        <f>'Standing'!$I$82</f>
        <v>0</v>
      </c>
      <c r="J24" s="39">
        <f>'Standing'!$J$82</f>
        <v>0</v>
      </c>
      <c r="K24" s="10"/>
      <c r="L24" s="10"/>
      <c r="M24" s="39">
        <f>'Standing'!$K$82</f>
        <v>0</v>
      </c>
      <c r="N24" s="39">
        <f>'Standing'!$L$82</f>
        <v>0</v>
      </c>
      <c r="O24" s="39">
        <f>'Standing'!$M$82</f>
        <v>0</v>
      </c>
      <c r="P24" s="39">
        <f>'Standing'!$N$82</f>
        <v>0</v>
      </c>
      <c r="Q24" s="39">
        <f>'Standing'!$O$82</f>
        <v>0</v>
      </c>
      <c r="R24" s="39">
        <f>'Standing'!$P$82</f>
        <v>0</v>
      </c>
      <c r="S24" s="39">
        <f>'Standing'!$Q$82</f>
        <v>0</v>
      </c>
      <c r="T24" s="39">
        <f>'Standing'!$R$82</f>
        <v>0</v>
      </c>
      <c r="U24" s="39">
        <f>'Standing'!$S$82</f>
        <v>0</v>
      </c>
      <c r="V24" s="10"/>
      <c r="W24" s="10"/>
      <c r="X24" s="17"/>
    </row>
    <row r="25" spans="1:24">
      <c r="A25" s="4" t="s">
        <v>193</v>
      </c>
      <c r="B25" s="39">
        <f>'Standing'!$B$83</f>
        <v>0</v>
      </c>
      <c r="C25" s="39">
        <f>'Standing'!$C$83</f>
        <v>0</v>
      </c>
      <c r="D25" s="39">
        <f>'Standing'!$D$83</f>
        <v>0</v>
      </c>
      <c r="E25" s="39">
        <f>'Standing'!$E$83</f>
        <v>0</v>
      </c>
      <c r="F25" s="39">
        <f>'Standing'!$F$83</f>
        <v>0</v>
      </c>
      <c r="G25" s="39">
        <f>'Standing'!$G$83</f>
        <v>0</v>
      </c>
      <c r="H25" s="39">
        <f>'Standing'!$H$83</f>
        <v>0</v>
      </c>
      <c r="I25" s="39">
        <f>'Standing'!$I$83</f>
        <v>0</v>
      </c>
      <c r="J25" s="39">
        <f>'Standing'!$J$83</f>
        <v>0</v>
      </c>
      <c r="K25" s="10"/>
      <c r="L25" s="10"/>
      <c r="M25" s="39">
        <f>'Standing'!$K$83</f>
        <v>0</v>
      </c>
      <c r="N25" s="39">
        <f>'Standing'!$L$83</f>
        <v>0</v>
      </c>
      <c r="O25" s="39">
        <f>'Standing'!$M$83</f>
        <v>0</v>
      </c>
      <c r="P25" s="39">
        <f>'Standing'!$N$83</f>
        <v>0</v>
      </c>
      <c r="Q25" s="39">
        <f>'Standing'!$O$83</f>
        <v>0</v>
      </c>
      <c r="R25" s="39">
        <f>'Standing'!$P$83</f>
        <v>0</v>
      </c>
      <c r="S25" s="39">
        <f>'Standing'!$Q$83</f>
        <v>0</v>
      </c>
      <c r="T25" s="39">
        <f>'Standing'!$R$83</f>
        <v>0</v>
      </c>
      <c r="U25" s="39">
        <f>'Standing'!$S$83</f>
        <v>0</v>
      </c>
      <c r="V25" s="10"/>
      <c r="W25" s="10"/>
      <c r="X25" s="17"/>
    </row>
    <row r="26" spans="1:24">
      <c r="A26" s="4" t="s">
        <v>213</v>
      </c>
      <c r="B26" s="39">
        <f>'Yard'!$B$69</f>
        <v>0</v>
      </c>
      <c r="C26" s="39">
        <f>'Yard'!$C$69</f>
        <v>0</v>
      </c>
      <c r="D26" s="39">
        <f>'Yard'!$D$69</f>
        <v>0</v>
      </c>
      <c r="E26" s="39">
        <f>'Yard'!$E$69</f>
        <v>0</v>
      </c>
      <c r="F26" s="39">
        <f>'Yard'!$F$69</f>
        <v>0</v>
      </c>
      <c r="G26" s="39">
        <f>'Yard'!$G$69</f>
        <v>0</v>
      </c>
      <c r="H26" s="39">
        <f>'Yard'!$H$69</f>
        <v>0</v>
      </c>
      <c r="I26" s="39">
        <f>'Yard'!$I$69</f>
        <v>0</v>
      </c>
      <c r="J26" s="39">
        <f>'Yard'!$J$69</f>
        <v>0</v>
      </c>
      <c r="K26" s="10"/>
      <c r="L26" s="10"/>
      <c r="M26" s="39">
        <f>'Yard'!$K$69</f>
        <v>0</v>
      </c>
      <c r="N26" s="39">
        <f>'Yard'!$L$69</f>
        <v>0</v>
      </c>
      <c r="O26" s="39">
        <f>'Yard'!$M$69</f>
        <v>0</v>
      </c>
      <c r="P26" s="39">
        <f>'Yard'!$N$69</f>
        <v>0</v>
      </c>
      <c r="Q26" s="39">
        <f>'Yard'!$O$69</f>
        <v>0</v>
      </c>
      <c r="R26" s="39">
        <f>'Yard'!$P$69</f>
        <v>0</v>
      </c>
      <c r="S26" s="39">
        <f>'Yard'!$Q$69</f>
        <v>0</v>
      </c>
      <c r="T26" s="39">
        <f>'Yard'!$R$69</f>
        <v>0</v>
      </c>
      <c r="U26" s="39">
        <f>'Yard'!$S$69</f>
        <v>0</v>
      </c>
      <c r="V26" s="39">
        <f>'Otex'!$B$153</f>
        <v>0</v>
      </c>
      <c r="W26" s="10"/>
      <c r="X26" s="17"/>
    </row>
    <row r="27" spans="1:24">
      <c r="A27" s="4" t="s">
        <v>214</v>
      </c>
      <c r="B27" s="39">
        <f>'Yard'!$B$70</f>
        <v>0</v>
      </c>
      <c r="C27" s="39">
        <f>'Yard'!$C$70</f>
        <v>0</v>
      </c>
      <c r="D27" s="39">
        <f>'Yard'!$D$70</f>
        <v>0</v>
      </c>
      <c r="E27" s="39">
        <f>'Yard'!$E$70</f>
        <v>0</v>
      </c>
      <c r="F27" s="39">
        <f>'Yard'!$F$70</f>
        <v>0</v>
      </c>
      <c r="G27" s="39">
        <f>'Yard'!$G$70</f>
        <v>0</v>
      </c>
      <c r="H27" s="39">
        <f>'Yard'!$H$70</f>
        <v>0</v>
      </c>
      <c r="I27" s="39">
        <f>'Yard'!$I$70</f>
        <v>0</v>
      </c>
      <c r="J27" s="39">
        <f>'Yard'!$J$70</f>
        <v>0</v>
      </c>
      <c r="K27" s="10"/>
      <c r="L27" s="10"/>
      <c r="M27" s="39">
        <f>'Yard'!$K$70</f>
        <v>0</v>
      </c>
      <c r="N27" s="39">
        <f>'Yard'!$L$70</f>
        <v>0</v>
      </c>
      <c r="O27" s="39">
        <f>'Yard'!$M$70</f>
        <v>0</v>
      </c>
      <c r="P27" s="39">
        <f>'Yard'!$N$70</f>
        <v>0</v>
      </c>
      <c r="Q27" s="39">
        <f>'Yard'!$O$70</f>
        <v>0</v>
      </c>
      <c r="R27" s="39">
        <f>'Yard'!$P$70</f>
        <v>0</v>
      </c>
      <c r="S27" s="39">
        <f>'Yard'!$Q$70</f>
        <v>0</v>
      </c>
      <c r="T27" s="39">
        <f>'Yard'!$R$70</f>
        <v>0</v>
      </c>
      <c r="U27" s="39">
        <f>'Yard'!$S$70</f>
        <v>0</v>
      </c>
      <c r="V27" s="39">
        <f>'Otex'!$B$154</f>
        <v>0</v>
      </c>
      <c r="W27" s="10"/>
      <c r="X27" s="17"/>
    </row>
    <row r="28" spans="1:24">
      <c r="A28" s="4" t="s">
        <v>215</v>
      </c>
      <c r="B28" s="39">
        <f>'Yard'!$B$71</f>
        <v>0</v>
      </c>
      <c r="C28" s="39">
        <f>'Yard'!$C$71</f>
        <v>0</v>
      </c>
      <c r="D28" s="39">
        <f>'Yard'!$D$71</f>
        <v>0</v>
      </c>
      <c r="E28" s="39">
        <f>'Yard'!$E$71</f>
        <v>0</v>
      </c>
      <c r="F28" s="39">
        <f>'Yard'!$F$71</f>
        <v>0</v>
      </c>
      <c r="G28" s="39">
        <f>'Yard'!$G$71</f>
        <v>0</v>
      </c>
      <c r="H28" s="39">
        <f>'Yard'!$H$71</f>
        <v>0</v>
      </c>
      <c r="I28" s="39">
        <f>'Yard'!$I$71</f>
        <v>0</v>
      </c>
      <c r="J28" s="39">
        <f>'Yard'!$J$71</f>
        <v>0</v>
      </c>
      <c r="K28" s="10"/>
      <c r="L28" s="10"/>
      <c r="M28" s="39">
        <f>'Yard'!$K$71</f>
        <v>0</v>
      </c>
      <c r="N28" s="39">
        <f>'Yard'!$L$71</f>
        <v>0</v>
      </c>
      <c r="O28" s="39">
        <f>'Yard'!$M$71</f>
        <v>0</v>
      </c>
      <c r="P28" s="39">
        <f>'Yard'!$N$71</f>
        <v>0</v>
      </c>
      <c r="Q28" s="39">
        <f>'Yard'!$O$71</f>
        <v>0</v>
      </c>
      <c r="R28" s="39">
        <f>'Yard'!$P$71</f>
        <v>0</v>
      </c>
      <c r="S28" s="39">
        <f>'Yard'!$Q$71</f>
        <v>0</v>
      </c>
      <c r="T28" s="39">
        <f>'Yard'!$R$71</f>
        <v>0</v>
      </c>
      <c r="U28" s="39">
        <f>'Yard'!$S$71</f>
        <v>0</v>
      </c>
      <c r="V28" s="39">
        <f>'Otex'!$B$155</f>
        <v>0</v>
      </c>
      <c r="W28" s="10"/>
      <c r="X28" s="17"/>
    </row>
    <row r="29" spans="1:24">
      <c r="A29" s="4" t="s">
        <v>216</v>
      </c>
      <c r="B29" s="39">
        <f>'Yard'!$B$72</f>
        <v>0</v>
      </c>
      <c r="C29" s="39">
        <f>'Yard'!$C$72</f>
        <v>0</v>
      </c>
      <c r="D29" s="39">
        <f>'Yard'!$D$72</f>
        <v>0</v>
      </c>
      <c r="E29" s="39">
        <f>'Yard'!$E$72</f>
        <v>0</v>
      </c>
      <c r="F29" s="39">
        <f>'Yard'!$F$72</f>
        <v>0</v>
      </c>
      <c r="G29" s="39">
        <f>'Yard'!$G$72</f>
        <v>0</v>
      </c>
      <c r="H29" s="39">
        <f>'Yard'!$H$72</f>
        <v>0</v>
      </c>
      <c r="I29" s="39">
        <f>'Yard'!$I$72</f>
        <v>0</v>
      </c>
      <c r="J29" s="39">
        <f>'Yard'!$J$72</f>
        <v>0</v>
      </c>
      <c r="K29" s="10"/>
      <c r="L29" s="10"/>
      <c r="M29" s="39">
        <f>'Yard'!$K$72</f>
        <v>0</v>
      </c>
      <c r="N29" s="39">
        <f>'Yard'!$L$72</f>
        <v>0</v>
      </c>
      <c r="O29" s="39">
        <f>'Yard'!$M$72</f>
        <v>0</v>
      </c>
      <c r="P29" s="39">
        <f>'Yard'!$N$72</f>
        <v>0</v>
      </c>
      <c r="Q29" s="39">
        <f>'Yard'!$O$72</f>
        <v>0</v>
      </c>
      <c r="R29" s="39">
        <f>'Yard'!$P$72</f>
        <v>0</v>
      </c>
      <c r="S29" s="39">
        <f>'Yard'!$Q$72</f>
        <v>0</v>
      </c>
      <c r="T29" s="39">
        <f>'Yard'!$R$72</f>
        <v>0</v>
      </c>
      <c r="U29" s="39">
        <f>'Yard'!$S$72</f>
        <v>0</v>
      </c>
      <c r="V29" s="39">
        <f>'Otex'!$B$156</f>
        <v>0</v>
      </c>
      <c r="W29" s="10"/>
      <c r="X29" s="17"/>
    </row>
    <row r="30" spans="1:24">
      <c r="A30" s="4" t="s">
        <v>217</v>
      </c>
      <c r="B30" s="39">
        <f>'Yard'!$B$73</f>
        <v>0</v>
      </c>
      <c r="C30" s="39">
        <f>'Yard'!$C$73</f>
        <v>0</v>
      </c>
      <c r="D30" s="39">
        <f>'Yard'!$D$73</f>
        <v>0</v>
      </c>
      <c r="E30" s="39">
        <f>'Yard'!$E$73</f>
        <v>0</v>
      </c>
      <c r="F30" s="39">
        <f>'Yard'!$F$73</f>
        <v>0</v>
      </c>
      <c r="G30" s="39">
        <f>'Yard'!$G$73</f>
        <v>0</v>
      </c>
      <c r="H30" s="39">
        <f>'Yard'!$H$73</f>
        <v>0</v>
      </c>
      <c r="I30" s="39">
        <f>'Yard'!$I$73</f>
        <v>0</v>
      </c>
      <c r="J30" s="39">
        <f>'Yard'!$J$73</f>
        <v>0</v>
      </c>
      <c r="K30" s="10"/>
      <c r="L30" s="10"/>
      <c r="M30" s="39">
        <f>'Yard'!$K$73</f>
        <v>0</v>
      </c>
      <c r="N30" s="39">
        <f>'Yard'!$L$73</f>
        <v>0</v>
      </c>
      <c r="O30" s="39">
        <f>'Yard'!$M$73</f>
        <v>0</v>
      </c>
      <c r="P30" s="39">
        <f>'Yard'!$N$73</f>
        <v>0</v>
      </c>
      <c r="Q30" s="39">
        <f>'Yard'!$O$73</f>
        <v>0</v>
      </c>
      <c r="R30" s="39">
        <f>'Yard'!$P$73</f>
        <v>0</v>
      </c>
      <c r="S30" s="39">
        <f>'Yard'!$Q$73</f>
        <v>0</v>
      </c>
      <c r="T30" s="39">
        <f>'Yard'!$R$73</f>
        <v>0</v>
      </c>
      <c r="U30" s="39">
        <f>'Yard'!$S$73</f>
        <v>0</v>
      </c>
      <c r="V30" s="39">
        <f>'Otex'!$B$157</f>
        <v>0</v>
      </c>
      <c r="W30" s="10"/>
      <c r="X30" s="17"/>
    </row>
    <row r="31" spans="1:24">
      <c r="A31" s="4" t="s">
        <v>182</v>
      </c>
      <c r="B31" s="39">
        <f>'Yard'!$B$39</f>
        <v>0</v>
      </c>
      <c r="C31" s="39">
        <f>'Yard'!$C$39</f>
        <v>0</v>
      </c>
      <c r="D31" s="39">
        <f>'Yard'!$D$39</f>
        <v>0</v>
      </c>
      <c r="E31" s="39">
        <f>'Yard'!$E$39</f>
        <v>0</v>
      </c>
      <c r="F31" s="39">
        <f>'Yard'!$F$39</f>
        <v>0</v>
      </c>
      <c r="G31" s="39">
        <f>'Yard'!$G$39</f>
        <v>0</v>
      </c>
      <c r="H31" s="39">
        <f>'Yard'!$H$39</f>
        <v>0</v>
      </c>
      <c r="I31" s="39">
        <f>'Yard'!$I$39</f>
        <v>0</v>
      </c>
      <c r="J31" s="39">
        <f>'Yard'!$J$39</f>
        <v>0</v>
      </c>
      <c r="K31" s="10"/>
      <c r="L31" s="10"/>
      <c r="M31" s="39">
        <f>'Yard'!$K$39</f>
        <v>0</v>
      </c>
      <c r="N31" s="39">
        <f>'Yard'!$L$39</f>
        <v>0</v>
      </c>
      <c r="O31" s="39">
        <f>'Yard'!$M$39</f>
        <v>0</v>
      </c>
      <c r="P31" s="39">
        <f>'Yard'!$N$39</f>
        <v>0</v>
      </c>
      <c r="Q31" s="39">
        <f>'Yard'!$O$39</f>
        <v>0</v>
      </c>
      <c r="R31" s="39">
        <f>'Yard'!$P$39</f>
        <v>0</v>
      </c>
      <c r="S31" s="39">
        <f>'Yard'!$Q$39</f>
        <v>0</v>
      </c>
      <c r="T31" s="39">
        <f>'Yard'!$R$39</f>
        <v>0</v>
      </c>
      <c r="U31" s="39">
        <f>'Yard'!$S$39</f>
        <v>0</v>
      </c>
      <c r="V31" s="10"/>
      <c r="W31" s="10"/>
      <c r="X31" s="17"/>
    </row>
    <row r="32" spans="1:24">
      <c r="A32" s="4" t="s">
        <v>183</v>
      </c>
      <c r="B32" s="39">
        <f>'Yard'!$B$40</f>
        <v>0</v>
      </c>
      <c r="C32" s="39">
        <f>'Yard'!$C$40</f>
        <v>0</v>
      </c>
      <c r="D32" s="39">
        <f>'Yard'!$D$40</f>
        <v>0</v>
      </c>
      <c r="E32" s="39">
        <f>'Yard'!$E$40</f>
        <v>0</v>
      </c>
      <c r="F32" s="39">
        <f>'Yard'!$F$40</f>
        <v>0</v>
      </c>
      <c r="G32" s="39">
        <f>'Yard'!$G$40</f>
        <v>0</v>
      </c>
      <c r="H32" s="39">
        <f>'Yard'!$H$40</f>
        <v>0</v>
      </c>
      <c r="I32" s="39">
        <f>'Yard'!$I$40</f>
        <v>0</v>
      </c>
      <c r="J32" s="39">
        <f>'Yard'!$J$40</f>
        <v>0</v>
      </c>
      <c r="K32" s="10"/>
      <c r="L32" s="10"/>
      <c r="M32" s="39">
        <f>'Yard'!$K$40</f>
        <v>0</v>
      </c>
      <c r="N32" s="39">
        <f>'Yard'!$L$40</f>
        <v>0</v>
      </c>
      <c r="O32" s="39">
        <f>'Yard'!$M$40</f>
        <v>0</v>
      </c>
      <c r="P32" s="39">
        <f>'Yard'!$N$40</f>
        <v>0</v>
      </c>
      <c r="Q32" s="39">
        <f>'Yard'!$O$40</f>
        <v>0</v>
      </c>
      <c r="R32" s="39">
        <f>'Yard'!$P$40</f>
        <v>0</v>
      </c>
      <c r="S32" s="39">
        <f>'Yard'!$Q$40</f>
        <v>0</v>
      </c>
      <c r="T32" s="39">
        <f>'Yard'!$R$40</f>
        <v>0</v>
      </c>
      <c r="U32" s="39">
        <f>'Yard'!$S$40</f>
        <v>0</v>
      </c>
      <c r="V32" s="10"/>
      <c r="W32" s="10"/>
      <c r="X32" s="17"/>
    </row>
    <row r="33" spans="1:24">
      <c r="A33" s="4" t="s">
        <v>184</v>
      </c>
      <c r="B33" s="39">
        <f>'Yard'!$B$41</f>
        <v>0</v>
      </c>
      <c r="C33" s="39">
        <f>'Yard'!$C$41</f>
        <v>0</v>
      </c>
      <c r="D33" s="39">
        <f>'Yard'!$D$41</f>
        <v>0</v>
      </c>
      <c r="E33" s="39">
        <f>'Yard'!$E$41</f>
        <v>0</v>
      </c>
      <c r="F33" s="39">
        <f>'Yard'!$F$41</f>
        <v>0</v>
      </c>
      <c r="G33" s="39">
        <f>'Yard'!$G$41</f>
        <v>0</v>
      </c>
      <c r="H33" s="39">
        <f>'Yard'!$H$41</f>
        <v>0</v>
      </c>
      <c r="I33" s="39">
        <f>'Yard'!$I$41</f>
        <v>0</v>
      </c>
      <c r="J33" s="39">
        <f>'Yard'!$J$41</f>
        <v>0</v>
      </c>
      <c r="K33" s="10"/>
      <c r="L33" s="10"/>
      <c r="M33" s="39">
        <f>'Yard'!$K$41</f>
        <v>0</v>
      </c>
      <c r="N33" s="39">
        <f>'Yard'!$L$41</f>
        <v>0</v>
      </c>
      <c r="O33" s="39">
        <f>'Yard'!$M$41</f>
        <v>0</v>
      </c>
      <c r="P33" s="39">
        <f>'Yard'!$N$41</f>
        <v>0</v>
      </c>
      <c r="Q33" s="39">
        <f>'Yard'!$O$41</f>
        <v>0</v>
      </c>
      <c r="R33" s="39">
        <f>'Yard'!$P$41</f>
        <v>0</v>
      </c>
      <c r="S33" s="39">
        <f>'Yard'!$Q$41</f>
        <v>0</v>
      </c>
      <c r="T33" s="39">
        <f>'Yard'!$R$41</f>
        <v>0</v>
      </c>
      <c r="U33" s="39">
        <f>'Yard'!$S$41</f>
        <v>0</v>
      </c>
      <c r="V33" s="10"/>
      <c r="W33" s="10"/>
      <c r="X33" s="17"/>
    </row>
    <row r="34" spans="1:24">
      <c r="A34" s="4" t="s">
        <v>185</v>
      </c>
      <c r="B34" s="39">
        <f>'Yard'!$B$74</f>
        <v>0</v>
      </c>
      <c r="C34" s="39">
        <f>'Yard'!$C$74</f>
        <v>0</v>
      </c>
      <c r="D34" s="39">
        <f>'Yard'!$D$74</f>
        <v>0</v>
      </c>
      <c r="E34" s="39">
        <f>'Yard'!$E$74</f>
        <v>0</v>
      </c>
      <c r="F34" s="39">
        <f>'Yard'!$F$74</f>
        <v>0</v>
      </c>
      <c r="G34" s="39">
        <f>'Yard'!$G$74</f>
        <v>0</v>
      </c>
      <c r="H34" s="39">
        <f>'Yard'!$H$74</f>
        <v>0</v>
      </c>
      <c r="I34" s="39">
        <f>'Yard'!$I$74</f>
        <v>0</v>
      </c>
      <c r="J34" s="39">
        <f>'Yard'!$J$74</f>
        <v>0</v>
      </c>
      <c r="K34" s="10"/>
      <c r="L34" s="10"/>
      <c r="M34" s="39">
        <f>'Yard'!$K$74</f>
        <v>0</v>
      </c>
      <c r="N34" s="39">
        <f>'Yard'!$L$74</f>
        <v>0</v>
      </c>
      <c r="O34" s="39">
        <f>'Yard'!$M$74</f>
        <v>0</v>
      </c>
      <c r="P34" s="39">
        <f>'Yard'!$N$74</f>
        <v>0</v>
      </c>
      <c r="Q34" s="39">
        <f>'Yard'!$O$74</f>
        <v>0</v>
      </c>
      <c r="R34" s="39">
        <f>'Yard'!$P$74</f>
        <v>0</v>
      </c>
      <c r="S34" s="39">
        <f>'Yard'!$Q$74</f>
        <v>0</v>
      </c>
      <c r="T34" s="39">
        <f>'Yard'!$R$74</f>
        <v>0</v>
      </c>
      <c r="U34" s="39">
        <f>'Yard'!$S$74</f>
        <v>0</v>
      </c>
      <c r="V34" s="10"/>
      <c r="W34" s="10"/>
      <c r="X34" s="17"/>
    </row>
    <row r="35" spans="1:24">
      <c r="A35" s="4" t="s">
        <v>186</v>
      </c>
      <c r="B35" s="39">
        <f>'Yard'!$B$43</f>
        <v>0</v>
      </c>
      <c r="C35" s="39">
        <f>'Yard'!$C$43</f>
        <v>0</v>
      </c>
      <c r="D35" s="39">
        <f>'Yard'!$D$43</f>
        <v>0</v>
      </c>
      <c r="E35" s="39">
        <f>'Yard'!$E$43</f>
        <v>0</v>
      </c>
      <c r="F35" s="39">
        <f>'Yard'!$F$43</f>
        <v>0</v>
      </c>
      <c r="G35" s="39">
        <f>'Yard'!$G$43</f>
        <v>0</v>
      </c>
      <c r="H35" s="39">
        <f>'Yard'!$H$43</f>
        <v>0</v>
      </c>
      <c r="I35" s="39">
        <f>'Yard'!$I$43</f>
        <v>0</v>
      </c>
      <c r="J35" s="39">
        <f>'Yard'!$J$43</f>
        <v>0</v>
      </c>
      <c r="K35" s="10"/>
      <c r="L35" s="10"/>
      <c r="M35" s="39">
        <f>'Yard'!$K$43</f>
        <v>0</v>
      </c>
      <c r="N35" s="39">
        <f>'Yard'!$L$43</f>
        <v>0</v>
      </c>
      <c r="O35" s="39">
        <f>'Yard'!$M$43</f>
        <v>0</v>
      </c>
      <c r="P35" s="39">
        <f>'Yard'!$N$43</f>
        <v>0</v>
      </c>
      <c r="Q35" s="39">
        <f>'Yard'!$O$43</f>
        <v>0</v>
      </c>
      <c r="R35" s="39">
        <f>'Yard'!$P$43</f>
        <v>0</v>
      </c>
      <c r="S35" s="39">
        <f>'Yard'!$Q$43</f>
        <v>0</v>
      </c>
      <c r="T35" s="39">
        <f>'Yard'!$R$43</f>
        <v>0</v>
      </c>
      <c r="U35" s="39">
        <f>'Yard'!$S$43</f>
        <v>0</v>
      </c>
      <c r="V35" s="10"/>
      <c r="W35" s="10"/>
      <c r="X35" s="17"/>
    </row>
    <row r="36" spans="1:24">
      <c r="A36" s="4" t="s">
        <v>187</v>
      </c>
      <c r="B36" s="39">
        <f>'Yard'!$B$75</f>
        <v>0</v>
      </c>
      <c r="C36" s="39">
        <f>'Yard'!$C$75</f>
        <v>0</v>
      </c>
      <c r="D36" s="39">
        <f>'Yard'!$D$75</f>
        <v>0</v>
      </c>
      <c r="E36" s="39">
        <f>'Yard'!$E$75</f>
        <v>0</v>
      </c>
      <c r="F36" s="39">
        <f>'Yard'!$F$75</f>
        <v>0</v>
      </c>
      <c r="G36" s="39">
        <f>'Yard'!$G$75</f>
        <v>0</v>
      </c>
      <c r="H36" s="39">
        <f>'Yard'!$H$75</f>
        <v>0</v>
      </c>
      <c r="I36" s="39">
        <f>'Yard'!$I$75</f>
        <v>0</v>
      </c>
      <c r="J36" s="39">
        <f>'Yard'!$J$75</f>
        <v>0</v>
      </c>
      <c r="K36" s="10"/>
      <c r="L36" s="10"/>
      <c r="M36" s="39">
        <f>'Yard'!$K$75</f>
        <v>0</v>
      </c>
      <c r="N36" s="39">
        <f>'Yard'!$L$75</f>
        <v>0</v>
      </c>
      <c r="O36" s="39">
        <f>'Yard'!$M$75</f>
        <v>0</v>
      </c>
      <c r="P36" s="39">
        <f>'Yard'!$N$75</f>
        <v>0</v>
      </c>
      <c r="Q36" s="39">
        <f>'Yard'!$O$75</f>
        <v>0</v>
      </c>
      <c r="R36" s="39">
        <f>'Yard'!$P$75</f>
        <v>0</v>
      </c>
      <c r="S36" s="39">
        <f>'Yard'!$Q$75</f>
        <v>0</v>
      </c>
      <c r="T36" s="39">
        <f>'Yard'!$R$75</f>
        <v>0</v>
      </c>
      <c r="U36" s="39">
        <f>'Yard'!$S$75</f>
        <v>0</v>
      </c>
      <c r="V36" s="10"/>
      <c r="W36" s="10"/>
      <c r="X36" s="17"/>
    </row>
    <row r="37" spans="1:24">
      <c r="A37" s="4" t="s">
        <v>194</v>
      </c>
      <c r="B37" s="39">
        <f>'Yard'!$B$45</f>
        <v>0</v>
      </c>
      <c r="C37" s="39">
        <f>'Yard'!$C$45</f>
        <v>0</v>
      </c>
      <c r="D37" s="39">
        <f>'Yard'!$D$45</f>
        <v>0</v>
      </c>
      <c r="E37" s="39">
        <f>'Yard'!$E$45</f>
        <v>0</v>
      </c>
      <c r="F37" s="39">
        <f>'Yard'!$F$45</f>
        <v>0</v>
      </c>
      <c r="G37" s="39">
        <f>'Yard'!$G$45</f>
        <v>0</v>
      </c>
      <c r="H37" s="39">
        <f>'Yard'!$H$45</f>
        <v>0</v>
      </c>
      <c r="I37" s="39">
        <f>'Yard'!$I$45</f>
        <v>0</v>
      </c>
      <c r="J37" s="39">
        <f>'Yard'!$J$45</f>
        <v>0</v>
      </c>
      <c r="K37" s="10"/>
      <c r="L37" s="10"/>
      <c r="M37" s="39">
        <f>'Yard'!$K$45</f>
        <v>0</v>
      </c>
      <c r="N37" s="39">
        <f>'Yard'!$L$45</f>
        <v>0</v>
      </c>
      <c r="O37" s="39">
        <f>'Yard'!$M$45</f>
        <v>0</v>
      </c>
      <c r="P37" s="39">
        <f>'Yard'!$N$45</f>
        <v>0</v>
      </c>
      <c r="Q37" s="39">
        <f>'Yard'!$O$45</f>
        <v>0</v>
      </c>
      <c r="R37" s="39">
        <f>'Yard'!$P$45</f>
        <v>0</v>
      </c>
      <c r="S37" s="39">
        <f>'Yard'!$Q$45</f>
        <v>0</v>
      </c>
      <c r="T37" s="39">
        <f>'Yard'!$R$45</f>
        <v>0</v>
      </c>
      <c r="U37" s="39">
        <f>'Yard'!$S$45</f>
        <v>0</v>
      </c>
      <c r="V37" s="10"/>
      <c r="W37" s="10"/>
      <c r="X37" s="17"/>
    </row>
    <row r="38" spans="1:24">
      <c r="A38" s="4" t="s">
        <v>195</v>
      </c>
      <c r="B38" s="39">
        <f>'Yard'!$B$76</f>
        <v>0</v>
      </c>
      <c r="C38" s="39">
        <f>'Yard'!$C$76</f>
        <v>0</v>
      </c>
      <c r="D38" s="39">
        <f>'Yard'!$D$76</f>
        <v>0</v>
      </c>
      <c r="E38" s="39">
        <f>'Yard'!$E$76</f>
        <v>0</v>
      </c>
      <c r="F38" s="39">
        <f>'Yard'!$F$76</f>
        <v>0</v>
      </c>
      <c r="G38" s="39">
        <f>'Yard'!$G$76</f>
        <v>0</v>
      </c>
      <c r="H38" s="39">
        <f>'Yard'!$H$76</f>
        <v>0</v>
      </c>
      <c r="I38" s="39">
        <f>'Yard'!$I$76</f>
        <v>0</v>
      </c>
      <c r="J38" s="39">
        <f>'Yard'!$J$76</f>
        <v>0</v>
      </c>
      <c r="K38" s="10"/>
      <c r="L38" s="10"/>
      <c r="M38" s="39">
        <f>'Yard'!$K$76</f>
        <v>0</v>
      </c>
      <c r="N38" s="39">
        <f>'Yard'!$L$76</f>
        <v>0</v>
      </c>
      <c r="O38" s="39">
        <f>'Yard'!$M$76</f>
        <v>0</v>
      </c>
      <c r="P38" s="39">
        <f>'Yard'!$N$76</f>
        <v>0</v>
      </c>
      <c r="Q38" s="39">
        <f>'Yard'!$O$76</f>
        <v>0</v>
      </c>
      <c r="R38" s="39">
        <f>'Yard'!$P$76</f>
        <v>0</v>
      </c>
      <c r="S38" s="39">
        <f>'Yard'!$Q$76</f>
        <v>0</v>
      </c>
      <c r="T38" s="39">
        <f>'Yard'!$R$76</f>
        <v>0</v>
      </c>
      <c r="U38" s="39">
        <f>'Yard'!$S$76</f>
        <v>0</v>
      </c>
      <c r="V38" s="10"/>
      <c r="W38" s="10"/>
      <c r="X38" s="17"/>
    </row>
    <row r="40" spans="1:24" ht="21" customHeight="1">
      <c r="A40" s="1" t="s">
        <v>1064</v>
      </c>
    </row>
    <row r="41" spans="1:24">
      <c r="A41" s="2" t="s">
        <v>351</v>
      </c>
    </row>
    <row r="42" spans="1:24">
      <c r="A42" s="33" t="s">
        <v>1065</v>
      </c>
    </row>
    <row r="43" spans="1:24">
      <c r="A43" s="33" t="s">
        <v>1066</v>
      </c>
    </row>
    <row r="44" spans="1:24">
      <c r="A44" s="33" t="s">
        <v>1067</v>
      </c>
    </row>
    <row r="45" spans="1:24">
      <c r="A45" s="33" t="s">
        <v>1068</v>
      </c>
    </row>
    <row r="46" spans="1:24">
      <c r="A46" s="33" t="s">
        <v>1069</v>
      </c>
    </row>
    <row r="47" spans="1:24">
      <c r="A47" s="2" t="s">
        <v>440</v>
      </c>
    </row>
    <row r="49" spans="1:24">
      <c r="B49" s="15" t="s">
        <v>142</v>
      </c>
      <c r="C49" s="15" t="s">
        <v>306</v>
      </c>
      <c r="D49" s="15" t="s">
        <v>307</v>
      </c>
      <c r="E49" s="15" t="s">
        <v>308</v>
      </c>
      <c r="F49" s="15" t="s">
        <v>309</v>
      </c>
      <c r="G49" s="15" t="s">
        <v>310</v>
      </c>
      <c r="H49" s="15" t="s">
        <v>311</v>
      </c>
      <c r="I49" s="15" t="s">
        <v>312</v>
      </c>
      <c r="J49" s="15" t="s">
        <v>313</v>
      </c>
      <c r="K49" s="15" t="s">
        <v>463</v>
      </c>
      <c r="L49" s="15" t="s">
        <v>475</v>
      </c>
      <c r="M49" s="15" t="s">
        <v>294</v>
      </c>
      <c r="N49" s="15" t="s">
        <v>877</v>
      </c>
      <c r="O49" s="15" t="s">
        <v>878</v>
      </c>
      <c r="P49" s="15" t="s">
        <v>879</v>
      </c>
      <c r="Q49" s="15" t="s">
        <v>880</v>
      </c>
      <c r="R49" s="15" t="s">
        <v>881</v>
      </c>
      <c r="S49" s="15" t="s">
        <v>882</v>
      </c>
      <c r="T49" s="15" t="s">
        <v>883</v>
      </c>
      <c r="U49" s="15" t="s">
        <v>884</v>
      </c>
      <c r="V49" s="15" t="s">
        <v>885</v>
      </c>
      <c r="W49" s="15" t="s">
        <v>886</v>
      </c>
    </row>
    <row r="50" spans="1:24">
      <c r="A50" s="4" t="s">
        <v>174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7"/>
    </row>
    <row r="51" spans="1:24">
      <c r="A51" s="4" t="s">
        <v>175</v>
      </c>
      <c r="B51" s="39">
        <f>'Standing'!$B$97</f>
        <v>0</v>
      </c>
      <c r="C51" s="39">
        <f>'Standing'!$C$97</f>
        <v>0</v>
      </c>
      <c r="D51" s="39">
        <f>'Standing'!$D$97</f>
        <v>0</v>
      </c>
      <c r="E51" s="39">
        <f>'Standing'!$E$97</f>
        <v>0</v>
      </c>
      <c r="F51" s="39">
        <f>'Standing'!$F$97</f>
        <v>0</v>
      </c>
      <c r="G51" s="39">
        <f>'Standing'!$G$97</f>
        <v>0</v>
      </c>
      <c r="H51" s="39">
        <f>'Standing'!$H$97</f>
        <v>0</v>
      </c>
      <c r="I51" s="39">
        <f>'Standing'!$I$97</f>
        <v>0</v>
      </c>
      <c r="J51" s="39">
        <f>'Standing'!$J$97</f>
        <v>0</v>
      </c>
      <c r="K51" s="10"/>
      <c r="L51" s="10"/>
      <c r="M51" s="39">
        <f>'Standing'!$K$97</f>
        <v>0</v>
      </c>
      <c r="N51" s="39">
        <f>'Standing'!$L$97</f>
        <v>0</v>
      </c>
      <c r="O51" s="39">
        <f>'Standing'!$M$97</f>
        <v>0</v>
      </c>
      <c r="P51" s="39">
        <f>'Standing'!$N$97</f>
        <v>0</v>
      </c>
      <c r="Q51" s="39">
        <f>'Standing'!$O$97</f>
        <v>0</v>
      </c>
      <c r="R51" s="39">
        <f>'Standing'!$P$97</f>
        <v>0</v>
      </c>
      <c r="S51" s="39">
        <f>'Standing'!$Q$97</f>
        <v>0</v>
      </c>
      <c r="T51" s="39">
        <f>'Standing'!$R$97</f>
        <v>0</v>
      </c>
      <c r="U51" s="39">
        <f>'Standing'!$S$97</f>
        <v>0</v>
      </c>
      <c r="V51" s="10"/>
      <c r="W51" s="10"/>
      <c r="X51" s="17"/>
    </row>
    <row r="52" spans="1:24">
      <c r="A52" s="4" t="s">
        <v>211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7"/>
    </row>
    <row r="53" spans="1:24">
      <c r="A53" s="4" t="s">
        <v>176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7"/>
    </row>
    <row r="54" spans="1:24">
      <c r="A54" s="4" t="s">
        <v>177</v>
      </c>
      <c r="B54" s="39">
        <f>'Standing'!$B$98</f>
        <v>0</v>
      </c>
      <c r="C54" s="39">
        <f>'Standing'!$C$98</f>
        <v>0</v>
      </c>
      <c r="D54" s="39">
        <f>'Standing'!$D$98</f>
        <v>0</v>
      </c>
      <c r="E54" s="39">
        <f>'Standing'!$E$98</f>
        <v>0</v>
      </c>
      <c r="F54" s="39">
        <f>'Standing'!$F$98</f>
        <v>0</v>
      </c>
      <c r="G54" s="39">
        <f>'Standing'!$G$98</f>
        <v>0</v>
      </c>
      <c r="H54" s="39">
        <f>'Standing'!$H$98</f>
        <v>0</v>
      </c>
      <c r="I54" s="39">
        <f>'Standing'!$I$98</f>
        <v>0</v>
      </c>
      <c r="J54" s="39">
        <f>'Standing'!$J$98</f>
        <v>0</v>
      </c>
      <c r="K54" s="10"/>
      <c r="L54" s="10"/>
      <c r="M54" s="39">
        <f>'Standing'!$K$98</f>
        <v>0</v>
      </c>
      <c r="N54" s="39">
        <f>'Standing'!$L$98</f>
        <v>0</v>
      </c>
      <c r="O54" s="39">
        <f>'Standing'!$M$98</f>
        <v>0</v>
      </c>
      <c r="P54" s="39">
        <f>'Standing'!$N$98</f>
        <v>0</v>
      </c>
      <c r="Q54" s="39">
        <f>'Standing'!$O$98</f>
        <v>0</v>
      </c>
      <c r="R54" s="39">
        <f>'Standing'!$P$98</f>
        <v>0</v>
      </c>
      <c r="S54" s="39">
        <f>'Standing'!$Q$98</f>
        <v>0</v>
      </c>
      <c r="T54" s="39">
        <f>'Standing'!$R$98</f>
        <v>0</v>
      </c>
      <c r="U54" s="39">
        <f>'Standing'!$S$98</f>
        <v>0</v>
      </c>
      <c r="V54" s="10"/>
      <c r="W54" s="10"/>
      <c r="X54" s="17"/>
    </row>
    <row r="55" spans="1:24">
      <c r="A55" s="4" t="s">
        <v>212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7"/>
    </row>
    <row r="56" spans="1:24">
      <c r="A56" s="4" t="s">
        <v>178</v>
      </c>
      <c r="B56" s="39">
        <f>'Standing'!$B$99</f>
        <v>0</v>
      </c>
      <c r="C56" s="39">
        <f>'Standing'!$C$99</f>
        <v>0</v>
      </c>
      <c r="D56" s="39">
        <f>'Standing'!$D$99</f>
        <v>0</v>
      </c>
      <c r="E56" s="39">
        <f>'Standing'!$E$99</f>
        <v>0</v>
      </c>
      <c r="F56" s="39">
        <f>'Standing'!$F$99</f>
        <v>0</v>
      </c>
      <c r="G56" s="39">
        <f>'Standing'!$G$99</f>
        <v>0</v>
      </c>
      <c r="H56" s="39">
        <f>'Standing'!$H$99</f>
        <v>0</v>
      </c>
      <c r="I56" s="39">
        <f>'Standing'!$I$99</f>
        <v>0</v>
      </c>
      <c r="J56" s="39">
        <f>'Standing'!$J$99</f>
        <v>0</v>
      </c>
      <c r="K56" s="10"/>
      <c r="L56" s="10"/>
      <c r="M56" s="39">
        <f>'Standing'!$K$99</f>
        <v>0</v>
      </c>
      <c r="N56" s="39">
        <f>'Standing'!$L$99</f>
        <v>0</v>
      </c>
      <c r="O56" s="39">
        <f>'Standing'!$M$99</f>
        <v>0</v>
      </c>
      <c r="P56" s="39">
        <f>'Standing'!$N$99</f>
        <v>0</v>
      </c>
      <c r="Q56" s="39">
        <f>'Standing'!$O$99</f>
        <v>0</v>
      </c>
      <c r="R56" s="39">
        <f>'Standing'!$P$99</f>
        <v>0</v>
      </c>
      <c r="S56" s="39">
        <f>'Standing'!$Q$99</f>
        <v>0</v>
      </c>
      <c r="T56" s="39">
        <f>'Standing'!$R$99</f>
        <v>0</v>
      </c>
      <c r="U56" s="39">
        <f>'Standing'!$S$99</f>
        <v>0</v>
      </c>
      <c r="V56" s="10"/>
      <c r="W56" s="10"/>
      <c r="X56" s="17"/>
    </row>
    <row r="57" spans="1:24">
      <c r="A57" s="4" t="s">
        <v>179</v>
      </c>
      <c r="B57" s="39">
        <f>'Standing'!$B$100</f>
        <v>0</v>
      </c>
      <c r="C57" s="39">
        <f>'Standing'!$C$100</f>
        <v>0</v>
      </c>
      <c r="D57" s="39">
        <f>'Standing'!$D$100</f>
        <v>0</v>
      </c>
      <c r="E57" s="39">
        <f>'Standing'!$E$100</f>
        <v>0</v>
      </c>
      <c r="F57" s="39">
        <f>'Standing'!$F$100</f>
        <v>0</v>
      </c>
      <c r="G57" s="39">
        <f>'Standing'!$G$100</f>
        <v>0</v>
      </c>
      <c r="H57" s="39">
        <f>'Standing'!$H$100</f>
        <v>0</v>
      </c>
      <c r="I57" s="39">
        <f>'Standing'!$I$100</f>
        <v>0</v>
      </c>
      <c r="J57" s="39">
        <f>'Standing'!$J$100</f>
        <v>0</v>
      </c>
      <c r="K57" s="10"/>
      <c r="L57" s="10"/>
      <c r="M57" s="39">
        <f>'Standing'!$K$100</f>
        <v>0</v>
      </c>
      <c r="N57" s="39">
        <f>'Standing'!$L$100</f>
        <v>0</v>
      </c>
      <c r="O57" s="39">
        <f>'Standing'!$M$100</f>
        <v>0</v>
      </c>
      <c r="P57" s="39">
        <f>'Standing'!$N$100</f>
        <v>0</v>
      </c>
      <c r="Q57" s="39">
        <f>'Standing'!$O$100</f>
        <v>0</v>
      </c>
      <c r="R57" s="39">
        <f>'Standing'!$P$100</f>
        <v>0</v>
      </c>
      <c r="S57" s="39">
        <f>'Standing'!$Q$100</f>
        <v>0</v>
      </c>
      <c r="T57" s="39">
        <f>'Standing'!$R$100</f>
        <v>0</v>
      </c>
      <c r="U57" s="39">
        <f>'Standing'!$S$100</f>
        <v>0</v>
      </c>
      <c r="V57" s="10"/>
      <c r="W57" s="10"/>
      <c r="X57" s="17"/>
    </row>
    <row r="58" spans="1:24">
      <c r="A58" s="4" t="s">
        <v>180</v>
      </c>
      <c r="B58" s="39">
        <f>'Standing'!$B$101</f>
        <v>0</v>
      </c>
      <c r="C58" s="39">
        <f>'Standing'!$C$101</f>
        <v>0</v>
      </c>
      <c r="D58" s="39">
        <f>'Standing'!$D$101</f>
        <v>0</v>
      </c>
      <c r="E58" s="39">
        <f>'Standing'!$E$101</f>
        <v>0</v>
      </c>
      <c r="F58" s="39">
        <f>'Standing'!$F$101</f>
        <v>0</v>
      </c>
      <c r="G58" s="39">
        <f>'Standing'!$G$101</f>
        <v>0</v>
      </c>
      <c r="H58" s="39">
        <f>'Standing'!$H$101</f>
        <v>0</v>
      </c>
      <c r="I58" s="39">
        <f>'Standing'!$I$101</f>
        <v>0</v>
      </c>
      <c r="J58" s="39">
        <f>'Standing'!$J$101</f>
        <v>0</v>
      </c>
      <c r="K58" s="10"/>
      <c r="L58" s="10"/>
      <c r="M58" s="39">
        <f>'Standing'!$K$101</f>
        <v>0</v>
      </c>
      <c r="N58" s="39">
        <f>'Standing'!$L$101</f>
        <v>0</v>
      </c>
      <c r="O58" s="39">
        <f>'Standing'!$M$101</f>
        <v>0</v>
      </c>
      <c r="P58" s="39">
        <f>'Standing'!$N$101</f>
        <v>0</v>
      </c>
      <c r="Q58" s="39">
        <f>'Standing'!$O$101</f>
        <v>0</v>
      </c>
      <c r="R58" s="39">
        <f>'Standing'!$P$101</f>
        <v>0</v>
      </c>
      <c r="S58" s="39">
        <f>'Standing'!$Q$101</f>
        <v>0</v>
      </c>
      <c r="T58" s="39">
        <f>'Standing'!$R$101</f>
        <v>0</v>
      </c>
      <c r="U58" s="39">
        <f>'Standing'!$S$101</f>
        <v>0</v>
      </c>
      <c r="V58" s="10"/>
      <c r="W58" s="10"/>
      <c r="X58" s="17"/>
    </row>
    <row r="59" spans="1:24">
      <c r="A59" s="4" t="s">
        <v>181</v>
      </c>
      <c r="B59" s="39">
        <f>'Standing'!$B$102</f>
        <v>0</v>
      </c>
      <c r="C59" s="39">
        <f>'Standing'!$C$102</f>
        <v>0</v>
      </c>
      <c r="D59" s="39">
        <f>'Standing'!$D$102</f>
        <v>0</v>
      </c>
      <c r="E59" s="39">
        <f>'Standing'!$E$102</f>
        <v>0</v>
      </c>
      <c r="F59" s="39">
        <f>'Standing'!$F$102</f>
        <v>0</v>
      </c>
      <c r="G59" s="39">
        <f>'Standing'!$G$102</f>
        <v>0</v>
      </c>
      <c r="H59" s="39">
        <f>'Standing'!$H$102</f>
        <v>0</v>
      </c>
      <c r="I59" s="39">
        <f>'Standing'!$I$102</f>
        <v>0</v>
      </c>
      <c r="J59" s="39">
        <f>'Standing'!$J$102</f>
        <v>0</v>
      </c>
      <c r="K59" s="10"/>
      <c r="L59" s="10"/>
      <c r="M59" s="39">
        <f>'Standing'!$K$102</f>
        <v>0</v>
      </c>
      <c r="N59" s="39">
        <f>'Standing'!$L$102</f>
        <v>0</v>
      </c>
      <c r="O59" s="39">
        <f>'Standing'!$M$102</f>
        <v>0</v>
      </c>
      <c r="P59" s="39">
        <f>'Standing'!$N$102</f>
        <v>0</v>
      </c>
      <c r="Q59" s="39">
        <f>'Standing'!$O$102</f>
        <v>0</v>
      </c>
      <c r="R59" s="39">
        <f>'Standing'!$P$102</f>
        <v>0</v>
      </c>
      <c r="S59" s="39">
        <f>'Standing'!$Q$102</f>
        <v>0</v>
      </c>
      <c r="T59" s="39">
        <f>'Standing'!$R$102</f>
        <v>0</v>
      </c>
      <c r="U59" s="39">
        <f>'Standing'!$S$102</f>
        <v>0</v>
      </c>
      <c r="V59" s="10"/>
      <c r="W59" s="10"/>
      <c r="X59" s="17"/>
    </row>
    <row r="60" spans="1:24">
      <c r="A60" s="4" t="s">
        <v>193</v>
      </c>
      <c r="B60" s="39">
        <f>'Standing'!$B$103</f>
        <v>0</v>
      </c>
      <c r="C60" s="39">
        <f>'Standing'!$C$103</f>
        <v>0</v>
      </c>
      <c r="D60" s="39">
        <f>'Standing'!$D$103</f>
        <v>0</v>
      </c>
      <c r="E60" s="39">
        <f>'Standing'!$E$103</f>
        <v>0</v>
      </c>
      <c r="F60" s="39">
        <f>'Standing'!$F$103</f>
        <v>0</v>
      </c>
      <c r="G60" s="39">
        <f>'Standing'!$G$103</f>
        <v>0</v>
      </c>
      <c r="H60" s="39">
        <f>'Standing'!$H$103</f>
        <v>0</v>
      </c>
      <c r="I60" s="39">
        <f>'Standing'!$I$103</f>
        <v>0</v>
      </c>
      <c r="J60" s="39">
        <f>'Standing'!$J$103</f>
        <v>0</v>
      </c>
      <c r="K60" s="10"/>
      <c r="L60" s="10"/>
      <c r="M60" s="39">
        <f>'Standing'!$K$103</f>
        <v>0</v>
      </c>
      <c r="N60" s="39">
        <f>'Standing'!$L$103</f>
        <v>0</v>
      </c>
      <c r="O60" s="39">
        <f>'Standing'!$M$103</f>
        <v>0</v>
      </c>
      <c r="P60" s="39">
        <f>'Standing'!$N$103</f>
        <v>0</v>
      </c>
      <c r="Q60" s="39">
        <f>'Standing'!$O$103</f>
        <v>0</v>
      </c>
      <c r="R60" s="39">
        <f>'Standing'!$P$103</f>
        <v>0</v>
      </c>
      <c r="S60" s="39">
        <f>'Standing'!$Q$103</f>
        <v>0</v>
      </c>
      <c r="T60" s="39">
        <f>'Standing'!$R$103</f>
        <v>0</v>
      </c>
      <c r="U60" s="39">
        <f>'Standing'!$S$103</f>
        <v>0</v>
      </c>
      <c r="V60" s="10"/>
      <c r="W60" s="10"/>
      <c r="X60" s="17"/>
    </row>
    <row r="61" spans="1:24">
      <c r="A61" s="4" t="s">
        <v>213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7"/>
    </row>
    <row r="62" spans="1:24">
      <c r="A62" s="4" t="s">
        <v>214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7"/>
    </row>
    <row r="63" spans="1:24">
      <c r="A63" s="4" t="s">
        <v>215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7"/>
    </row>
    <row r="64" spans="1:24">
      <c r="A64" s="4" t="s">
        <v>216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7"/>
    </row>
    <row r="65" spans="1:24">
      <c r="A65" s="4" t="s">
        <v>217</v>
      </c>
      <c r="B65" s="39">
        <f>'Yard'!$B$95</f>
        <v>0</v>
      </c>
      <c r="C65" s="39">
        <f>'Yard'!$C$95</f>
        <v>0</v>
      </c>
      <c r="D65" s="39">
        <f>'Yard'!$D$95</f>
        <v>0</v>
      </c>
      <c r="E65" s="39">
        <f>'Yard'!$E$95</f>
        <v>0</v>
      </c>
      <c r="F65" s="39">
        <f>'Yard'!$F$95</f>
        <v>0</v>
      </c>
      <c r="G65" s="39">
        <f>'Yard'!$G$95</f>
        <v>0</v>
      </c>
      <c r="H65" s="39">
        <f>'Yard'!$H$95</f>
        <v>0</v>
      </c>
      <c r="I65" s="39">
        <f>'Yard'!$I$95</f>
        <v>0</v>
      </c>
      <c r="J65" s="39">
        <f>'Yard'!$J$95</f>
        <v>0</v>
      </c>
      <c r="K65" s="10"/>
      <c r="L65" s="10"/>
      <c r="M65" s="39">
        <f>'Yard'!$K$95</f>
        <v>0</v>
      </c>
      <c r="N65" s="39">
        <f>'Yard'!$L$95</f>
        <v>0</v>
      </c>
      <c r="O65" s="39">
        <f>'Yard'!$M$95</f>
        <v>0</v>
      </c>
      <c r="P65" s="39">
        <f>'Yard'!$N$95</f>
        <v>0</v>
      </c>
      <c r="Q65" s="39">
        <f>'Yard'!$O$95</f>
        <v>0</v>
      </c>
      <c r="R65" s="39">
        <f>'Yard'!$P$95</f>
        <v>0</v>
      </c>
      <c r="S65" s="39">
        <f>'Yard'!$Q$95</f>
        <v>0</v>
      </c>
      <c r="T65" s="39">
        <f>'Yard'!$R$95</f>
        <v>0</v>
      </c>
      <c r="U65" s="39">
        <f>'Yard'!$S$95</f>
        <v>0</v>
      </c>
      <c r="V65" s="39">
        <f>'Otex'!$B$157</f>
        <v>0</v>
      </c>
      <c r="W65" s="10"/>
      <c r="X65" s="17"/>
    </row>
    <row r="66" spans="1:24">
      <c r="A66" s="4" t="s">
        <v>182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7"/>
    </row>
    <row r="67" spans="1:24">
      <c r="A67" s="4" t="s">
        <v>183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7"/>
    </row>
    <row r="68" spans="1:24">
      <c r="A68" s="4" t="s">
        <v>184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7"/>
    </row>
    <row r="69" spans="1:24">
      <c r="A69" s="4" t="s">
        <v>185</v>
      </c>
      <c r="B69" s="39">
        <f>'Yard'!$B$96</f>
        <v>0</v>
      </c>
      <c r="C69" s="39">
        <f>'Yard'!$C$96</f>
        <v>0</v>
      </c>
      <c r="D69" s="39">
        <f>'Yard'!$D$96</f>
        <v>0</v>
      </c>
      <c r="E69" s="39">
        <f>'Yard'!$E$96</f>
        <v>0</v>
      </c>
      <c r="F69" s="39">
        <f>'Yard'!$F$96</f>
        <v>0</v>
      </c>
      <c r="G69" s="39">
        <f>'Yard'!$G$96</f>
        <v>0</v>
      </c>
      <c r="H69" s="39">
        <f>'Yard'!$H$96</f>
        <v>0</v>
      </c>
      <c r="I69" s="39">
        <f>'Yard'!$I$96</f>
        <v>0</v>
      </c>
      <c r="J69" s="39">
        <f>'Yard'!$J$96</f>
        <v>0</v>
      </c>
      <c r="K69" s="10"/>
      <c r="L69" s="10"/>
      <c r="M69" s="39">
        <f>'Yard'!$K$96</f>
        <v>0</v>
      </c>
      <c r="N69" s="39">
        <f>'Yard'!$L$96</f>
        <v>0</v>
      </c>
      <c r="O69" s="39">
        <f>'Yard'!$M$96</f>
        <v>0</v>
      </c>
      <c r="P69" s="39">
        <f>'Yard'!$N$96</f>
        <v>0</v>
      </c>
      <c r="Q69" s="39">
        <f>'Yard'!$O$96</f>
        <v>0</v>
      </c>
      <c r="R69" s="39">
        <f>'Yard'!$P$96</f>
        <v>0</v>
      </c>
      <c r="S69" s="39">
        <f>'Yard'!$Q$96</f>
        <v>0</v>
      </c>
      <c r="T69" s="39">
        <f>'Yard'!$R$96</f>
        <v>0</v>
      </c>
      <c r="U69" s="39">
        <f>'Yard'!$S$96</f>
        <v>0</v>
      </c>
      <c r="V69" s="10"/>
      <c r="W69" s="10"/>
      <c r="X69" s="17"/>
    </row>
    <row r="70" spans="1:24">
      <c r="A70" s="4" t="s">
        <v>186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7"/>
    </row>
    <row r="71" spans="1:24">
      <c r="A71" s="4" t="s">
        <v>187</v>
      </c>
      <c r="B71" s="39">
        <f>'Yard'!$B$97</f>
        <v>0</v>
      </c>
      <c r="C71" s="39">
        <f>'Yard'!$C$97</f>
        <v>0</v>
      </c>
      <c r="D71" s="39">
        <f>'Yard'!$D$97</f>
        <v>0</v>
      </c>
      <c r="E71" s="39">
        <f>'Yard'!$E$97</f>
        <v>0</v>
      </c>
      <c r="F71" s="39">
        <f>'Yard'!$F$97</f>
        <v>0</v>
      </c>
      <c r="G71" s="39">
        <f>'Yard'!$G$97</f>
        <v>0</v>
      </c>
      <c r="H71" s="39">
        <f>'Yard'!$H$97</f>
        <v>0</v>
      </c>
      <c r="I71" s="39">
        <f>'Yard'!$I$97</f>
        <v>0</v>
      </c>
      <c r="J71" s="39">
        <f>'Yard'!$J$97</f>
        <v>0</v>
      </c>
      <c r="K71" s="10"/>
      <c r="L71" s="10"/>
      <c r="M71" s="39">
        <f>'Yard'!$K$97</f>
        <v>0</v>
      </c>
      <c r="N71" s="39">
        <f>'Yard'!$L$97</f>
        <v>0</v>
      </c>
      <c r="O71" s="39">
        <f>'Yard'!$M$97</f>
        <v>0</v>
      </c>
      <c r="P71" s="39">
        <f>'Yard'!$N$97</f>
        <v>0</v>
      </c>
      <c r="Q71" s="39">
        <f>'Yard'!$O$97</f>
        <v>0</v>
      </c>
      <c r="R71" s="39">
        <f>'Yard'!$P$97</f>
        <v>0</v>
      </c>
      <c r="S71" s="39">
        <f>'Yard'!$Q$97</f>
        <v>0</v>
      </c>
      <c r="T71" s="39">
        <f>'Yard'!$R$97</f>
        <v>0</v>
      </c>
      <c r="U71" s="39">
        <f>'Yard'!$S$97</f>
        <v>0</v>
      </c>
      <c r="V71" s="10"/>
      <c r="W71" s="10"/>
      <c r="X71" s="17"/>
    </row>
    <row r="72" spans="1:24">
      <c r="A72" s="4" t="s">
        <v>194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7"/>
    </row>
    <row r="73" spans="1:24">
      <c r="A73" s="4" t="s">
        <v>195</v>
      </c>
      <c r="B73" s="39">
        <f>'Yard'!$B$98</f>
        <v>0</v>
      </c>
      <c r="C73" s="39">
        <f>'Yard'!$C$98</f>
        <v>0</v>
      </c>
      <c r="D73" s="39">
        <f>'Yard'!$D$98</f>
        <v>0</v>
      </c>
      <c r="E73" s="39">
        <f>'Yard'!$E$98</f>
        <v>0</v>
      </c>
      <c r="F73" s="39">
        <f>'Yard'!$F$98</f>
        <v>0</v>
      </c>
      <c r="G73" s="39">
        <f>'Yard'!$G$98</f>
        <v>0</v>
      </c>
      <c r="H73" s="39">
        <f>'Yard'!$H$98</f>
        <v>0</v>
      </c>
      <c r="I73" s="39">
        <f>'Yard'!$I$98</f>
        <v>0</v>
      </c>
      <c r="J73" s="39">
        <f>'Yard'!$J$98</f>
        <v>0</v>
      </c>
      <c r="K73" s="10"/>
      <c r="L73" s="10"/>
      <c r="M73" s="39">
        <f>'Yard'!$K$98</f>
        <v>0</v>
      </c>
      <c r="N73" s="39">
        <f>'Yard'!$L$98</f>
        <v>0</v>
      </c>
      <c r="O73" s="39">
        <f>'Yard'!$M$98</f>
        <v>0</v>
      </c>
      <c r="P73" s="39">
        <f>'Yard'!$N$98</f>
        <v>0</v>
      </c>
      <c r="Q73" s="39">
        <f>'Yard'!$O$98</f>
        <v>0</v>
      </c>
      <c r="R73" s="39">
        <f>'Yard'!$P$98</f>
        <v>0</v>
      </c>
      <c r="S73" s="39">
        <f>'Yard'!$Q$98</f>
        <v>0</v>
      </c>
      <c r="T73" s="39">
        <f>'Yard'!$R$98</f>
        <v>0</v>
      </c>
      <c r="U73" s="39">
        <f>'Yard'!$S$98</f>
        <v>0</v>
      </c>
      <c r="V73" s="10"/>
      <c r="W73" s="10"/>
      <c r="X73" s="17"/>
    </row>
    <row r="75" spans="1:24" ht="21" customHeight="1">
      <c r="A75" s="1" t="s">
        <v>1070</v>
      </c>
    </row>
    <row r="76" spans="1:24">
      <c r="A76" s="2" t="s">
        <v>351</v>
      </c>
    </row>
    <row r="77" spans="1:24">
      <c r="A77" s="33" t="s">
        <v>1071</v>
      </c>
    </row>
    <row r="78" spans="1:24">
      <c r="A78" s="33" t="s">
        <v>1072</v>
      </c>
    </row>
    <row r="79" spans="1:24">
      <c r="A79" s="33" t="s">
        <v>1073</v>
      </c>
    </row>
    <row r="80" spans="1:24">
      <c r="A80" s="33" t="s">
        <v>1074</v>
      </c>
    </row>
    <row r="81" spans="1:24">
      <c r="A81" s="33" t="s">
        <v>1075</v>
      </c>
    </row>
    <row r="82" spans="1:24">
      <c r="A82" s="2" t="s">
        <v>440</v>
      </c>
    </row>
    <row r="84" spans="1:24">
      <c r="B84" s="15" t="s">
        <v>142</v>
      </c>
      <c r="C84" s="15" t="s">
        <v>306</v>
      </c>
      <c r="D84" s="15" t="s">
        <v>307</v>
      </c>
      <c r="E84" s="15" t="s">
        <v>308</v>
      </c>
      <c r="F84" s="15" t="s">
        <v>309</v>
      </c>
      <c r="G84" s="15" t="s">
        <v>310</v>
      </c>
      <c r="H84" s="15" t="s">
        <v>311</v>
      </c>
      <c r="I84" s="15" t="s">
        <v>312</v>
      </c>
      <c r="J84" s="15" t="s">
        <v>313</v>
      </c>
      <c r="K84" s="15" t="s">
        <v>463</v>
      </c>
      <c r="L84" s="15" t="s">
        <v>475</v>
      </c>
      <c r="M84" s="15" t="s">
        <v>294</v>
      </c>
      <c r="N84" s="15" t="s">
        <v>877</v>
      </c>
      <c r="O84" s="15" t="s">
        <v>878</v>
      </c>
      <c r="P84" s="15" t="s">
        <v>879</v>
      </c>
      <c r="Q84" s="15" t="s">
        <v>880</v>
      </c>
      <c r="R84" s="15" t="s">
        <v>881</v>
      </c>
      <c r="S84" s="15" t="s">
        <v>882</v>
      </c>
      <c r="T84" s="15" t="s">
        <v>883</v>
      </c>
      <c r="U84" s="15" t="s">
        <v>884</v>
      </c>
      <c r="V84" s="15" t="s">
        <v>885</v>
      </c>
      <c r="W84" s="15" t="s">
        <v>886</v>
      </c>
    </row>
    <row r="85" spans="1:24">
      <c r="A85" s="4" t="s">
        <v>174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7"/>
    </row>
    <row r="86" spans="1:24">
      <c r="A86" s="4" t="s">
        <v>175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7"/>
    </row>
    <row r="87" spans="1:24">
      <c r="A87" s="4" t="s">
        <v>211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7"/>
    </row>
    <row r="88" spans="1:24">
      <c r="A88" s="4" t="s">
        <v>176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7"/>
    </row>
    <row r="89" spans="1:24">
      <c r="A89" s="4" t="s">
        <v>177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7"/>
    </row>
    <row r="90" spans="1:24">
      <c r="A90" s="4" t="s">
        <v>212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7"/>
    </row>
    <row r="91" spans="1:24">
      <c r="A91" s="4" t="s">
        <v>178</v>
      </c>
      <c r="B91" s="39">
        <f>'Standing'!$B$113</f>
        <v>0</v>
      </c>
      <c r="C91" s="39">
        <f>'Standing'!$C$113</f>
        <v>0</v>
      </c>
      <c r="D91" s="39">
        <f>'Standing'!$D$113</f>
        <v>0</v>
      </c>
      <c r="E91" s="39">
        <f>'Standing'!$E$113</f>
        <v>0</v>
      </c>
      <c r="F91" s="39">
        <f>'Standing'!$F$113</f>
        <v>0</v>
      </c>
      <c r="G91" s="39">
        <f>'Standing'!$G$113</f>
        <v>0</v>
      </c>
      <c r="H91" s="39">
        <f>'Standing'!$H$113</f>
        <v>0</v>
      </c>
      <c r="I91" s="39">
        <f>'Standing'!$I$113</f>
        <v>0</v>
      </c>
      <c r="J91" s="39">
        <f>'Standing'!$J$113</f>
        <v>0</v>
      </c>
      <c r="K91" s="10"/>
      <c r="L91" s="10"/>
      <c r="M91" s="39">
        <f>'Standing'!$K$113</f>
        <v>0</v>
      </c>
      <c r="N91" s="39">
        <f>'Standing'!$L$113</f>
        <v>0</v>
      </c>
      <c r="O91" s="39">
        <f>'Standing'!$M$113</f>
        <v>0</v>
      </c>
      <c r="P91" s="39">
        <f>'Standing'!$N$113</f>
        <v>0</v>
      </c>
      <c r="Q91" s="39">
        <f>'Standing'!$O$113</f>
        <v>0</v>
      </c>
      <c r="R91" s="39">
        <f>'Standing'!$P$113</f>
        <v>0</v>
      </c>
      <c r="S91" s="39">
        <f>'Standing'!$Q$113</f>
        <v>0</v>
      </c>
      <c r="T91" s="39">
        <f>'Standing'!$R$113</f>
        <v>0</v>
      </c>
      <c r="U91" s="39">
        <f>'Standing'!$S$113</f>
        <v>0</v>
      </c>
      <c r="V91" s="10"/>
      <c r="W91" s="10"/>
      <c r="X91" s="17"/>
    </row>
    <row r="92" spans="1:24">
      <c r="A92" s="4" t="s">
        <v>179</v>
      </c>
      <c r="B92" s="39">
        <f>'Standing'!$B$114</f>
        <v>0</v>
      </c>
      <c r="C92" s="39">
        <f>'Standing'!$C$114</f>
        <v>0</v>
      </c>
      <c r="D92" s="39">
        <f>'Standing'!$D$114</f>
        <v>0</v>
      </c>
      <c r="E92" s="39">
        <f>'Standing'!$E$114</f>
        <v>0</v>
      </c>
      <c r="F92" s="39">
        <f>'Standing'!$F$114</f>
        <v>0</v>
      </c>
      <c r="G92" s="39">
        <f>'Standing'!$G$114</f>
        <v>0</v>
      </c>
      <c r="H92" s="39">
        <f>'Standing'!$H$114</f>
        <v>0</v>
      </c>
      <c r="I92" s="39">
        <f>'Standing'!$I$114</f>
        <v>0</v>
      </c>
      <c r="J92" s="39">
        <f>'Standing'!$J$114</f>
        <v>0</v>
      </c>
      <c r="K92" s="10"/>
      <c r="L92" s="10"/>
      <c r="M92" s="39">
        <f>'Standing'!$K$114</f>
        <v>0</v>
      </c>
      <c r="N92" s="39">
        <f>'Standing'!$L$114</f>
        <v>0</v>
      </c>
      <c r="O92" s="39">
        <f>'Standing'!$M$114</f>
        <v>0</v>
      </c>
      <c r="P92" s="39">
        <f>'Standing'!$N$114</f>
        <v>0</v>
      </c>
      <c r="Q92" s="39">
        <f>'Standing'!$O$114</f>
        <v>0</v>
      </c>
      <c r="R92" s="39">
        <f>'Standing'!$P$114</f>
        <v>0</v>
      </c>
      <c r="S92" s="39">
        <f>'Standing'!$Q$114</f>
        <v>0</v>
      </c>
      <c r="T92" s="39">
        <f>'Standing'!$R$114</f>
        <v>0</v>
      </c>
      <c r="U92" s="39">
        <f>'Standing'!$S$114</f>
        <v>0</v>
      </c>
      <c r="V92" s="10"/>
      <c r="W92" s="10"/>
      <c r="X92" s="17"/>
    </row>
    <row r="93" spans="1:24">
      <c r="A93" s="4" t="s">
        <v>180</v>
      </c>
      <c r="B93" s="39">
        <f>'Standing'!$B$115</f>
        <v>0</v>
      </c>
      <c r="C93" s="39">
        <f>'Standing'!$C$115</f>
        <v>0</v>
      </c>
      <c r="D93" s="39">
        <f>'Standing'!$D$115</f>
        <v>0</v>
      </c>
      <c r="E93" s="39">
        <f>'Standing'!$E$115</f>
        <v>0</v>
      </c>
      <c r="F93" s="39">
        <f>'Standing'!$F$115</f>
        <v>0</v>
      </c>
      <c r="G93" s="39">
        <f>'Standing'!$G$115</f>
        <v>0</v>
      </c>
      <c r="H93" s="39">
        <f>'Standing'!$H$115</f>
        <v>0</v>
      </c>
      <c r="I93" s="39">
        <f>'Standing'!$I$115</f>
        <v>0</v>
      </c>
      <c r="J93" s="39">
        <f>'Standing'!$J$115</f>
        <v>0</v>
      </c>
      <c r="K93" s="10"/>
      <c r="L93" s="10"/>
      <c r="M93" s="39">
        <f>'Standing'!$K$115</f>
        <v>0</v>
      </c>
      <c r="N93" s="39">
        <f>'Standing'!$L$115</f>
        <v>0</v>
      </c>
      <c r="O93" s="39">
        <f>'Standing'!$M$115</f>
        <v>0</v>
      </c>
      <c r="P93" s="39">
        <f>'Standing'!$N$115</f>
        <v>0</v>
      </c>
      <c r="Q93" s="39">
        <f>'Standing'!$O$115</f>
        <v>0</v>
      </c>
      <c r="R93" s="39">
        <f>'Standing'!$P$115</f>
        <v>0</v>
      </c>
      <c r="S93" s="39">
        <f>'Standing'!$Q$115</f>
        <v>0</v>
      </c>
      <c r="T93" s="39">
        <f>'Standing'!$R$115</f>
        <v>0</v>
      </c>
      <c r="U93" s="39">
        <f>'Standing'!$S$115</f>
        <v>0</v>
      </c>
      <c r="V93" s="10"/>
      <c r="W93" s="10"/>
      <c r="X93" s="17"/>
    </row>
    <row r="94" spans="1:24">
      <c r="A94" s="4" t="s">
        <v>181</v>
      </c>
      <c r="B94" s="39">
        <f>'Standing'!$B$116</f>
        <v>0</v>
      </c>
      <c r="C94" s="39">
        <f>'Standing'!$C$116</f>
        <v>0</v>
      </c>
      <c r="D94" s="39">
        <f>'Standing'!$D$116</f>
        <v>0</v>
      </c>
      <c r="E94" s="39">
        <f>'Standing'!$E$116</f>
        <v>0</v>
      </c>
      <c r="F94" s="39">
        <f>'Standing'!$F$116</f>
        <v>0</v>
      </c>
      <c r="G94" s="39">
        <f>'Standing'!$G$116</f>
        <v>0</v>
      </c>
      <c r="H94" s="39">
        <f>'Standing'!$H$116</f>
        <v>0</v>
      </c>
      <c r="I94" s="39">
        <f>'Standing'!$I$116</f>
        <v>0</v>
      </c>
      <c r="J94" s="39">
        <f>'Standing'!$J$116</f>
        <v>0</v>
      </c>
      <c r="K94" s="10"/>
      <c r="L94" s="10"/>
      <c r="M94" s="39">
        <f>'Standing'!$K$116</f>
        <v>0</v>
      </c>
      <c r="N94" s="39">
        <f>'Standing'!$L$116</f>
        <v>0</v>
      </c>
      <c r="O94" s="39">
        <f>'Standing'!$M$116</f>
        <v>0</v>
      </c>
      <c r="P94" s="39">
        <f>'Standing'!$N$116</f>
        <v>0</v>
      </c>
      <c r="Q94" s="39">
        <f>'Standing'!$O$116</f>
        <v>0</v>
      </c>
      <c r="R94" s="39">
        <f>'Standing'!$P$116</f>
        <v>0</v>
      </c>
      <c r="S94" s="39">
        <f>'Standing'!$Q$116</f>
        <v>0</v>
      </c>
      <c r="T94" s="39">
        <f>'Standing'!$R$116</f>
        <v>0</v>
      </c>
      <c r="U94" s="39">
        <f>'Standing'!$S$116</f>
        <v>0</v>
      </c>
      <c r="V94" s="10"/>
      <c r="W94" s="10"/>
      <c r="X94" s="17"/>
    </row>
    <row r="95" spans="1:24">
      <c r="A95" s="4" t="s">
        <v>193</v>
      </c>
      <c r="B95" s="39">
        <f>'Standing'!$B$117</f>
        <v>0</v>
      </c>
      <c r="C95" s="39">
        <f>'Standing'!$C$117</f>
        <v>0</v>
      </c>
      <c r="D95" s="39">
        <f>'Standing'!$D$117</f>
        <v>0</v>
      </c>
      <c r="E95" s="39">
        <f>'Standing'!$E$117</f>
        <v>0</v>
      </c>
      <c r="F95" s="39">
        <f>'Standing'!$F$117</f>
        <v>0</v>
      </c>
      <c r="G95" s="39">
        <f>'Standing'!$G$117</f>
        <v>0</v>
      </c>
      <c r="H95" s="39">
        <f>'Standing'!$H$117</f>
        <v>0</v>
      </c>
      <c r="I95" s="39">
        <f>'Standing'!$I$117</f>
        <v>0</v>
      </c>
      <c r="J95" s="39">
        <f>'Standing'!$J$117</f>
        <v>0</v>
      </c>
      <c r="K95" s="10"/>
      <c r="L95" s="10"/>
      <c r="M95" s="39">
        <f>'Standing'!$K$117</f>
        <v>0</v>
      </c>
      <c r="N95" s="39">
        <f>'Standing'!$L$117</f>
        <v>0</v>
      </c>
      <c r="O95" s="39">
        <f>'Standing'!$M$117</f>
        <v>0</v>
      </c>
      <c r="P95" s="39">
        <f>'Standing'!$N$117</f>
        <v>0</v>
      </c>
      <c r="Q95" s="39">
        <f>'Standing'!$O$117</f>
        <v>0</v>
      </c>
      <c r="R95" s="39">
        <f>'Standing'!$P$117</f>
        <v>0</v>
      </c>
      <c r="S95" s="39">
        <f>'Standing'!$Q$117</f>
        <v>0</v>
      </c>
      <c r="T95" s="39">
        <f>'Standing'!$R$117</f>
        <v>0</v>
      </c>
      <c r="U95" s="39">
        <f>'Standing'!$S$117</f>
        <v>0</v>
      </c>
      <c r="V95" s="10"/>
      <c r="W95" s="10"/>
      <c r="X95" s="17"/>
    </row>
    <row r="96" spans="1:24">
      <c r="A96" s="4" t="s">
        <v>213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7"/>
    </row>
    <row r="97" spans="1:24">
      <c r="A97" s="4" t="s">
        <v>214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7"/>
    </row>
    <row r="98" spans="1:24">
      <c r="A98" s="4" t="s">
        <v>215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7"/>
    </row>
    <row r="99" spans="1:24">
      <c r="A99" s="4" t="s">
        <v>216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7"/>
    </row>
    <row r="100" spans="1:24">
      <c r="A100" s="4" t="s">
        <v>217</v>
      </c>
      <c r="B100" s="39">
        <f>'Yard'!$B$115</f>
        <v>0</v>
      </c>
      <c r="C100" s="39">
        <f>'Yard'!$C$115</f>
        <v>0</v>
      </c>
      <c r="D100" s="39">
        <f>'Yard'!$D$115</f>
        <v>0</v>
      </c>
      <c r="E100" s="39">
        <f>'Yard'!$E$115</f>
        <v>0</v>
      </c>
      <c r="F100" s="39">
        <f>'Yard'!$F$115</f>
        <v>0</v>
      </c>
      <c r="G100" s="39">
        <f>'Yard'!$G$115</f>
        <v>0</v>
      </c>
      <c r="H100" s="39">
        <f>'Yard'!$H$115</f>
        <v>0</v>
      </c>
      <c r="I100" s="39">
        <f>'Yard'!$I$115</f>
        <v>0</v>
      </c>
      <c r="J100" s="39">
        <f>'Yard'!$J$115</f>
        <v>0</v>
      </c>
      <c r="K100" s="10"/>
      <c r="L100" s="10"/>
      <c r="M100" s="39">
        <f>'Yard'!$K$115</f>
        <v>0</v>
      </c>
      <c r="N100" s="39">
        <f>'Yard'!$L$115</f>
        <v>0</v>
      </c>
      <c r="O100" s="39">
        <f>'Yard'!$M$115</f>
        <v>0</v>
      </c>
      <c r="P100" s="39">
        <f>'Yard'!$N$115</f>
        <v>0</v>
      </c>
      <c r="Q100" s="39">
        <f>'Yard'!$O$115</f>
        <v>0</v>
      </c>
      <c r="R100" s="39">
        <f>'Yard'!$P$115</f>
        <v>0</v>
      </c>
      <c r="S100" s="39">
        <f>'Yard'!$Q$115</f>
        <v>0</v>
      </c>
      <c r="T100" s="39">
        <f>'Yard'!$R$115</f>
        <v>0</v>
      </c>
      <c r="U100" s="39">
        <f>'Yard'!$S$115</f>
        <v>0</v>
      </c>
      <c r="V100" s="39">
        <f>'Otex'!$B$157</f>
        <v>0</v>
      </c>
      <c r="W100" s="10"/>
      <c r="X100" s="17"/>
    </row>
    <row r="101" spans="1:24">
      <c r="A101" s="4" t="s">
        <v>182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7"/>
    </row>
    <row r="102" spans="1:24">
      <c r="A102" s="4" t="s">
        <v>183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7"/>
    </row>
    <row r="103" spans="1:24">
      <c r="A103" s="4" t="s">
        <v>184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7"/>
    </row>
    <row r="104" spans="1:24">
      <c r="A104" s="4" t="s">
        <v>185</v>
      </c>
      <c r="B104" s="39">
        <f>'Yard'!$B$116</f>
        <v>0</v>
      </c>
      <c r="C104" s="39">
        <f>'Yard'!$C$116</f>
        <v>0</v>
      </c>
      <c r="D104" s="39">
        <f>'Yard'!$D$116</f>
        <v>0</v>
      </c>
      <c r="E104" s="39">
        <f>'Yard'!$E$116</f>
        <v>0</v>
      </c>
      <c r="F104" s="39">
        <f>'Yard'!$F$116</f>
        <v>0</v>
      </c>
      <c r="G104" s="39">
        <f>'Yard'!$G$116</f>
        <v>0</v>
      </c>
      <c r="H104" s="39">
        <f>'Yard'!$H$116</f>
        <v>0</v>
      </c>
      <c r="I104" s="39">
        <f>'Yard'!$I$116</f>
        <v>0</v>
      </c>
      <c r="J104" s="39">
        <f>'Yard'!$J$116</f>
        <v>0</v>
      </c>
      <c r="K104" s="10"/>
      <c r="L104" s="10"/>
      <c r="M104" s="39">
        <f>'Yard'!$K$116</f>
        <v>0</v>
      </c>
      <c r="N104" s="39">
        <f>'Yard'!$L$116</f>
        <v>0</v>
      </c>
      <c r="O104" s="39">
        <f>'Yard'!$M$116</f>
        <v>0</v>
      </c>
      <c r="P104" s="39">
        <f>'Yard'!$N$116</f>
        <v>0</v>
      </c>
      <c r="Q104" s="39">
        <f>'Yard'!$O$116</f>
        <v>0</v>
      </c>
      <c r="R104" s="39">
        <f>'Yard'!$P$116</f>
        <v>0</v>
      </c>
      <c r="S104" s="39">
        <f>'Yard'!$Q$116</f>
        <v>0</v>
      </c>
      <c r="T104" s="39">
        <f>'Yard'!$R$116</f>
        <v>0</v>
      </c>
      <c r="U104" s="39">
        <f>'Yard'!$S$116</f>
        <v>0</v>
      </c>
      <c r="V104" s="10"/>
      <c r="W104" s="10"/>
      <c r="X104" s="17"/>
    </row>
    <row r="105" spans="1:24">
      <c r="A105" s="4" t="s">
        <v>186</v>
      </c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7"/>
    </row>
    <row r="106" spans="1:24">
      <c r="A106" s="4" t="s">
        <v>187</v>
      </c>
      <c r="B106" s="39">
        <f>'Yard'!$B$117</f>
        <v>0</v>
      </c>
      <c r="C106" s="39">
        <f>'Yard'!$C$117</f>
        <v>0</v>
      </c>
      <c r="D106" s="39">
        <f>'Yard'!$D$117</f>
        <v>0</v>
      </c>
      <c r="E106" s="39">
        <f>'Yard'!$E$117</f>
        <v>0</v>
      </c>
      <c r="F106" s="39">
        <f>'Yard'!$F$117</f>
        <v>0</v>
      </c>
      <c r="G106" s="39">
        <f>'Yard'!$G$117</f>
        <v>0</v>
      </c>
      <c r="H106" s="39">
        <f>'Yard'!$H$117</f>
        <v>0</v>
      </c>
      <c r="I106" s="39">
        <f>'Yard'!$I$117</f>
        <v>0</v>
      </c>
      <c r="J106" s="39">
        <f>'Yard'!$J$117</f>
        <v>0</v>
      </c>
      <c r="K106" s="10"/>
      <c r="L106" s="10"/>
      <c r="M106" s="39">
        <f>'Yard'!$K$117</f>
        <v>0</v>
      </c>
      <c r="N106" s="39">
        <f>'Yard'!$L$117</f>
        <v>0</v>
      </c>
      <c r="O106" s="39">
        <f>'Yard'!$M$117</f>
        <v>0</v>
      </c>
      <c r="P106" s="39">
        <f>'Yard'!$N$117</f>
        <v>0</v>
      </c>
      <c r="Q106" s="39">
        <f>'Yard'!$O$117</f>
        <v>0</v>
      </c>
      <c r="R106" s="39">
        <f>'Yard'!$P$117</f>
        <v>0</v>
      </c>
      <c r="S106" s="39">
        <f>'Yard'!$Q$117</f>
        <v>0</v>
      </c>
      <c r="T106" s="39">
        <f>'Yard'!$R$117</f>
        <v>0</v>
      </c>
      <c r="U106" s="39">
        <f>'Yard'!$S$117</f>
        <v>0</v>
      </c>
      <c r="V106" s="10"/>
      <c r="W106" s="10"/>
      <c r="X106" s="17"/>
    </row>
    <row r="107" spans="1:24">
      <c r="A107" s="4" t="s">
        <v>194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7"/>
    </row>
    <row r="108" spans="1:24">
      <c r="A108" s="4" t="s">
        <v>195</v>
      </c>
      <c r="B108" s="39">
        <f>'Yard'!$B$118</f>
        <v>0</v>
      </c>
      <c r="C108" s="39">
        <f>'Yard'!$C$118</f>
        <v>0</v>
      </c>
      <c r="D108" s="39">
        <f>'Yard'!$D$118</f>
        <v>0</v>
      </c>
      <c r="E108" s="39">
        <f>'Yard'!$E$118</f>
        <v>0</v>
      </c>
      <c r="F108" s="39">
        <f>'Yard'!$F$118</f>
        <v>0</v>
      </c>
      <c r="G108" s="39">
        <f>'Yard'!$G$118</f>
        <v>0</v>
      </c>
      <c r="H108" s="39">
        <f>'Yard'!$H$118</f>
        <v>0</v>
      </c>
      <c r="I108" s="39">
        <f>'Yard'!$I$118</f>
        <v>0</v>
      </c>
      <c r="J108" s="39">
        <f>'Yard'!$J$118</f>
        <v>0</v>
      </c>
      <c r="K108" s="10"/>
      <c r="L108" s="10"/>
      <c r="M108" s="39">
        <f>'Yard'!$K$118</f>
        <v>0</v>
      </c>
      <c r="N108" s="39">
        <f>'Yard'!$L$118</f>
        <v>0</v>
      </c>
      <c r="O108" s="39">
        <f>'Yard'!$M$118</f>
        <v>0</v>
      </c>
      <c r="P108" s="39">
        <f>'Yard'!$N$118</f>
        <v>0</v>
      </c>
      <c r="Q108" s="39">
        <f>'Yard'!$O$118</f>
        <v>0</v>
      </c>
      <c r="R108" s="39">
        <f>'Yard'!$P$118</f>
        <v>0</v>
      </c>
      <c r="S108" s="39">
        <f>'Yard'!$Q$118</f>
        <v>0</v>
      </c>
      <c r="T108" s="39">
        <f>'Yard'!$R$118</f>
        <v>0</v>
      </c>
      <c r="U108" s="39">
        <f>'Yard'!$S$118</f>
        <v>0</v>
      </c>
      <c r="V108" s="10"/>
      <c r="W108" s="10"/>
      <c r="X108" s="17"/>
    </row>
    <row r="110" spans="1:24" ht="21" customHeight="1">
      <c r="A110" s="1" t="s">
        <v>1076</v>
      </c>
    </row>
    <row r="111" spans="1:24">
      <c r="A111" s="2" t="s">
        <v>351</v>
      </c>
    </row>
    <row r="112" spans="1:24">
      <c r="A112" s="33" t="s">
        <v>1077</v>
      </c>
    </row>
    <row r="113" spans="1:24">
      <c r="A113" s="33" t="s">
        <v>1078</v>
      </c>
    </row>
    <row r="114" spans="1:24">
      <c r="A114" s="33" t="s">
        <v>1079</v>
      </c>
    </row>
    <row r="115" spans="1:24">
      <c r="A115" s="33" t="s">
        <v>1080</v>
      </c>
    </row>
    <row r="116" spans="1:24">
      <c r="A116" s="33" t="s">
        <v>1081</v>
      </c>
    </row>
    <row r="117" spans="1:24">
      <c r="A117" s="2" t="s">
        <v>440</v>
      </c>
    </row>
    <row r="119" spans="1:24">
      <c r="B119" s="15" t="s">
        <v>142</v>
      </c>
      <c r="C119" s="15" t="s">
        <v>306</v>
      </c>
      <c r="D119" s="15" t="s">
        <v>307</v>
      </c>
      <c r="E119" s="15" t="s">
        <v>308</v>
      </c>
      <c r="F119" s="15" t="s">
        <v>309</v>
      </c>
      <c r="G119" s="15" t="s">
        <v>310</v>
      </c>
      <c r="H119" s="15" t="s">
        <v>311</v>
      </c>
      <c r="I119" s="15" t="s">
        <v>312</v>
      </c>
      <c r="J119" s="15" t="s">
        <v>313</v>
      </c>
      <c r="K119" s="15" t="s">
        <v>463</v>
      </c>
      <c r="L119" s="15" t="s">
        <v>475</v>
      </c>
      <c r="M119" s="15" t="s">
        <v>294</v>
      </c>
      <c r="N119" s="15" t="s">
        <v>877</v>
      </c>
      <c r="O119" s="15" t="s">
        <v>878</v>
      </c>
      <c r="P119" s="15" t="s">
        <v>879</v>
      </c>
      <c r="Q119" s="15" t="s">
        <v>880</v>
      </c>
      <c r="R119" s="15" t="s">
        <v>881</v>
      </c>
      <c r="S119" s="15" t="s">
        <v>882</v>
      </c>
      <c r="T119" s="15" t="s">
        <v>883</v>
      </c>
      <c r="U119" s="15" t="s">
        <v>884</v>
      </c>
      <c r="V119" s="15" t="s">
        <v>885</v>
      </c>
      <c r="W119" s="15" t="s">
        <v>886</v>
      </c>
    </row>
    <row r="120" spans="1:24">
      <c r="A120" s="4" t="s">
        <v>174</v>
      </c>
      <c r="B120" s="39">
        <f>'AggCap'!$B$80</f>
        <v>0</v>
      </c>
      <c r="C120" s="39">
        <f>'AggCap'!$C$80</f>
        <v>0</v>
      </c>
      <c r="D120" s="39">
        <f>'AggCap'!$D$80</f>
        <v>0</v>
      </c>
      <c r="E120" s="39">
        <f>'AggCap'!$E$80</f>
        <v>0</v>
      </c>
      <c r="F120" s="39">
        <f>'AggCap'!$F$80</f>
        <v>0</v>
      </c>
      <c r="G120" s="39">
        <f>'AggCap'!$G$80</f>
        <v>0</v>
      </c>
      <c r="H120" s="39">
        <f>'AggCap'!$H$80</f>
        <v>0</v>
      </c>
      <c r="I120" s="39">
        <f>'AggCap'!$I$80</f>
        <v>0</v>
      </c>
      <c r="J120" s="39">
        <f>'AggCap'!$J$80</f>
        <v>0</v>
      </c>
      <c r="K120" s="39">
        <f>'SM'!$B$100</f>
        <v>0</v>
      </c>
      <c r="L120" s="39">
        <f>'SM'!$C$100</f>
        <v>0</v>
      </c>
      <c r="M120" s="39">
        <f>'AggCap'!$K$80</f>
        <v>0</v>
      </c>
      <c r="N120" s="39">
        <f>'AggCap'!$L$80</f>
        <v>0</v>
      </c>
      <c r="O120" s="39">
        <f>'AggCap'!$M$80</f>
        <v>0</v>
      </c>
      <c r="P120" s="39">
        <f>'AggCap'!$N$80</f>
        <v>0</v>
      </c>
      <c r="Q120" s="39">
        <f>'AggCap'!$O$80</f>
        <v>0</v>
      </c>
      <c r="R120" s="39">
        <f>'AggCap'!$P$80</f>
        <v>0</v>
      </c>
      <c r="S120" s="39">
        <f>'AggCap'!$Q$80</f>
        <v>0</v>
      </c>
      <c r="T120" s="39">
        <f>'AggCap'!$R$80</f>
        <v>0</v>
      </c>
      <c r="U120" s="39">
        <f>'AggCap'!$S$80</f>
        <v>0</v>
      </c>
      <c r="V120" s="39">
        <f>'Otex'!$B$121</f>
        <v>0</v>
      </c>
      <c r="W120" s="39">
        <f>'Otex'!$C$121</f>
        <v>0</v>
      </c>
      <c r="X120" s="17"/>
    </row>
    <row r="121" spans="1:24">
      <c r="A121" s="4" t="s">
        <v>175</v>
      </c>
      <c r="B121" s="39">
        <f>'AggCap'!$B$81</f>
        <v>0</v>
      </c>
      <c r="C121" s="39">
        <f>'AggCap'!$C$81</f>
        <v>0</v>
      </c>
      <c r="D121" s="39">
        <f>'AggCap'!$D$81</f>
        <v>0</v>
      </c>
      <c r="E121" s="39">
        <f>'AggCap'!$E$81</f>
        <v>0</v>
      </c>
      <c r="F121" s="39">
        <f>'AggCap'!$F$81</f>
        <v>0</v>
      </c>
      <c r="G121" s="39">
        <f>'AggCap'!$G$81</f>
        <v>0</v>
      </c>
      <c r="H121" s="39">
        <f>'AggCap'!$H$81</f>
        <v>0</v>
      </c>
      <c r="I121" s="39">
        <f>'AggCap'!$I$81</f>
        <v>0</v>
      </c>
      <c r="J121" s="39">
        <f>'AggCap'!$J$81</f>
        <v>0</v>
      </c>
      <c r="K121" s="39">
        <f>'SM'!$B$101</f>
        <v>0</v>
      </c>
      <c r="L121" s="39">
        <f>'SM'!$C$101</f>
        <v>0</v>
      </c>
      <c r="M121" s="39">
        <f>'AggCap'!$K$81</f>
        <v>0</v>
      </c>
      <c r="N121" s="39">
        <f>'AggCap'!$L$81</f>
        <v>0</v>
      </c>
      <c r="O121" s="39">
        <f>'AggCap'!$M$81</f>
        <v>0</v>
      </c>
      <c r="P121" s="39">
        <f>'AggCap'!$N$81</f>
        <v>0</v>
      </c>
      <c r="Q121" s="39">
        <f>'AggCap'!$O$81</f>
        <v>0</v>
      </c>
      <c r="R121" s="39">
        <f>'AggCap'!$P$81</f>
        <v>0</v>
      </c>
      <c r="S121" s="39">
        <f>'AggCap'!$Q$81</f>
        <v>0</v>
      </c>
      <c r="T121" s="39">
        <f>'AggCap'!$R$81</f>
        <v>0</v>
      </c>
      <c r="U121" s="39">
        <f>'AggCap'!$S$81</f>
        <v>0</v>
      </c>
      <c r="V121" s="39">
        <f>'Otex'!$B$122</f>
        <v>0</v>
      </c>
      <c r="W121" s="39">
        <f>'Otex'!$C$122</f>
        <v>0</v>
      </c>
      <c r="X121" s="17"/>
    </row>
    <row r="122" spans="1:24">
      <c r="A122" s="4" t="s">
        <v>211</v>
      </c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7"/>
    </row>
    <row r="123" spans="1:24">
      <c r="A123" s="4" t="s">
        <v>176</v>
      </c>
      <c r="B123" s="39">
        <f>'AggCap'!$B$82</f>
        <v>0</v>
      </c>
      <c r="C123" s="39">
        <f>'AggCap'!$C$82</f>
        <v>0</v>
      </c>
      <c r="D123" s="39">
        <f>'AggCap'!$D$82</f>
        <v>0</v>
      </c>
      <c r="E123" s="39">
        <f>'AggCap'!$E$82</f>
        <v>0</v>
      </c>
      <c r="F123" s="39">
        <f>'AggCap'!$F$82</f>
        <v>0</v>
      </c>
      <c r="G123" s="39">
        <f>'AggCap'!$G$82</f>
        <v>0</v>
      </c>
      <c r="H123" s="39">
        <f>'AggCap'!$H$82</f>
        <v>0</v>
      </c>
      <c r="I123" s="39">
        <f>'AggCap'!$I$82</f>
        <v>0</v>
      </c>
      <c r="J123" s="39">
        <f>'AggCap'!$J$82</f>
        <v>0</v>
      </c>
      <c r="K123" s="39">
        <f>'SM'!$B$103</f>
        <v>0</v>
      </c>
      <c r="L123" s="39">
        <f>'SM'!$C$103</f>
        <v>0</v>
      </c>
      <c r="M123" s="39">
        <f>'AggCap'!$K$82</f>
        <v>0</v>
      </c>
      <c r="N123" s="39">
        <f>'AggCap'!$L$82</f>
        <v>0</v>
      </c>
      <c r="O123" s="39">
        <f>'AggCap'!$M$82</f>
        <v>0</v>
      </c>
      <c r="P123" s="39">
        <f>'AggCap'!$N$82</f>
        <v>0</v>
      </c>
      <c r="Q123" s="39">
        <f>'AggCap'!$O$82</f>
        <v>0</v>
      </c>
      <c r="R123" s="39">
        <f>'AggCap'!$P$82</f>
        <v>0</v>
      </c>
      <c r="S123" s="39">
        <f>'AggCap'!$Q$82</f>
        <v>0</v>
      </c>
      <c r="T123" s="39">
        <f>'AggCap'!$R$82</f>
        <v>0</v>
      </c>
      <c r="U123" s="39">
        <f>'AggCap'!$S$82</f>
        <v>0</v>
      </c>
      <c r="V123" s="39">
        <f>'Otex'!$B$124</f>
        <v>0</v>
      </c>
      <c r="W123" s="39">
        <f>'Otex'!$C$124</f>
        <v>0</v>
      </c>
      <c r="X123" s="17"/>
    </row>
    <row r="124" spans="1:24">
      <c r="A124" s="4" t="s">
        <v>177</v>
      </c>
      <c r="B124" s="39">
        <f>'AggCap'!$B$83</f>
        <v>0</v>
      </c>
      <c r="C124" s="39">
        <f>'AggCap'!$C$83</f>
        <v>0</v>
      </c>
      <c r="D124" s="39">
        <f>'AggCap'!$D$83</f>
        <v>0</v>
      </c>
      <c r="E124" s="39">
        <f>'AggCap'!$E$83</f>
        <v>0</v>
      </c>
      <c r="F124" s="39">
        <f>'AggCap'!$F$83</f>
        <v>0</v>
      </c>
      <c r="G124" s="39">
        <f>'AggCap'!$G$83</f>
        <v>0</v>
      </c>
      <c r="H124" s="39">
        <f>'AggCap'!$H$83</f>
        <v>0</v>
      </c>
      <c r="I124" s="39">
        <f>'AggCap'!$I$83</f>
        <v>0</v>
      </c>
      <c r="J124" s="39">
        <f>'AggCap'!$J$83</f>
        <v>0</v>
      </c>
      <c r="K124" s="39">
        <f>'SM'!$B$104</f>
        <v>0</v>
      </c>
      <c r="L124" s="39">
        <f>'SM'!$C$104</f>
        <v>0</v>
      </c>
      <c r="M124" s="39">
        <f>'AggCap'!$K$83</f>
        <v>0</v>
      </c>
      <c r="N124" s="39">
        <f>'AggCap'!$L$83</f>
        <v>0</v>
      </c>
      <c r="O124" s="39">
        <f>'AggCap'!$M$83</f>
        <v>0</v>
      </c>
      <c r="P124" s="39">
        <f>'AggCap'!$N$83</f>
        <v>0</v>
      </c>
      <c r="Q124" s="39">
        <f>'AggCap'!$O$83</f>
        <v>0</v>
      </c>
      <c r="R124" s="39">
        <f>'AggCap'!$P$83</f>
        <v>0</v>
      </c>
      <c r="S124" s="39">
        <f>'AggCap'!$Q$83</f>
        <v>0</v>
      </c>
      <c r="T124" s="39">
        <f>'AggCap'!$R$83</f>
        <v>0</v>
      </c>
      <c r="U124" s="39">
        <f>'AggCap'!$S$83</f>
        <v>0</v>
      </c>
      <c r="V124" s="39">
        <f>'Otex'!$B$125</f>
        <v>0</v>
      </c>
      <c r="W124" s="39">
        <f>'Otex'!$C$125</f>
        <v>0</v>
      </c>
      <c r="X124" s="17"/>
    </row>
    <row r="125" spans="1:24">
      <c r="A125" s="4" t="s">
        <v>212</v>
      </c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7"/>
    </row>
    <row r="126" spans="1:24">
      <c r="A126" s="4" t="s">
        <v>178</v>
      </c>
      <c r="B126" s="39">
        <f>'AggCap'!$B$84</f>
        <v>0</v>
      </c>
      <c r="C126" s="39">
        <f>'AggCap'!$C$84</f>
        <v>0</v>
      </c>
      <c r="D126" s="39">
        <f>'AggCap'!$D$84</f>
        <v>0</v>
      </c>
      <c r="E126" s="39">
        <f>'AggCap'!$E$84</f>
        <v>0</v>
      </c>
      <c r="F126" s="39">
        <f>'AggCap'!$F$84</f>
        <v>0</v>
      </c>
      <c r="G126" s="39">
        <f>'AggCap'!$G$84</f>
        <v>0</v>
      </c>
      <c r="H126" s="39">
        <f>'AggCap'!$H$84</f>
        <v>0</v>
      </c>
      <c r="I126" s="39">
        <f>'AggCap'!$I$84</f>
        <v>0</v>
      </c>
      <c r="J126" s="39">
        <f>'AggCap'!$J$84</f>
        <v>0</v>
      </c>
      <c r="K126" s="39">
        <f>'SM'!$B$106</f>
        <v>0</v>
      </c>
      <c r="L126" s="39">
        <f>'SM'!$C$106</f>
        <v>0</v>
      </c>
      <c r="M126" s="39">
        <f>'AggCap'!$K$84</f>
        <v>0</v>
      </c>
      <c r="N126" s="39">
        <f>'AggCap'!$L$84</f>
        <v>0</v>
      </c>
      <c r="O126" s="39">
        <f>'AggCap'!$M$84</f>
        <v>0</v>
      </c>
      <c r="P126" s="39">
        <f>'AggCap'!$N$84</f>
        <v>0</v>
      </c>
      <c r="Q126" s="39">
        <f>'AggCap'!$O$84</f>
        <v>0</v>
      </c>
      <c r="R126" s="39">
        <f>'AggCap'!$P$84</f>
        <v>0</v>
      </c>
      <c r="S126" s="39">
        <f>'AggCap'!$Q$84</f>
        <v>0</v>
      </c>
      <c r="T126" s="39">
        <f>'AggCap'!$R$84</f>
        <v>0</v>
      </c>
      <c r="U126" s="39">
        <f>'AggCap'!$S$84</f>
        <v>0</v>
      </c>
      <c r="V126" s="39">
        <f>'Otex'!$B$127</f>
        <v>0</v>
      </c>
      <c r="W126" s="39">
        <f>'Otex'!$C$127</f>
        <v>0</v>
      </c>
      <c r="X126" s="17"/>
    </row>
    <row r="127" spans="1:24">
      <c r="A127" s="4" t="s">
        <v>179</v>
      </c>
      <c r="B127" s="39">
        <f>'AggCap'!$B$85</f>
        <v>0</v>
      </c>
      <c r="C127" s="39">
        <f>'AggCap'!$C$85</f>
        <v>0</v>
      </c>
      <c r="D127" s="39">
        <f>'AggCap'!$D$85</f>
        <v>0</v>
      </c>
      <c r="E127" s="39">
        <f>'AggCap'!$E$85</f>
        <v>0</v>
      </c>
      <c r="F127" s="39">
        <f>'AggCap'!$F$85</f>
        <v>0</v>
      </c>
      <c r="G127" s="39">
        <f>'AggCap'!$G$85</f>
        <v>0</v>
      </c>
      <c r="H127" s="39">
        <f>'AggCap'!$H$85</f>
        <v>0</v>
      </c>
      <c r="I127" s="39">
        <f>'AggCap'!$I$85</f>
        <v>0</v>
      </c>
      <c r="J127" s="39">
        <f>'AggCap'!$J$85</f>
        <v>0</v>
      </c>
      <c r="K127" s="39">
        <f>'SM'!$B$107</f>
        <v>0</v>
      </c>
      <c r="L127" s="39">
        <f>'SM'!$C$107</f>
        <v>0</v>
      </c>
      <c r="M127" s="39">
        <f>'AggCap'!$K$85</f>
        <v>0</v>
      </c>
      <c r="N127" s="39">
        <f>'AggCap'!$L$85</f>
        <v>0</v>
      </c>
      <c r="O127" s="39">
        <f>'AggCap'!$M$85</f>
        <v>0</v>
      </c>
      <c r="P127" s="39">
        <f>'AggCap'!$N$85</f>
        <v>0</v>
      </c>
      <c r="Q127" s="39">
        <f>'AggCap'!$O$85</f>
        <v>0</v>
      </c>
      <c r="R127" s="39">
        <f>'AggCap'!$P$85</f>
        <v>0</v>
      </c>
      <c r="S127" s="39">
        <f>'AggCap'!$Q$85</f>
        <v>0</v>
      </c>
      <c r="T127" s="39">
        <f>'AggCap'!$R$85</f>
        <v>0</v>
      </c>
      <c r="U127" s="39">
        <f>'AggCap'!$S$85</f>
        <v>0</v>
      </c>
      <c r="V127" s="39">
        <f>'Otex'!$B$128</f>
        <v>0</v>
      </c>
      <c r="W127" s="39">
        <f>'Otex'!$C$128</f>
        <v>0</v>
      </c>
      <c r="X127" s="17"/>
    </row>
    <row r="128" spans="1:24">
      <c r="A128" s="4" t="s">
        <v>180</v>
      </c>
      <c r="B128" s="10"/>
      <c r="C128" s="10"/>
      <c r="D128" s="10"/>
      <c r="E128" s="10"/>
      <c r="F128" s="10"/>
      <c r="G128" s="10"/>
      <c r="H128" s="10"/>
      <c r="I128" s="10"/>
      <c r="J128" s="10"/>
      <c r="K128" s="39">
        <f>'SM'!$B$108</f>
        <v>0</v>
      </c>
      <c r="L128" s="39">
        <f>'SM'!$C$108</f>
        <v>0</v>
      </c>
      <c r="M128" s="10"/>
      <c r="N128" s="10"/>
      <c r="O128" s="10"/>
      <c r="P128" s="10"/>
      <c r="Q128" s="10"/>
      <c r="R128" s="10"/>
      <c r="S128" s="10"/>
      <c r="T128" s="10"/>
      <c r="U128" s="10"/>
      <c r="V128" s="39">
        <f>'Otex'!$B$129</f>
        <v>0</v>
      </c>
      <c r="W128" s="39">
        <f>'Otex'!$C$129</f>
        <v>0</v>
      </c>
      <c r="X128" s="17"/>
    </row>
    <row r="129" spans="1:24">
      <c r="A129" s="4" t="s">
        <v>181</v>
      </c>
      <c r="B129" s="10"/>
      <c r="C129" s="10"/>
      <c r="D129" s="10"/>
      <c r="E129" s="10"/>
      <c r="F129" s="10"/>
      <c r="G129" s="10"/>
      <c r="H129" s="10"/>
      <c r="I129" s="10"/>
      <c r="J129" s="10"/>
      <c r="K129" s="39">
        <f>'SM'!$B$109</f>
        <v>0</v>
      </c>
      <c r="L129" s="39">
        <f>'SM'!$C$109</f>
        <v>0</v>
      </c>
      <c r="M129" s="10"/>
      <c r="N129" s="10"/>
      <c r="O129" s="10"/>
      <c r="P129" s="10"/>
      <c r="Q129" s="10"/>
      <c r="R129" s="10"/>
      <c r="S129" s="10"/>
      <c r="T129" s="10"/>
      <c r="U129" s="10"/>
      <c r="V129" s="39">
        <f>'Otex'!$B$130</f>
        <v>0</v>
      </c>
      <c r="W129" s="39">
        <f>'Otex'!$C$130</f>
        <v>0</v>
      </c>
      <c r="X129" s="17"/>
    </row>
    <row r="130" spans="1:24">
      <c r="A130" s="4" t="s">
        <v>193</v>
      </c>
      <c r="B130" s="10"/>
      <c r="C130" s="10"/>
      <c r="D130" s="10"/>
      <c r="E130" s="10"/>
      <c r="F130" s="10"/>
      <c r="G130" s="10"/>
      <c r="H130" s="10"/>
      <c r="I130" s="10"/>
      <c r="J130" s="10"/>
      <c r="K130" s="39">
        <f>'SM'!$B$110</f>
        <v>0</v>
      </c>
      <c r="L130" s="39">
        <f>'SM'!$C$110</f>
        <v>0</v>
      </c>
      <c r="M130" s="10"/>
      <c r="N130" s="10"/>
      <c r="O130" s="10"/>
      <c r="P130" s="10"/>
      <c r="Q130" s="10"/>
      <c r="R130" s="10"/>
      <c r="S130" s="10"/>
      <c r="T130" s="10"/>
      <c r="U130" s="10"/>
      <c r="V130" s="39">
        <f>'Otex'!$B$131</f>
        <v>0</v>
      </c>
      <c r="W130" s="39">
        <f>'Otex'!$C$131</f>
        <v>0</v>
      </c>
      <c r="X130" s="17"/>
    </row>
    <row r="131" spans="1:24">
      <c r="A131" s="4" t="s">
        <v>213</v>
      </c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7"/>
    </row>
    <row r="132" spans="1:24">
      <c r="A132" s="4" t="s">
        <v>214</v>
      </c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7"/>
    </row>
    <row r="133" spans="1:24">
      <c r="A133" s="4" t="s">
        <v>215</v>
      </c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7"/>
    </row>
    <row r="134" spans="1:24">
      <c r="A134" s="4" t="s">
        <v>216</v>
      </c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7"/>
    </row>
    <row r="135" spans="1:24">
      <c r="A135" s="4" t="s">
        <v>217</v>
      </c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7"/>
    </row>
    <row r="136" spans="1:24">
      <c r="A136" s="4" t="s">
        <v>182</v>
      </c>
      <c r="B136" s="10"/>
      <c r="C136" s="10"/>
      <c r="D136" s="10"/>
      <c r="E136" s="10"/>
      <c r="F136" s="10"/>
      <c r="G136" s="10"/>
      <c r="H136" s="10"/>
      <c r="I136" s="10"/>
      <c r="J136" s="10"/>
      <c r="K136" s="39">
        <f>'SM'!$B$116</f>
        <v>0</v>
      </c>
      <c r="L136" s="39">
        <f>'SM'!$C$116</f>
        <v>0</v>
      </c>
      <c r="M136" s="10"/>
      <c r="N136" s="10"/>
      <c r="O136" s="10"/>
      <c r="P136" s="10"/>
      <c r="Q136" s="10"/>
      <c r="R136" s="10"/>
      <c r="S136" s="10"/>
      <c r="T136" s="10"/>
      <c r="U136" s="10"/>
      <c r="V136" s="39">
        <f>'Otex'!$B$137</f>
        <v>0</v>
      </c>
      <c r="W136" s="39">
        <f>'Otex'!$C$137</f>
        <v>0</v>
      </c>
      <c r="X136" s="17"/>
    </row>
    <row r="137" spans="1:24">
      <c r="A137" s="4" t="s">
        <v>183</v>
      </c>
      <c r="B137" s="10"/>
      <c r="C137" s="10"/>
      <c r="D137" s="10"/>
      <c r="E137" s="10"/>
      <c r="F137" s="10"/>
      <c r="G137" s="10"/>
      <c r="H137" s="10"/>
      <c r="I137" s="10"/>
      <c r="J137" s="10"/>
      <c r="K137" s="39">
        <f>'SM'!$B$117</f>
        <v>0</v>
      </c>
      <c r="L137" s="39">
        <f>'SM'!$C$117</f>
        <v>0</v>
      </c>
      <c r="M137" s="10"/>
      <c r="N137" s="10"/>
      <c r="O137" s="10"/>
      <c r="P137" s="10"/>
      <c r="Q137" s="10"/>
      <c r="R137" s="10"/>
      <c r="S137" s="10"/>
      <c r="T137" s="10"/>
      <c r="U137" s="10"/>
      <c r="V137" s="39">
        <f>'Otex'!$B$138</f>
        <v>0</v>
      </c>
      <c r="W137" s="39">
        <f>'Otex'!$C$138</f>
        <v>0</v>
      </c>
      <c r="X137" s="17"/>
    </row>
    <row r="138" spans="1:24">
      <c r="A138" s="4" t="s">
        <v>184</v>
      </c>
      <c r="B138" s="10"/>
      <c r="C138" s="10"/>
      <c r="D138" s="10"/>
      <c r="E138" s="10"/>
      <c r="F138" s="10"/>
      <c r="G138" s="10"/>
      <c r="H138" s="10"/>
      <c r="I138" s="10"/>
      <c r="J138" s="10"/>
      <c r="K138" s="39">
        <f>'SM'!$B$118</f>
        <v>0</v>
      </c>
      <c r="L138" s="39">
        <f>'SM'!$C$118</f>
        <v>0</v>
      </c>
      <c r="M138" s="10"/>
      <c r="N138" s="10"/>
      <c r="O138" s="10"/>
      <c r="P138" s="10"/>
      <c r="Q138" s="10"/>
      <c r="R138" s="10"/>
      <c r="S138" s="10"/>
      <c r="T138" s="10"/>
      <c r="U138" s="10"/>
      <c r="V138" s="39">
        <f>'Otex'!$B$139</f>
        <v>0</v>
      </c>
      <c r="W138" s="39">
        <f>'Otex'!$C$139</f>
        <v>0</v>
      </c>
      <c r="X138" s="17"/>
    </row>
    <row r="139" spans="1:24">
      <c r="A139" s="4" t="s">
        <v>185</v>
      </c>
      <c r="B139" s="10"/>
      <c r="C139" s="10"/>
      <c r="D139" s="10"/>
      <c r="E139" s="10"/>
      <c r="F139" s="10"/>
      <c r="G139" s="10"/>
      <c r="H139" s="10"/>
      <c r="I139" s="10"/>
      <c r="J139" s="10"/>
      <c r="K139" s="39">
        <f>'SM'!$B$119</f>
        <v>0</v>
      </c>
      <c r="L139" s="39">
        <f>'SM'!$C$119</f>
        <v>0</v>
      </c>
      <c r="M139" s="10"/>
      <c r="N139" s="10"/>
      <c r="O139" s="10"/>
      <c r="P139" s="10"/>
      <c r="Q139" s="10"/>
      <c r="R139" s="10"/>
      <c r="S139" s="10"/>
      <c r="T139" s="10"/>
      <c r="U139" s="10"/>
      <c r="V139" s="39">
        <f>'Otex'!$B$140</f>
        <v>0</v>
      </c>
      <c r="W139" s="39">
        <f>'Otex'!$C$140</f>
        <v>0</v>
      </c>
      <c r="X139" s="17"/>
    </row>
    <row r="140" spans="1:24">
      <c r="A140" s="4" t="s">
        <v>186</v>
      </c>
      <c r="B140" s="10"/>
      <c r="C140" s="10"/>
      <c r="D140" s="10"/>
      <c r="E140" s="10"/>
      <c r="F140" s="10"/>
      <c r="G140" s="10"/>
      <c r="H140" s="10"/>
      <c r="I140" s="10"/>
      <c r="J140" s="10"/>
      <c r="K140" s="39">
        <f>'SM'!$B$120</f>
        <v>0</v>
      </c>
      <c r="L140" s="39">
        <f>'SM'!$C$120</f>
        <v>0</v>
      </c>
      <c r="M140" s="10"/>
      <c r="N140" s="10"/>
      <c r="O140" s="10"/>
      <c r="P140" s="10"/>
      <c r="Q140" s="10"/>
      <c r="R140" s="10"/>
      <c r="S140" s="10"/>
      <c r="T140" s="10"/>
      <c r="U140" s="10"/>
      <c r="V140" s="39">
        <f>'Otex'!$B$141</f>
        <v>0</v>
      </c>
      <c r="W140" s="39">
        <f>'Otex'!$C$141</f>
        <v>0</v>
      </c>
      <c r="X140" s="17"/>
    </row>
    <row r="141" spans="1:24">
      <c r="A141" s="4" t="s">
        <v>187</v>
      </c>
      <c r="B141" s="10"/>
      <c r="C141" s="10"/>
      <c r="D141" s="10"/>
      <c r="E141" s="10"/>
      <c r="F141" s="10"/>
      <c r="G141" s="10"/>
      <c r="H141" s="10"/>
      <c r="I141" s="10"/>
      <c r="J141" s="10"/>
      <c r="K141" s="39">
        <f>'SM'!$B$121</f>
        <v>0</v>
      </c>
      <c r="L141" s="39">
        <f>'SM'!$C$121</f>
        <v>0</v>
      </c>
      <c r="M141" s="10"/>
      <c r="N141" s="10"/>
      <c r="O141" s="10"/>
      <c r="P141" s="10"/>
      <c r="Q141" s="10"/>
      <c r="R141" s="10"/>
      <c r="S141" s="10"/>
      <c r="T141" s="10"/>
      <c r="U141" s="10"/>
      <c r="V141" s="39">
        <f>'Otex'!$B$142</f>
        <v>0</v>
      </c>
      <c r="W141" s="39">
        <f>'Otex'!$C$142</f>
        <v>0</v>
      </c>
      <c r="X141" s="17"/>
    </row>
    <row r="142" spans="1:24">
      <c r="A142" s="4" t="s">
        <v>194</v>
      </c>
      <c r="B142" s="10"/>
      <c r="C142" s="10"/>
      <c r="D142" s="10"/>
      <c r="E142" s="10"/>
      <c r="F142" s="10"/>
      <c r="G142" s="10"/>
      <c r="H142" s="10"/>
      <c r="I142" s="10"/>
      <c r="J142" s="10"/>
      <c r="K142" s="39">
        <f>'SM'!$B$122</f>
        <v>0</v>
      </c>
      <c r="L142" s="39">
        <f>'SM'!$C$122</f>
        <v>0</v>
      </c>
      <c r="M142" s="10"/>
      <c r="N142" s="10"/>
      <c r="O142" s="10"/>
      <c r="P142" s="10"/>
      <c r="Q142" s="10"/>
      <c r="R142" s="10"/>
      <c r="S142" s="10"/>
      <c r="T142" s="10"/>
      <c r="U142" s="10"/>
      <c r="V142" s="39">
        <f>'Otex'!$B$143</f>
        <v>0</v>
      </c>
      <c r="W142" s="39">
        <f>'Otex'!$C$143</f>
        <v>0</v>
      </c>
      <c r="X142" s="17"/>
    </row>
    <row r="143" spans="1:24">
      <c r="A143" s="4" t="s">
        <v>195</v>
      </c>
      <c r="B143" s="10"/>
      <c r="C143" s="10"/>
      <c r="D143" s="10"/>
      <c r="E143" s="10"/>
      <c r="F143" s="10"/>
      <c r="G143" s="10"/>
      <c r="H143" s="10"/>
      <c r="I143" s="10"/>
      <c r="J143" s="10"/>
      <c r="K143" s="39">
        <f>'SM'!$B$123</f>
        <v>0</v>
      </c>
      <c r="L143" s="39">
        <f>'SM'!$C$123</f>
        <v>0</v>
      </c>
      <c r="M143" s="10"/>
      <c r="N143" s="10"/>
      <c r="O143" s="10"/>
      <c r="P143" s="10"/>
      <c r="Q143" s="10"/>
      <c r="R143" s="10"/>
      <c r="S143" s="10"/>
      <c r="T143" s="10"/>
      <c r="U143" s="10"/>
      <c r="V143" s="39">
        <f>'Otex'!$B$144</f>
        <v>0</v>
      </c>
      <c r="W143" s="39">
        <f>'Otex'!$C$144</f>
        <v>0</v>
      </c>
      <c r="X143" s="17"/>
    </row>
    <row r="145" spans="1:24" ht="21" customHeight="1">
      <c r="A145" s="1" t="s">
        <v>1082</v>
      </c>
    </row>
    <row r="146" spans="1:24">
      <c r="A146" s="2" t="s">
        <v>351</v>
      </c>
    </row>
    <row r="147" spans="1:24">
      <c r="A147" s="33" t="s">
        <v>1083</v>
      </c>
    </row>
    <row r="148" spans="1:24">
      <c r="A148" s="2" t="s">
        <v>633</v>
      </c>
    </row>
    <row r="150" spans="1:24">
      <c r="B150" s="15" t="s">
        <v>142</v>
      </c>
      <c r="C150" s="15" t="s">
        <v>306</v>
      </c>
      <c r="D150" s="15" t="s">
        <v>307</v>
      </c>
      <c r="E150" s="15" t="s">
        <v>308</v>
      </c>
      <c r="F150" s="15" t="s">
        <v>309</v>
      </c>
      <c r="G150" s="15" t="s">
        <v>310</v>
      </c>
      <c r="H150" s="15" t="s">
        <v>311</v>
      </c>
      <c r="I150" s="15" t="s">
        <v>312</v>
      </c>
      <c r="J150" s="15" t="s">
        <v>313</v>
      </c>
      <c r="K150" s="15" t="s">
        <v>463</v>
      </c>
      <c r="L150" s="15" t="s">
        <v>475</v>
      </c>
      <c r="M150" s="15" t="s">
        <v>294</v>
      </c>
      <c r="N150" s="15" t="s">
        <v>877</v>
      </c>
      <c r="O150" s="15" t="s">
        <v>878</v>
      </c>
      <c r="P150" s="15" t="s">
        <v>879</v>
      </c>
      <c r="Q150" s="15" t="s">
        <v>880</v>
      </c>
      <c r="R150" s="15" t="s">
        <v>881</v>
      </c>
      <c r="S150" s="15" t="s">
        <v>882</v>
      </c>
      <c r="T150" s="15" t="s">
        <v>883</v>
      </c>
      <c r="U150" s="15" t="s">
        <v>884</v>
      </c>
      <c r="V150" s="15" t="s">
        <v>885</v>
      </c>
      <c r="W150" s="15" t="s">
        <v>886</v>
      </c>
    </row>
    <row r="151" spans="1:24">
      <c r="A151" s="4" t="s">
        <v>174</v>
      </c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7"/>
    </row>
    <row r="152" spans="1:24">
      <c r="A152" s="4" t="s">
        <v>175</v>
      </c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7"/>
    </row>
    <row r="153" spans="1:24">
      <c r="A153" s="4" t="s">
        <v>211</v>
      </c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7"/>
    </row>
    <row r="154" spans="1:24">
      <c r="A154" s="4" t="s">
        <v>176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7"/>
    </row>
    <row r="155" spans="1:24">
      <c r="A155" s="4" t="s">
        <v>177</v>
      </c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7"/>
    </row>
    <row r="156" spans="1:24">
      <c r="A156" s="4" t="s">
        <v>212</v>
      </c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7"/>
    </row>
    <row r="157" spans="1:24">
      <c r="A157" s="4" t="s">
        <v>178</v>
      </c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7"/>
    </row>
    <row r="158" spans="1:24">
      <c r="A158" s="4" t="s">
        <v>179</v>
      </c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7"/>
    </row>
    <row r="159" spans="1:24">
      <c r="A159" s="4" t="s">
        <v>180</v>
      </c>
      <c r="B159" s="39">
        <f>'Standing'!$B$33</f>
        <v>0</v>
      </c>
      <c r="C159" s="39">
        <f>'Standing'!$C$33</f>
        <v>0</v>
      </c>
      <c r="D159" s="39">
        <f>'Standing'!$D$33</f>
        <v>0</v>
      </c>
      <c r="E159" s="39">
        <f>'Standing'!$E$33</f>
        <v>0</v>
      </c>
      <c r="F159" s="39">
        <f>'Standing'!$F$33</f>
        <v>0</v>
      </c>
      <c r="G159" s="39">
        <f>'Standing'!$G$33</f>
        <v>0</v>
      </c>
      <c r="H159" s="39">
        <f>'Standing'!$H$33</f>
        <v>0</v>
      </c>
      <c r="I159" s="39">
        <f>'Standing'!$I$33</f>
        <v>0</v>
      </c>
      <c r="J159" s="39">
        <f>'Standing'!$J$33</f>
        <v>0</v>
      </c>
      <c r="K159" s="10"/>
      <c r="L159" s="10"/>
      <c r="M159" s="39">
        <f>'Standing'!$K$33</f>
        <v>0</v>
      </c>
      <c r="N159" s="39">
        <f>'Standing'!$L$33</f>
        <v>0</v>
      </c>
      <c r="O159" s="39">
        <f>'Standing'!$M$33</f>
        <v>0</v>
      </c>
      <c r="P159" s="39">
        <f>'Standing'!$N$33</f>
        <v>0</v>
      </c>
      <c r="Q159" s="39">
        <f>'Standing'!$O$33</f>
        <v>0</v>
      </c>
      <c r="R159" s="39">
        <f>'Standing'!$P$33</f>
        <v>0</v>
      </c>
      <c r="S159" s="39">
        <f>'Standing'!$Q$33</f>
        <v>0</v>
      </c>
      <c r="T159" s="39">
        <f>'Standing'!$R$33</f>
        <v>0</v>
      </c>
      <c r="U159" s="39">
        <f>'Standing'!$S$33</f>
        <v>0</v>
      </c>
      <c r="V159" s="10"/>
      <c r="W159" s="10"/>
      <c r="X159" s="17"/>
    </row>
    <row r="160" spans="1:24">
      <c r="A160" s="4" t="s">
        <v>181</v>
      </c>
      <c r="B160" s="39">
        <f>'Standing'!$B$34</f>
        <v>0</v>
      </c>
      <c r="C160" s="39">
        <f>'Standing'!$C$34</f>
        <v>0</v>
      </c>
      <c r="D160" s="39">
        <f>'Standing'!$D$34</f>
        <v>0</v>
      </c>
      <c r="E160" s="39">
        <f>'Standing'!$E$34</f>
        <v>0</v>
      </c>
      <c r="F160" s="39">
        <f>'Standing'!$F$34</f>
        <v>0</v>
      </c>
      <c r="G160" s="39">
        <f>'Standing'!$G$34</f>
        <v>0</v>
      </c>
      <c r="H160" s="39">
        <f>'Standing'!$H$34</f>
        <v>0</v>
      </c>
      <c r="I160" s="39">
        <f>'Standing'!$I$34</f>
        <v>0</v>
      </c>
      <c r="J160" s="39">
        <f>'Standing'!$J$34</f>
        <v>0</v>
      </c>
      <c r="K160" s="10"/>
      <c r="L160" s="10"/>
      <c r="M160" s="39">
        <f>'Standing'!$K$34</f>
        <v>0</v>
      </c>
      <c r="N160" s="39">
        <f>'Standing'!$L$34</f>
        <v>0</v>
      </c>
      <c r="O160" s="39">
        <f>'Standing'!$M$34</f>
        <v>0</v>
      </c>
      <c r="P160" s="39">
        <f>'Standing'!$N$34</f>
        <v>0</v>
      </c>
      <c r="Q160" s="39">
        <f>'Standing'!$O$34</f>
        <v>0</v>
      </c>
      <c r="R160" s="39">
        <f>'Standing'!$P$34</f>
        <v>0</v>
      </c>
      <c r="S160" s="39">
        <f>'Standing'!$Q$34</f>
        <v>0</v>
      </c>
      <c r="T160" s="39">
        <f>'Standing'!$R$34</f>
        <v>0</v>
      </c>
      <c r="U160" s="39">
        <f>'Standing'!$S$34</f>
        <v>0</v>
      </c>
      <c r="V160" s="10"/>
      <c r="W160" s="10"/>
      <c r="X160" s="17"/>
    </row>
    <row r="161" spans="1:24">
      <c r="A161" s="4" t="s">
        <v>193</v>
      </c>
      <c r="B161" s="39">
        <f>'Standing'!$B$35</f>
        <v>0</v>
      </c>
      <c r="C161" s="39">
        <f>'Standing'!$C$35</f>
        <v>0</v>
      </c>
      <c r="D161" s="39">
        <f>'Standing'!$D$35</f>
        <v>0</v>
      </c>
      <c r="E161" s="39">
        <f>'Standing'!$E$35</f>
        <v>0</v>
      </c>
      <c r="F161" s="39">
        <f>'Standing'!$F$35</f>
        <v>0</v>
      </c>
      <c r="G161" s="39">
        <f>'Standing'!$G$35</f>
        <v>0</v>
      </c>
      <c r="H161" s="39">
        <f>'Standing'!$H$35</f>
        <v>0</v>
      </c>
      <c r="I161" s="39">
        <f>'Standing'!$I$35</f>
        <v>0</v>
      </c>
      <c r="J161" s="39">
        <f>'Standing'!$J$35</f>
        <v>0</v>
      </c>
      <c r="K161" s="10"/>
      <c r="L161" s="10"/>
      <c r="M161" s="39">
        <f>'Standing'!$K$35</f>
        <v>0</v>
      </c>
      <c r="N161" s="39">
        <f>'Standing'!$L$35</f>
        <v>0</v>
      </c>
      <c r="O161" s="39">
        <f>'Standing'!$M$35</f>
        <v>0</v>
      </c>
      <c r="P161" s="39">
        <f>'Standing'!$N$35</f>
        <v>0</v>
      </c>
      <c r="Q161" s="39">
        <f>'Standing'!$O$35</f>
        <v>0</v>
      </c>
      <c r="R161" s="39">
        <f>'Standing'!$P$35</f>
        <v>0</v>
      </c>
      <c r="S161" s="39">
        <f>'Standing'!$Q$35</f>
        <v>0</v>
      </c>
      <c r="T161" s="39">
        <f>'Standing'!$R$35</f>
        <v>0</v>
      </c>
      <c r="U161" s="39">
        <f>'Standing'!$S$35</f>
        <v>0</v>
      </c>
      <c r="V161" s="10"/>
      <c r="W161" s="10"/>
      <c r="X161" s="17"/>
    </row>
    <row r="162" spans="1:24">
      <c r="A162" s="4" t="s">
        <v>213</v>
      </c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7"/>
    </row>
    <row r="163" spans="1:24">
      <c r="A163" s="4" t="s">
        <v>214</v>
      </c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7"/>
    </row>
    <row r="164" spans="1:24">
      <c r="A164" s="4" t="s">
        <v>215</v>
      </c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7"/>
    </row>
    <row r="165" spans="1:24">
      <c r="A165" s="4" t="s">
        <v>216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7"/>
    </row>
    <row r="166" spans="1:24">
      <c r="A166" s="4" t="s">
        <v>217</v>
      </c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7"/>
    </row>
    <row r="167" spans="1:24">
      <c r="A167" s="4" t="s">
        <v>182</v>
      </c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7"/>
    </row>
    <row r="168" spans="1:24">
      <c r="A168" s="4" t="s">
        <v>183</v>
      </c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7"/>
    </row>
    <row r="169" spans="1:24">
      <c r="A169" s="4" t="s">
        <v>184</v>
      </c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7"/>
    </row>
    <row r="170" spans="1:24">
      <c r="A170" s="4" t="s">
        <v>185</v>
      </c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7"/>
    </row>
    <row r="171" spans="1:24">
      <c r="A171" s="4" t="s">
        <v>186</v>
      </c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7"/>
    </row>
    <row r="172" spans="1:24">
      <c r="A172" s="4" t="s">
        <v>187</v>
      </c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7"/>
    </row>
    <row r="173" spans="1:24">
      <c r="A173" s="4" t="s">
        <v>194</v>
      </c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7"/>
    </row>
    <row r="174" spans="1:24">
      <c r="A174" s="4" t="s">
        <v>195</v>
      </c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7"/>
    </row>
    <row r="176" spans="1:24" ht="21" customHeight="1">
      <c r="A176" s="1" t="s">
        <v>1084</v>
      </c>
    </row>
    <row r="177" spans="1:24">
      <c r="A177" s="2" t="s">
        <v>351</v>
      </c>
    </row>
    <row r="178" spans="1:24">
      <c r="A178" s="33" t="s">
        <v>1085</v>
      </c>
    </row>
    <row r="179" spans="1:24">
      <c r="A179" s="33" t="s">
        <v>1086</v>
      </c>
    </row>
    <row r="180" spans="1:24">
      <c r="A180" s="2" t="s">
        <v>369</v>
      </c>
    </row>
    <row r="182" spans="1:24">
      <c r="B182" s="15" t="s">
        <v>142</v>
      </c>
      <c r="C182" s="15" t="s">
        <v>306</v>
      </c>
      <c r="D182" s="15" t="s">
        <v>307</v>
      </c>
      <c r="E182" s="15" t="s">
        <v>308</v>
      </c>
      <c r="F182" s="15" t="s">
        <v>309</v>
      </c>
      <c r="G182" s="15" t="s">
        <v>310</v>
      </c>
      <c r="H182" s="15" t="s">
        <v>311</v>
      </c>
      <c r="I182" s="15" t="s">
        <v>312</v>
      </c>
      <c r="J182" s="15" t="s">
        <v>313</v>
      </c>
      <c r="K182" s="15" t="s">
        <v>463</v>
      </c>
      <c r="L182" s="15" t="s">
        <v>475</v>
      </c>
      <c r="M182" s="15" t="s">
        <v>294</v>
      </c>
      <c r="N182" s="15" t="s">
        <v>877</v>
      </c>
      <c r="O182" s="15" t="s">
        <v>878</v>
      </c>
      <c r="P182" s="15" t="s">
        <v>879</v>
      </c>
      <c r="Q182" s="15" t="s">
        <v>880</v>
      </c>
      <c r="R182" s="15" t="s">
        <v>881</v>
      </c>
      <c r="S182" s="15" t="s">
        <v>882</v>
      </c>
      <c r="T182" s="15" t="s">
        <v>883</v>
      </c>
      <c r="U182" s="15" t="s">
        <v>884</v>
      </c>
      <c r="V182" s="15" t="s">
        <v>885</v>
      </c>
      <c r="W182" s="15" t="s">
        <v>886</v>
      </c>
    </row>
    <row r="183" spans="1:24">
      <c r="A183" s="4" t="s">
        <v>174</v>
      </c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7"/>
    </row>
    <row r="184" spans="1:24">
      <c r="A184" s="4" t="s">
        <v>175</v>
      </c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7"/>
    </row>
    <row r="185" spans="1:24">
      <c r="A185" s="4" t="s">
        <v>211</v>
      </c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7"/>
    </row>
    <row r="186" spans="1:24">
      <c r="A186" s="4" t="s">
        <v>176</v>
      </c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7"/>
    </row>
    <row r="187" spans="1:24">
      <c r="A187" s="4" t="s">
        <v>177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7"/>
    </row>
    <row r="188" spans="1:24">
      <c r="A188" s="4" t="s">
        <v>212</v>
      </c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7"/>
    </row>
    <row r="189" spans="1:24">
      <c r="A189" s="4" t="s">
        <v>178</v>
      </c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7"/>
    </row>
    <row r="190" spans="1:24">
      <c r="A190" s="4" t="s">
        <v>179</v>
      </c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7"/>
    </row>
    <row r="191" spans="1:24">
      <c r="A191" s="4" t="s">
        <v>180</v>
      </c>
      <c r="B191" s="39">
        <f>'Reactive'!$B$33</f>
        <v>0</v>
      </c>
      <c r="C191" s="39">
        <f>'Reactive'!$C$33</f>
        <v>0</v>
      </c>
      <c r="D191" s="39">
        <f>'Reactive'!$D$33</f>
        <v>0</v>
      </c>
      <c r="E191" s="39">
        <f>'Reactive'!$E$33</f>
        <v>0</v>
      </c>
      <c r="F191" s="39">
        <f>'Reactive'!$F$33</f>
        <v>0</v>
      </c>
      <c r="G191" s="39">
        <f>'Reactive'!$G$33</f>
        <v>0</v>
      </c>
      <c r="H191" s="39">
        <f>'Reactive'!$H$33</f>
        <v>0</v>
      </c>
      <c r="I191" s="39">
        <f>'Reactive'!$I$33</f>
        <v>0</v>
      </c>
      <c r="J191" s="39">
        <f>'Reactive'!$J$33</f>
        <v>0</v>
      </c>
      <c r="K191" s="10"/>
      <c r="L191" s="10"/>
      <c r="M191" s="39">
        <f>'Reactive'!$K$33</f>
        <v>0</v>
      </c>
      <c r="N191" s="39">
        <f>'Reactive'!$L$33</f>
        <v>0</v>
      </c>
      <c r="O191" s="39">
        <f>'Reactive'!$M$33</f>
        <v>0</v>
      </c>
      <c r="P191" s="39">
        <f>'Reactive'!$N$33</f>
        <v>0</v>
      </c>
      <c r="Q191" s="39">
        <f>'Reactive'!$O$33</f>
        <v>0</v>
      </c>
      <c r="R191" s="39">
        <f>'Reactive'!$P$33</f>
        <v>0</v>
      </c>
      <c r="S191" s="39">
        <f>'Reactive'!$Q$33</f>
        <v>0</v>
      </c>
      <c r="T191" s="39">
        <f>'Reactive'!$R$33</f>
        <v>0</v>
      </c>
      <c r="U191" s="39">
        <f>'Reactive'!$S$33</f>
        <v>0</v>
      </c>
      <c r="V191" s="10"/>
      <c r="W191" s="10"/>
      <c r="X191" s="17"/>
    </row>
    <row r="192" spans="1:24">
      <c r="A192" s="4" t="s">
        <v>181</v>
      </c>
      <c r="B192" s="39">
        <f>'Reactive'!$B$34</f>
        <v>0</v>
      </c>
      <c r="C192" s="39">
        <f>'Reactive'!$C$34</f>
        <v>0</v>
      </c>
      <c r="D192" s="39">
        <f>'Reactive'!$D$34</f>
        <v>0</v>
      </c>
      <c r="E192" s="39">
        <f>'Reactive'!$E$34</f>
        <v>0</v>
      </c>
      <c r="F192" s="39">
        <f>'Reactive'!$F$34</f>
        <v>0</v>
      </c>
      <c r="G192" s="39">
        <f>'Reactive'!$G$34</f>
        <v>0</v>
      </c>
      <c r="H192" s="39">
        <f>'Reactive'!$H$34</f>
        <v>0</v>
      </c>
      <c r="I192" s="39">
        <f>'Reactive'!$I$34</f>
        <v>0</v>
      </c>
      <c r="J192" s="39">
        <f>'Reactive'!$J$34</f>
        <v>0</v>
      </c>
      <c r="K192" s="10"/>
      <c r="L192" s="10"/>
      <c r="M192" s="39">
        <f>'Reactive'!$K$34</f>
        <v>0</v>
      </c>
      <c r="N192" s="39">
        <f>'Reactive'!$L$34</f>
        <v>0</v>
      </c>
      <c r="O192" s="39">
        <f>'Reactive'!$M$34</f>
        <v>0</v>
      </c>
      <c r="P192" s="39">
        <f>'Reactive'!$N$34</f>
        <v>0</v>
      </c>
      <c r="Q192" s="39">
        <f>'Reactive'!$O$34</f>
        <v>0</v>
      </c>
      <c r="R192" s="39">
        <f>'Reactive'!$P$34</f>
        <v>0</v>
      </c>
      <c r="S192" s="39">
        <f>'Reactive'!$Q$34</f>
        <v>0</v>
      </c>
      <c r="T192" s="39">
        <f>'Reactive'!$R$34</f>
        <v>0</v>
      </c>
      <c r="U192" s="39">
        <f>'Reactive'!$S$34</f>
        <v>0</v>
      </c>
      <c r="V192" s="10"/>
      <c r="W192" s="10"/>
      <c r="X192" s="17"/>
    </row>
    <row r="193" spans="1:24">
      <c r="A193" s="4" t="s">
        <v>193</v>
      </c>
      <c r="B193" s="39">
        <f>'Reactive'!$B$35</f>
        <v>0</v>
      </c>
      <c r="C193" s="39">
        <f>'Reactive'!$C$35</f>
        <v>0</v>
      </c>
      <c r="D193" s="39">
        <f>'Reactive'!$D$35</f>
        <v>0</v>
      </c>
      <c r="E193" s="39">
        <f>'Reactive'!$E$35</f>
        <v>0</v>
      </c>
      <c r="F193" s="39">
        <f>'Reactive'!$F$35</f>
        <v>0</v>
      </c>
      <c r="G193" s="39">
        <f>'Reactive'!$G$35</f>
        <v>0</v>
      </c>
      <c r="H193" s="39">
        <f>'Reactive'!$H$35</f>
        <v>0</v>
      </c>
      <c r="I193" s="39">
        <f>'Reactive'!$I$35</f>
        <v>0</v>
      </c>
      <c r="J193" s="39">
        <f>'Reactive'!$J$35</f>
        <v>0</v>
      </c>
      <c r="K193" s="10"/>
      <c r="L193" s="10"/>
      <c r="M193" s="39">
        <f>'Reactive'!$K$35</f>
        <v>0</v>
      </c>
      <c r="N193" s="39">
        <f>'Reactive'!$L$35</f>
        <v>0</v>
      </c>
      <c r="O193" s="39">
        <f>'Reactive'!$M$35</f>
        <v>0</v>
      </c>
      <c r="P193" s="39">
        <f>'Reactive'!$N$35</f>
        <v>0</v>
      </c>
      <c r="Q193" s="39">
        <f>'Reactive'!$O$35</f>
        <v>0</v>
      </c>
      <c r="R193" s="39">
        <f>'Reactive'!$P$35</f>
        <v>0</v>
      </c>
      <c r="S193" s="39">
        <f>'Reactive'!$Q$35</f>
        <v>0</v>
      </c>
      <c r="T193" s="39">
        <f>'Reactive'!$R$35</f>
        <v>0</v>
      </c>
      <c r="U193" s="39">
        <f>'Reactive'!$S$35</f>
        <v>0</v>
      </c>
      <c r="V193" s="10"/>
      <c r="W193" s="10"/>
      <c r="X193" s="17"/>
    </row>
    <row r="194" spans="1:24">
      <c r="A194" s="4" t="s">
        <v>213</v>
      </c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7"/>
    </row>
    <row r="195" spans="1:24">
      <c r="A195" s="4" t="s">
        <v>214</v>
      </c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7"/>
    </row>
    <row r="196" spans="1:24">
      <c r="A196" s="4" t="s">
        <v>215</v>
      </c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7"/>
    </row>
    <row r="197" spans="1:24">
      <c r="A197" s="4" t="s">
        <v>216</v>
      </c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7"/>
    </row>
    <row r="198" spans="1:24">
      <c r="A198" s="4" t="s">
        <v>217</v>
      </c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7"/>
    </row>
    <row r="199" spans="1:24">
      <c r="A199" s="4" t="s">
        <v>182</v>
      </c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7"/>
    </row>
    <row r="200" spans="1:24">
      <c r="A200" s="4" t="s">
        <v>183</v>
      </c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7"/>
    </row>
    <row r="201" spans="1:24">
      <c r="A201" s="4" t="s">
        <v>184</v>
      </c>
      <c r="B201" s="39">
        <f>'Reactive'!$B$77</f>
        <v>0</v>
      </c>
      <c r="C201" s="39">
        <f>'Reactive'!$C$77</f>
        <v>0</v>
      </c>
      <c r="D201" s="39">
        <f>'Reactive'!$D$77</f>
        <v>0</v>
      </c>
      <c r="E201" s="39">
        <f>'Reactive'!$E$77</f>
        <v>0</v>
      </c>
      <c r="F201" s="39">
        <f>'Reactive'!$F$77</f>
        <v>0</v>
      </c>
      <c r="G201" s="39">
        <f>'Reactive'!$G$77</f>
        <v>0</v>
      </c>
      <c r="H201" s="39">
        <f>'Reactive'!$H$77</f>
        <v>0</v>
      </c>
      <c r="I201" s="39">
        <f>'Reactive'!$I$77</f>
        <v>0</v>
      </c>
      <c r="J201" s="39">
        <f>'Reactive'!$J$77</f>
        <v>0</v>
      </c>
      <c r="K201" s="10"/>
      <c r="L201" s="10"/>
      <c r="M201" s="39">
        <f>'Reactive'!$K$77</f>
        <v>0</v>
      </c>
      <c r="N201" s="39">
        <f>'Reactive'!$L$77</f>
        <v>0</v>
      </c>
      <c r="O201" s="39">
        <f>'Reactive'!$M$77</f>
        <v>0</v>
      </c>
      <c r="P201" s="39">
        <f>'Reactive'!$N$77</f>
        <v>0</v>
      </c>
      <c r="Q201" s="39">
        <f>'Reactive'!$O$77</f>
        <v>0</v>
      </c>
      <c r="R201" s="39">
        <f>'Reactive'!$P$77</f>
        <v>0</v>
      </c>
      <c r="S201" s="39">
        <f>'Reactive'!$Q$77</f>
        <v>0</v>
      </c>
      <c r="T201" s="39">
        <f>'Reactive'!$R$77</f>
        <v>0</v>
      </c>
      <c r="U201" s="39">
        <f>'Reactive'!$S$77</f>
        <v>0</v>
      </c>
      <c r="V201" s="10"/>
      <c r="W201" s="10"/>
      <c r="X201" s="17"/>
    </row>
    <row r="202" spans="1:24">
      <c r="A202" s="4" t="s">
        <v>185</v>
      </c>
      <c r="B202" s="39">
        <f>'Reactive'!$B$78</f>
        <v>0</v>
      </c>
      <c r="C202" s="39">
        <f>'Reactive'!$C$78</f>
        <v>0</v>
      </c>
      <c r="D202" s="39">
        <f>'Reactive'!$D$78</f>
        <v>0</v>
      </c>
      <c r="E202" s="39">
        <f>'Reactive'!$E$78</f>
        <v>0</v>
      </c>
      <c r="F202" s="39">
        <f>'Reactive'!$F$78</f>
        <v>0</v>
      </c>
      <c r="G202" s="39">
        <f>'Reactive'!$G$78</f>
        <v>0</v>
      </c>
      <c r="H202" s="39">
        <f>'Reactive'!$H$78</f>
        <v>0</v>
      </c>
      <c r="I202" s="39">
        <f>'Reactive'!$I$78</f>
        <v>0</v>
      </c>
      <c r="J202" s="39">
        <f>'Reactive'!$J$78</f>
        <v>0</v>
      </c>
      <c r="K202" s="10"/>
      <c r="L202" s="10"/>
      <c r="M202" s="39">
        <f>'Reactive'!$K$78</f>
        <v>0</v>
      </c>
      <c r="N202" s="39">
        <f>'Reactive'!$L$78</f>
        <v>0</v>
      </c>
      <c r="O202" s="39">
        <f>'Reactive'!$M$78</f>
        <v>0</v>
      </c>
      <c r="P202" s="39">
        <f>'Reactive'!$N$78</f>
        <v>0</v>
      </c>
      <c r="Q202" s="39">
        <f>'Reactive'!$O$78</f>
        <v>0</v>
      </c>
      <c r="R202" s="39">
        <f>'Reactive'!$P$78</f>
        <v>0</v>
      </c>
      <c r="S202" s="39">
        <f>'Reactive'!$Q$78</f>
        <v>0</v>
      </c>
      <c r="T202" s="39">
        <f>'Reactive'!$R$78</f>
        <v>0</v>
      </c>
      <c r="U202" s="39">
        <f>'Reactive'!$S$78</f>
        <v>0</v>
      </c>
      <c r="V202" s="10"/>
      <c r="W202" s="10"/>
      <c r="X202" s="17"/>
    </row>
    <row r="203" spans="1:24">
      <c r="A203" s="4" t="s">
        <v>186</v>
      </c>
      <c r="B203" s="39">
        <f>'Reactive'!$B$79</f>
        <v>0</v>
      </c>
      <c r="C203" s="39">
        <f>'Reactive'!$C$79</f>
        <v>0</v>
      </c>
      <c r="D203" s="39">
        <f>'Reactive'!$D$79</f>
        <v>0</v>
      </c>
      <c r="E203" s="39">
        <f>'Reactive'!$E$79</f>
        <v>0</v>
      </c>
      <c r="F203" s="39">
        <f>'Reactive'!$F$79</f>
        <v>0</v>
      </c>
      <c r="G203" s="39">
        <f>'Reactive'!$G$79</f>
        <v>0</v>
      </c>
      <c r="H203" s="39">
        <f>'Reactive'!$H$79</f>
        <v>0</v>
      </c>
      <c r="I203" s="39">
        <f>'Reactive'!$I$79</f>
        <v>0</v>
      </c>
      <c r="J203" s="39">
        <f>'Reactive'!$J$79</f>
        <v>0</v>
      </c>
      <c r="K203" s="10"/>
      <c r="L203" s="10"/>
      <c r="M203" s="39">
        <f>'Reactive'!$K$79</f>
        <v>0</v>
      </c>
      <c r="N203" s="39">
        <f>'Reactive'!$L$79</f>
        <v>0</v>
      </c>
      <c r="O203" s="39">
        <f>'Reactive'!$M$79</f>
        <v>0</v>
      </c>
      <c r="P203" s="39">
        <f>'Reactive'!$N$79</f>
        <v>0</v>
      </c>
      <c r="Q203" s="39">
        <f>'Reactive'!$O$79</f>
        <v>0</v>
      </c>
      <c r="R203" s="39">
        <f>'Reactive'!$P$79</f>
        <v>0</v>
      </c>
      <c r="S203" s="39">
        <f>'Reactive'!$Q$79</f>
        <v>0</v>
      </c>
      <c r="T203" s="39">
        <f>'Reactive'!$R$79</f>
        <v>0</v>
      </c>
      <c r="U203" s="39">
        <f>'Reactive'!$S$79</f>
        <v>0</v>
      </c>
      <c r="V203" s="10"/>
      <c r="W203" s="10"/>
      <c r="X203" s="17"/>
    </row>
    <row r="204" spans="1:24">
      <c r="A204" s="4" t="s">
        <v>187</v>
      </c>
      <c r="B204" s="39">
        <f>'Reactive'!$B$80</f>
        <v>0</v>
      </c>
      <c r="C204" s="39">
        <f>'Reactive'!$C$80</f>
        <v>0</v>
      </c>
      <c r="D204" s="39">
        <f>'Reactive'!$D$80</f>
        <v>0</v>
      </c>
      <c r="E204" s="39">
        <f>'Reactive'!$E$80</f>
        <v>0</v>
      </c>
      <c r="F204" s="39">
        <f>'Reactive'!$F$80</f>
        <v>0</v>
      </c>
      <c r="G204" s="39">
        <f>'Reactive'!$G$80</f>
        <v>0</v>
      </c>
      <c r="H204" s="39">
        <f>'Reactive'!$H$80</f>
        <v>0</v>
      </c>
      <c r="I204" s="39">
        <f>'Reactive'!$I$80</f>
        <v>0</v>
      </c>
      <c r="J204" s="39">
        <f>'Reactive'!$J$80</f>
        <v>0</v>
      </c>
      <c r="K204" s="10"/>
      <c r="L204" s="10"/>
      <c r="M204" s="39">
        <f>'Reactive'!$K$80</f>
        <v>0</v>
      </c>
      <c r="N204" s="39">
        <f>'Reactive'!$L$80</f>
        <v>0</v>
      </c>
      <c r="O204" s="39">
        <f>'Reactive'!$M$80</f>
        <v>0</v>
      </c>
      <c r="P204" s="39">
        <f>'Reactive'!$N$80</f>
        <v>0</v>
      </c>
      <c r="Q204" s="39">
        <f>'Reactive'!$O$80</f>
        <v>0</v>
      </c>
      <c r="R204" s="39">
        <f>'Reactive'!$P$80</f>
        <v>0</v>
      </c>
      <c r="S204" s="39">
        <f>'Reactive'!$Q$80</f>
        <v>0</v>
      </c>
      <c r="T204" s="39">
        <f>'Reactive'!$R$80</f>
        <v>0</v>
      </c>
      <c r="U204" s="39">
        <f>'Reactive'!$S$80</f>
        <v>0</v>
      </c>
      <c r="V204" s="10"/>
      <c r="W204" s="10"/>
      <c r="X204" s="17"/>
    </row>
    <row r="205" spans="1:24">
      <c r="A205" s="4" t="s">
        <v>194</v>
      </c>
      <c r="B205" s="39">
        <f>'Reactive'!$B$81</f>
        <v>0</v>
      </c>
      <c r="C205" s="39">
        <f>'Reactive'!$C$81</f>
        <v>0</v>
      </c>
      <c r="D205" s="39">
        <f>'Reactive'!$D$81</f>
        <v>0</v>
      </c>
      <c r="E205" s="39">
        <f>'Reactive'!$E$81</f>
        <v>0</v>
      </c>
      <c r="F205" s="39">
        <f>'Reactive'!$F$81</f>
        <v>0</v>
      </c>
      <c r="G205" s="39">
        <f>'Reactive'!$G$81</f>
        <v>0</v>
      </c>
      <c r="H205" s="39">
        <f>'Reactive'!$H$81</f>
        <v>0</v>
      </c>
      <c r="I205" s="39">
        <f>'Reactive'!$I$81</f>
        <v>0</v>
      </c>
      <c r="J205" s="39">
        <f>'Reactive'!$J$81</f>
        <v>0</v>
      </c>
      <c r="K205" s="10"/>
      <c r="L205" s="10"/>
      <c r="M205" s="39">
        <f>'Reactive'!$K$81</f>
        <v>0</v>
      </c>
      <c r="N205" s="39">
        <f>'Reactive'!$L$81</f>
        <v>0</v>
      </c>
      <c r="O205" s="39">
        <f>'Reactive'!$M$81</f>
        <v>0</v>
      </c>
      <c r="P205" s="39">
        <f>'Reactive'!$N$81</f>
        <v>0</v>
      </c>
      <c r="Q205" s="39">
        <f>'Reactive'!$O$81</f>
        <v>0</v>
      </c>
      <c r="R205" s="39">
        <f>'Reactive'!$P$81</f>
        <v>0</v>
      </c>
      <c r="S205" s="39">
        <f>'Reactive'!$Q$81</f>
        <v>0</v>
      </c>
      <c r="T205" s="39">
        <f>'Reactive'!$R$81</f>
        <v>0</v>
      </c>
      <c r="U205" s="39">
        <f>'Reactive'!$S$81</f>
        <v>0</v>
      </c>
      <c r="V205" s="10"/>
      <c r="W205" s="10"/>
      <c r="X205" s="17"/>
    </row>
    <row r="206" spans="1:24">
      <c r="A206" s="4" t="s">
        <v>195</v>
      </c>
      <c r="B206" s="39">
        <f>'Reactive'!$B$82</f>
        <v>0</v>
      </c>
      <c r="C206" s="39">
        <f>'Reactive'!$C$82</f>
        <v>0</v>
      </c>
      <c r="D206" s="39">
        <f>'Reactive'!$D$82</f>
        <v>0</v>
      </c>
      <c r="E206" s="39">
        <f>'Reactive'!$E$82</f>
        <v>0</v>
      </c>
      <c r="F206" s="39">
        <f>'Reactive'!$F$82</f>
        <v>0</v>
      </c>
      <c r="G206" s="39">
        <f>'Reactive'!$G$82</f>
        <v>0</v>
      </c>
      <c r="H206" s="39">
        <f>'Reactive'!$H$82</f>
        <v>0</v>
      </c>
      <c r="I206" s="39">
        <f>'Reactive'!$I$82</f>
        <v>0</v>
      </c>
      <c r="J206" s="39">
        <f>'Reactive'!$J$82</f>
        <v>0</v>
      </c>
      <c r="K206" s="10"/>
      <c r="L206" s="10"/>
      <c r="M206" s="39">
        <f>'Reactive'!$K$82</f>
        <v>0</v>
      </c>
      <c r="N206" s="39">
        <f>'Reactive'!$L$82</f>
        <v>0</v>
      </c>
      <c r="O206" s="39">
        <f>'Reactive'!$M$82</f>
        <v>0</v>
      </c>
      <c r="P206" s="39">
        <f>'Reactive'!$N$82</f>
        <v>0</v>
      </c>
      <c r="Q206" s="39">
        <f>'Reactive'!$O$82</f>
        <v>0</v>
      </c>
      <c r="R206" s="39">
        <f>'Reactive'!$P$82</f>
        <v>0</v>
      </c>
      <c r="S206" s="39">
        <f>'Reactive'!$Q$82</f>
        <v>0</v>
      </c>
      <c r="T206" s="39">
        <f>'Reactive'!$R$82</f>
        <v>0</v>
      </c>
      <c r="U206" s="39">
        <f>'Reactive'!$S$82</f>
        <v>0</v>
      </c>
      <c r="V206" s="10"/>
      <c r="W206" s="10"/>
      <c r="X206" s="17"/>
    </row>
    <row r="208" spans="1:24" ht="21" customHeight="1">
      <c r="A208" s="1" t="s">
        <v>1087</v>
      </c>
    </row>
    <row r="209" spans="1:8">
      <c r="A209" s="2" t="s">
        <v>351</v>
      </c>
    </row>
    <row r="210" spans="1:8">
      <c r="A210" s="33" t="s">
        <v>1088</v>
      </c>
    </row>
    <row r="211" spans="1:8">
      <c r="A211" s="33" t="s">
        <v>1089</v>
      </c>
    </row>
    <row r="212" spans="1:8">
      <c r="A212" s="33" t="s">
        <v>1090</v>
      </c>
    </row>
    <row r="213" spans="1:8">
      <c r="A213" s="33" t="s">
        <v>1091</v>
      </c>
    </row>
    <row r="214" spans="1:8">
      <c r="A214" s="33" t="s">
        <v>1092</v>
      </c>
    </row>
    <row r="215" spans="1:8">
      <c r="A215" s="33" t="s">
        <v>1093</v>
      </c>
    </row>
    <row r="216" spans="1:8">
      <c r="A216" s="34" t="s">
        <v>354</v>
      </c>
      <c r="B216" s="34" t="s">
        <v>485</v>
      </c>
      <c r="C216" s="34" t="s">
        <v>485</v>
      </c>
      <c r="D216" s="34" t="s">
        <v>485</v>
      </c>
      <c r="E216" s="34" t="s">
        <v>485</v>
      </c>
      <c r="F216" s="34" t="s">
        <v>485</v>
      </c>
      <c r="G216" s="34" t="s">
        <v>485</v>
      </c>
    </row>
    <row r="217" spans="1:8">
      <c r="A217" s="34" t="s">
        <v>357</v>
      </c>
      <c r="B217" s="34" t="s">
        <v>535</v>
      </c>
      <c r="C217" s="34" t="s">
        <v>536</v>
      </c>
      <c r="D217" s="34" t="s">
        <v>537</v>
      </c>
      <c r="E217" s="34" t="s">
        <v>538</v>
      </c>
      <c r="F217" s="34" t="s">
        <v>487</v>
      </c>
      <c r="G217" s="34" t="s">
        <v>539</v>
      </c>
    </row>
    <row r="219" spans="1:8">
      <c r="B219" s="15" t="s">
        <v>1094</v>
      </c>
      <c r="C219" s="15" t="s">
        <v>1095</v>
      </c>
      <c r="D219" s="15" t="s">
        <v>1096</v>
      </c>
      <c r="E219" s="15" t="s">
        <v>1097</v>
      </c>
      <c r="F219" s="15" t="s">
        <v>1098</v>
      </c>
      <c r="G219" s="15" t="s">
        <v>1099</v>
      </c>
    </row>
    <row r="220" spans="1:8">
      <c r="A220" s="4" t="s">
        <v>174</v>
      </c>
      <c r="B220" s="38">
        <f>SUM($B15:$W15)</f>
        <v>0</v>
      </c>
      <c r="C220" s="38">
        <f>SUM($B50:$W50)</f>
        <v>0</v>
      </c>
      <c r="D220" s="38">
        <f>SUM($B85:$W85)</f>
        <v>0</v>
      </c>
      <c r="E220" s="38">
        <f>SUM($B120:$W120)</f>
        <v>0</v>
      </c>
      <c r="F220" s="38">
        <f>SUM($B151:$W151)</f>
        <v>0</v>
      </c>
      <c r="G220" s="38">
        <f>SUM($B183:$W183)</f>
        <v>0</v>
      </c>
      <c r="H220" s="17"/>
    </row>
    <row r="221" spans="1:8">
      <c r="A221" s="4" t="s">
        <v>175</v>
      </c>
      <c r="B221" s="38">
        <f>SUM($B16:$W16)</f>
        <v>0</v>
      </c>
      <c r="C221" s="38">
        <f>SUM($B51:$W51)</f>
        <v>0</v>
      </c>
      <c r="D221" s="38">
        <f>SUM($B86:$W86)</f>
        <v>0</v>
      </c>
      <c r="E221" s="38">
        <f>SUM($B121:$W121)</f>
        <v>0</v>
      </c>
      <c r="F221" s="38">
        <f>SUM($B152:$W152)</f>
        <v>0</v>
      </c>
      <c r="G221" s="38">
        <f>SUM($B184:$W184)</f>
        <v>0</v>
      </c>
      <c r="H221" s="17"/>
    </row>
    <row r="222" spans="1:8">
      <c r="A222" s="4" t="s">
        <v>211</v>
      </c>
      <c r="B222" s="38">
        <f>SUM($B17:$W17)</f>
        <v>0</v>
      </c>
      <c r="C222" s="38">
        <f>SUM($B52:$W52)</f>
        <v>0</v>
      </c>
      <c r="D222" s="38">
        <f>SUM($B87:$W87)</f>
        <v>0</v>
      </c>
      <c r="E222" s="38">
        <f>SUM($B122:$W122)</f>
        <v>0</v>
      </c>
      <c r="F222" s="38">
        <f>SUM($B153:$W153)</f>
        <v>0</v>
      </c>
      <c r="G222" s="38">
        <f>SUM($B185:$W185)</f>
        <v>0</v>
      </c>
      <c r="H222" s="17"/>
    </row>
    <row r="223" spans="1:8">
      <c r="A223" s="4" t="s">
        <v>176</v>
      </c>
      <c r="B223" s="38">
        <f>SUM($B18:$W18)</f>
        <v>0</v>
      </c>
      <c r="C223" s="38">
        <f>SUM($B53:$W53)</f>
        <v>0</v>
      </c>
      <c r="D223" s="38">
        <f>SUM($B88:$W88)</f>
        <v>0</v>
      </c>
      <c r="E223" s="38">
        <f>SUM($B123:$W123)</f>
        <v>0</v>
      </c>
      <c r="F223" s="38">
        <f>SUM($B154:$W154)</f>
        <v>0</v>
      </c>
      <c r="G223" s="38">
        <f>SUM($B186:$W186)</f>
        <v>0</v>
      </c>
      <c r="H223" s="17"/>
    </row>
    <row r="224" spans="1:8">
      <c r="A224" s="4" t="s">
        <v>177</v>
      </c>
      <c r="B224" s="38">
        <f>SUM($B19:$W19)</f>
        <v>0</v>
      </c>
      <c r="C224" s="38">
        <f>SUM($B54:$W54)</f>
        <v>0</v>
      </c>
      <c r="D224" s="38">
        <f>SUM($B89:$W89)</f>
        <v>0</v>
      </c>
      <c r="E224" s="38">
        <f>SUM($B124:$W124)</f>
        <v>0</v>
      </c>
      <c r="F224" s="38">
        <f>SUM($B155:$W155)</f>
        <v>0</v>
      </c>
      <c r="G224" s="38">
        <f>SUM($B187:$W187)</f>
        <v>0</v>
      </c>
      <c r="H224" s="17"/>
    </row>
    <row r="225" spans="1:8">
      <c r="A225" s="4" t="s">
        <v>212</v>
      </c>
      <c r="B225" s="38">
        <f>SUM($B20:$W20)</f>
        <v>0</v>
      </c>
      <c r="C225" s="38">
        <f>SUM($B55:$W55)</f>
        <v>0</v>
      </c>
      <c r="D225" s="38">
        <f>SUM($B90:$W90)</f>
        <v>0</v>
      </c>
      <c r="E225" s="38">
        <f>SUM($B125:$W125)</f>
        <v>0</v>
      </c>
      <c r="F225" s="38">
        <f>SUM($B156:$W156)</f>
        <v>0</v>
      </c>
      <c r="G225" s="38">
        <f>SUM($B188:$W188)</f>
        <v>0</v>
      </c>
      <c r="H225" s="17"/>
    </row>
    <row r="226" spans="1:8">
      <c r="A226" s="4" t="s">
        <v>178</v>
      </c>
      <c r="B226" s="38">
        <f>SUM($B21:$W21)</f>
        <v>0</v>
      </c>
      <c r="C226" s="38">
        <f>SUM($B56:$W56)</f>
        <v>0</v>
      </c>
      <c r="D226" s="38">
        <f>SUM($B91:$W91)</f>
        <v>0</v>
      </c>
      <c r="E226" s="38">
        <f>SUM($B126:$W126)</f>
        <v>0</v>
      </c>
      <c r="F226" s="38">
        <f>SUM($B157:$W157)</f>
        <v>0</v>
      </c>
      <c r="G226" s="38">
        <f>SUM($B189:$W189)</f>
        <v>0</v>
      </c>
      <c r="H226" s="17"/>
    </row>
    <row r="227" spans="1:8">
      <c r="A227" s="4" t="s">
        <v>179</v>
      </c>
      <c r="B227" s="38">
        <f>SUM($B22:$W22)</f>
        <v>0</v>
      </c>
      <c r="C227" s="38">
        <f>SUM($B57:$W57)</f>
        <v>0</v>
      </c>
      <c r="D227" s="38">
        <f>SUM($B92:$W92)</f>
        <v>0</v>
      </c>
      <c r="E227" s="38">
        <f>SUM($B127:$W127)</f>
        <v>0</v>
      </c>
      <c r="F227" s="38">
        <f>SUM($B158:$W158)</f>
        <v>0</v>
      </c>
      <c r="G227" s="38">
        <f>SUM($B190:$W190)</f>
        <v>0</v>
      </c>
      <c r="H227" s="17"/>
    </row>
    <row r="228" spans="1:8">
      <c r="A228" s="4" t="s">
        <v>180</v>
      </c>
      <c r="B228" s="38">
        <f>SUM($B23:$W23)</f>
        <v>0</v>
      </c>
      <c r="C228" s="38">
        <f>SUM($B58:$W58)</f>
        <v>0</v>
      </c>
      <c r="D228" s="38">
        <f>SUM($B93:$W93)</f>
        <v>0</v>
      </c>
      <c r="E228" s="38">
        <f>SUM($B128:$W128)</f>
        <v>0</v>
      </c>
      <c r="F228" s="38">
        <f>SUM($B159:$W159)</f>
        <v>0</v>
      </c>
      <c r="G228" s="38">
        <f>SUM($B191:$W191)</f>
        <v>0</v>
      </c>
      <c r="H228" s="17"/>
    </row>
    <row r="229" spans="1:8">
      <c r="A229" s="4" t="s">
        <v>181</v>
      </c>
      <c r="B229" s="38">
        <f>SUM($B24:$W24)</f>
        <v>0</v>
      </c>
      <c r="C229" s="38">
        <f>SUM($B59:$W59)</f>
        <v>0</v>
      </c>
      <c r="D229" s="38">
        <f>SUM($B94:$W94)</f>
        <v>0</v>
      </c>
      <c r="E229" s="38">
        <f>SUM($B129:$W129)</f>
        <v>0</v>
      </c>
      <c r="F229" s="38">
        <f>SUM($B160:$W160)</f>
        <v>0</v>
      </c>
      <c r="G229" s="38">
        <f>SUM($B192:$W192)</f>
        <v>0</v>
      </c>
      <c r="H229" s="17"/>
    </row>
    <row r="230" spans="1:8">
      <c r="A230" s="4" t="s">
        <v>193</v>
      </c>
      <c r="B230" s="38">
        <f>SUM($B25:$W25)</f>
        <v>0</v>
      </c>
      <c r="C230" s="38">
        <f>SUM($B60:$W60)</f>
        <v>0</v>
      </c>
      <c r="D230" s="38">
        <f>SUM($B95:$W95)</f>
        <v>0</v>
      </c>
      <c r="E230" s="38">
        <f>SUM($B130:$W130)</f>
        <v>0</v>
      </c>
      <c r="F230" s="38">
        <f>SUM($B161:$W161)</f>
        <v>0</v>
      </c>
      <c r="G230" s="38">
        <f>SUM($B193:$W193)</f>
        <v>0</v>
      </c>
      <c r="H230" s="17"/>
    </row>
    <row r="231" spans="1:8">
      <c r="A231" s="4" t="s">
        <v>213</v>
      </c>
      <c r="B231" s="38">
        <f>SUM($B26:$W26)</f>
        <v>0</v>
      </c>
      <c r="C231" s="38">
        <f>SUM($B61:$W61)</f>
        <v>0</v>
      </c>
      <c r="D231" s="38">
        <f>SUM($B96:$W96)</f>
        <v>0</v>
      </c>
      <c r="E231" s="38">
        <f>SUM($B131:$W131)</f>
        <v>0</v>
      </c>
      <c r="F231" s="38">
        <f>SUM($B162:$W162)</f>
        <v>0</v>
      </c>
      <c r="G231" s="38">
        <f>SUM($B194:$W194)</f>
        <v>0</v>
      </c>
      <c r="H231" s="17"/>
    </row>
    <row r="232" spans="1:8">
      <c r="A232" s="4" t="s">
        <v>214</v>
      </c>
      <c r="B232" s="38">
        <f>SUM($B27:$W27)</f>
        <v>0</v>
      </c>
      <c r="C232" s="38">
        <f>SUM($B62:$W62)</f>
        <v>0</v>
      </c>
      <c r="D232" s="38">
        <f>SUM($B97:$W97)</f>
        <v>0</v>
      </c>
      <c r="E232" s="38">
        <f>SUM($B132:$W132)</f>
        <v>0</v>
      </c>
      <c r="F232" s="38">
        <f>SUM($B163:$W163)</f>
        <v>0</v>
      </c>
      <c r="G232" s="38">
        <f>SUM($B195:$W195)</f>
        <v>0</v>
      </c>
      <c r="H232" s="17"/>
    </row>
    <row r="233" spans="1:8">
      <c r="A233" s="4" t="s">
        <v>215</v>
      </c>
      <c r="B233" s="38">
        <f>SUM($B28:$W28)</f>
        <v>0</v>
      </c>
      <c r="C233" s="38">
        <f>SUM($B63:$W63)</f>
        <v>0</v>
      </c>
      <c r="D233" s="38">
        <f>SUM($B98:$W98)</f>
        <v>0</v>
      </c>
      <c r="E233" s="38">
        <f>SUM($B133:$W133)</f>
        <v>0</v>
      </c>
      <c r="F233" s="38">
        <f>SUM($B164:$W164)</f>
        <v>0</v>
      </c>
      <c r="G233" s="38">
        <f>SUM($B196:$W196)</f>
        <v>0</v>
      </c>
      <c r="H233" s="17"/>
    </row>
    <row r="234" spans="1:8">
      <c r="A234" s="4" t="s">
        <v>216</v>
      </c>
      <c r="B234" s="38">
        <f>SUM($B29:$W29)</f>
        <v>0</v>
      </c>
      <c r="C234" s="38">
        <f>SUM($B64:$W64)</f>
        <v>0</v>
      </c>
      <c r="D234" s="38">
        <f>SUM($B99:$W99)</f>
        <v>0</v>
      </c>
      <c r="E234" s="38">
        <f>SUM($B134:$W134)</f>
        <v>0</v>
      </c>
      <c r="F234" s="38">
        <f>SUM($B165:$W165)</f>
        <v>0</v>
      </c>
      <c r="G234" s="38">
        <f>SUM($B197:$W197)</f>
        <v>0</v>
      </c>
      <c r="H234" s="17"/>
    </row>
    <row r="235" spans="1:8">
      <c r="A235" s="4" t="s">
        <v>217</v>
      </c>
      <c r="B235" s="38">
        <f>SUM($B30:$W30)</f>
        <v>0</v>
      </c>
      <c r="C235" s="38">
        <f>SUM($B65:$W65)</f>
        <v>0</v>
      </c>
      <c r="D235" s="38">
        <f>SUM($B100:$W100)</f>
        <v>0</v>
      </c>
      <c r="E235" s="38">
        <f>SUM($B135:$W135)</f>
        <v>0</v>
      </c>
      <c r="F235" s="38">
        <f>SUM($B166:$W166)</f>
        <v>0</v>
      </c>
      <c r="G235" s="38">
        <f>SUM($B198:$W198)</f>
        <v>0</v>
      </c>
      <c r="H235" s="17"/>
    </row>
    <row r="236" spans="1:8">
      <c r="A236" s="4" t="s">
        <v>182</v>
      </c>
      <c r="B236" s="38">
        <f>SUM($B31:$W31)</f>
        <v>0</v>
      </c>
      <c r="C236" s="38">
        <f>SUM($B66:$W66)</f>
        <v>0</v>
      </c>
      <c r="D236" s="38">
        <f>SUM($B101:$W101)</f>
        <v>0</v>
      </c>
      <c r="E236" s="38">
        <f>SUM($B136:$W136)</f>
        <v>0</v>
      </c>
      <c r="F236" s="38">
        <f>SUM($B167:$W167)</f>
        <v>0</v>
      </c>
      <c r="G236" s="38">
        <f>SUM($B199:$W199)</f>
        <v>0</v>
      </c>
      <c r="H236" s="17"/>
    </row>
    <row r="237" spans="1:8">
      <c r="A237" s="4" t="s">
        <v>183</v>
      </c>
      <c r="B237" s="38">
        <f>SUM($B32:$W32)</f>
        <v>0</v>
      </c>
      <c r="C237" s="38">
        <f>SUM($B67:$W67)</f>
        <v>0</v>
      </c>
      <c r="D237" s="38">
        <f>SUM($B102:$W102)</f>
        <v>0</v>
      </c>
      <c r="E237" s="38">
        <f>SUM($B137:$W137)</f>
        <v>0</v>
      </c>
      <c r="F237" s="38">
        <f>SUM($B168:$W168)</f>
        <v>0</v>
      </c>
      <c r="G237" s="38">
        <f>SUM($B200:$W200)</f>
        <v>0</v>
      </c>
      <c r="H237" s="17"/>
    </row>
    <row r="238" spans="1:8">
      <c r="A238" s="4" t="s">
        <v>184</v>
      </c>
      <c r="B238" s="38">
        <f>SUM($B33:$W33)</f>
        <v>0</v>
      </c>
      <c r="C238" s="38">
        <f>SUM($B68:$W68)</f>
        <v>0</v>
      </c>
      <c r="D238" s="38">
        <f>SUM($B103:$W103)</f>
        <v>0</v>
      </c>
      <c r="E238" s="38">
        <f>SUM($B138:$W138)</f>
        <v>0</v>
      </c>
      <c r="F238" s="38">
        <f>SUM($B169:$W169)</f>
        <v>0</v>
      </c>
      <c r="G238" s="38">
        <f>SUM($B201:$W201)</f>
        <v>0</v>
      </c>
      <c r="H238" s="17"/>
    </row>
    <row r="239" spans="1:8">
      <c r="A239" s="4" t="s">
        <v>185</v>
      </c>
      <c r="B239" s="38">
        <f>SUM($B34:$W34)</f>
        <v>0</v>
      </c>
      <c r="C239" s="38">
        <f>SUM($B69:$W69)</f>
        <v>0</v>
      </c>
      <c r="D239" s="38">
        <f>SUM($B104:$W104)</f>
        <v>0</v>
      </c>
      <c r="E239" s="38">
        <f>SUM($B139:$W139)</f>
        <v>0</v>
      </c>
      <c r="F239" s="38">
        <f>SUM($B170:$W170)</f>
        <v>0</v>
      </c>
      <c r="G239" s="38">
        <f>SUM($B202:$W202)</f>
        <v>0</v>
      </c>
      <c r="H239" s="17"/>
    </row>
    <row r="240" spans="1:8">
      <c r="A240" s="4" t="s">
        <v>186</v>
      </c>
      <c r="B240" s="38">
        <f>SUM($B35:$W35)</f>
        <v>0</v>
      </c>
      <c r="C240" s="38">
        <f>SUM($B70:$W70)</f>
        <v>0</v>
      </c>
      <c r="D240" s="38">
        <f>SUM($B105:$W105)</f>
        <v>0</v>
      </c>
      <c r="E240" s="38">
        <f>SUM($B140:$W140)</f>
        <v>0</v>
      </c>
      <c r="F240" s="38">
        <f>SUM($B171:$W171)</f>
        <v>0</v>
      </c>
      <c r="G240" s="38">
        <f>SUM($B203:$W203)</f>
        <v>0</v>
      </c>
      <c r="H240" s="17"/>
    </row>
    <row r="241" spans="1:8">
      <c r="A241" s="4" t="s">
        <v>187</v>
      </c>
      <c r="B241" s="38">
        <f>SUM($B36:$W36)</f>
        <v>0</v>
      </c>
      <c r="C241" s="38">
        <f>SUM($B71:$W71)</f>
        <v>0</v>
      </c>
      <c r="D241" s="38">
        <f>SUM($B106:$W106)</f>
        <v>0</v>
      </c>
      <c r="E241" s="38">
        <f>SUM($B141:$W141)</f>
        <v>0</v>
      </c>
      <c r="F241" s="38">
        <f>SUM($B172:$W172)</f>
        <v>0</v>
      </c>
      <c r="G241" s="38">
        <f>SUM($B204:$W204)</f>
        <v>0</v>
      </c>
      <c r="H241" s="17"/>
    </row>
    <row r="242" spans="1:8">
      <c r="A242" s="4" t="s">
        <v>194</v>
      </c>
      <c r="B242" s="38">
        <f>SUM($B37:$W37)</f>
        <v>0</v>
      </c>
      <c r="C242" s="38">
        <f>SUM($B72:$W72)</f>
        <v>0</v>
      </c>
      <c r="D242" s="38">
        <f>SUM($B107:$W107)</f>
        <v>0</v>
      </c>
      <c r="E242" s="38">
        <f>SUM($B142:$W142)</f>
        <v>0</v>
      </c>
      <c r="F242" s="38">
        <f>SUM($B173:$W173)</f>
        <v>0</v>
      </c>
      <c r="G242" s="38">
        <f>SUM($B205:$W205)</f>
        <v>0</v>
      </c>
      <c r="H242" s="17"/>
    </row>
    <row r="243" spans="1:8">
      <c r="A243" s="4" t="s">
        <v>195</v>
      </c>
      <c r="B243" s="38">
        <f>SUM($B38:$W38)</f>
        <v>0</v>
      </c>
      <c r="C243" s="38">
        <f>SUM($B73:$W73)</f>
        <v>0</v>
      </c>
      <c r="D243" s="38">
        <f>SUM($B108:$W108)</f>
        <v>0</v>
      </c>
      <c r="E243" s="38">
        <f>SUM($B143:$W143)</f>
        <v>0</v>
      </c>
      <c r="F243" s="38">
        <f>SUM($B174:$W174)</f>
        <v>0</v>
      </c>
      <c r="G243" s="38">
        <f>SUM($B206:$W206)</f>
        <v>0</v>
      </c>
      <c r="H243" s="17"/>
    </row>
  </sheetData>
  <sheetProtection sheet="1" objects="1" scenarios="1"/>
  <hyperlinks>
    <hyperlink ref="A6" location="'Standing'!B72" display="x1 = 3004. Unit rate 1 total p/kWh (taking account of standing charges) — for Tariffs with Unit rate 1 p/kWh from Standard 1 kWh"/>
    <hyperlink ref="A7" location="'Yard'!B57" display="x2 = 2903. Pay-as-you-go unit rate 1 (p/kWh) — for Tariffs with Unit rate 1 p/kWh from PAYG 1 kWh"/>
    <hyperlink ref="A8" location="'Yard'!B57" display="x3 = 2903. Pay-as-you-go unit rate 1 (p/kWh) — for Tariffs with Unit rate 1 p/kWh from PAYG 1 kWh &amp; customer"/>
    <hyperlink ref="A9" location="'Yard'!B22" display="x4 = 2902. Pay-as-you-go yardstick unit rate (p/kWh) — for Tariffs with Unit rate 1 p/kWh from PAYG yardstick kWh"/>
    <hyperlink ref="A10" location="'SM'!B42" display="x5 = 2203. LV unmetered service model asset charge (p/kWh) — for Tariffs with Unit rate 1 p/kWh from PAYG 1 kWh &amp; customer"/>
    <hyperlink ref="A11" location="'Otex'!B152" display="x6 = 2712. Operating expenditure for unmetered customer assets (p/kWh) — for Tariffs with Unit rate 1 p/kWh from PAYG 1 kWh &amp; customer"/>
    <hyperlink ref="A42" location="'Standing'!B96" display="x1 = 3005. Unit rate 2 total p/kWh (taking account of standing charges) — for Tariffs with Unit rate 2 p/kWh from Standard 2 kWh"/>
    <hyperlink ref="A43" location="'Yard'!B87" display="x2 = 2904. Pay-as-you-go unit rate 2 (p/kWh) — for Tariffs with Unit rate 2 p/kWh from PAYG 2 kWh"/>
    <hyperlink ref="A44" location="'Yard'!B87" display="x3 = 2904. Pay-as-you-go unit rate 2 (p/kWh) — for Tariffs with Unit rate 2 p/kWh from PAYG 2 kWh &amp; customer"/>
    <hyperlink ref="A45" location="'SM'!B42" display="x4 = 2203. LV unmetered service model asset charge (p/kWh) — for Tariffs with Unit rate 2 p/kWh from PAYG 2 kWh &amp; customer"/>
    <hyperlink ref="A46" location="'Otex'!B152" display="x5 = 2712. Operating expenditure for unmetered customer assets (p/kWh) — for Tariffs with Unit rate 2 p/kWh from PAYG 2 kWh &amp; customer"/>
    <hyperlink ref="A77" location="'Standing'!B112" display="x1 = 3006. Unit rate 3 total p/kWh (taking account of standing charges) — for Tariffs with Unit rate 3 p/kWh from Standard 3 kWh"/>
    <hyperlink ref="A78" location="'Yard'!B109" display="x2 = 2905. Pay-as-you-go unit rate 3 (p/kWh) — for Tariffs with Unit rate 3 p/kWh from PAYG 3 kWh"/>
    <hyperlink ref="A79" location="'Yard'!B109" display="x3 = 2905. Pay-as-you-go unit rate 3 (p/kWh) — for Tariffs with Unit rate 3 p/kWh from PAYG 3 kWh &amp; customer"/>
    <hyperlink ref="A80" location="'SM'!B42" display="x4 = 2203. LV unmetered service model asset charge (p/kWh) — for Tariffs with Unit rate 3 p/kWh from PAYG 3 kWh &amp; customer"/>
    <hyperlink ref="A81" location="'Otex'!B152" display="x5 = 2712. Operating expenditure for unmetered customer assets (p/kWh) — for Tariffs with Unit rate 3 p/kWh from PAYG 3 kWh &amp; customer"/>
    <hyperlink ref="A112" location="'AggCap'!B79" display="x1 = 3107. Fixed charge from standing charges factors p/MPAN/day — for Tariffs with Fixed charge p/MPAN/day from Fixed from network &amp; customer"/>
    <hyperlink ref="A113" location="'SM'!B99" display="x2 = 2206. Service model p/MPAN/day (in Replacement annuities for service models) — for Tariffs with Fixed charge p/MPAN/day from Customer"/>
    <hyperlink ref="A114" location="'SM'!B99" display="x3 = 2206. Service model p/MPAN/day (in Replacement annuities for service models) — for Tariffs with Fixed charge p/MPAN/day from Fixed from network &amp; customer"/>
    <hyperlink ref="A115" location="'Otex'!B120" display="x4 = 2711. Operating expenditure for customer assets p/MPAN/day total (in Operating expenditure for customer assets p/MPAN/day) — for Tariffs with Fixed charge p/MPAN/day from Customer"/>
    <hyperlink ref="A116" location="'Otex'!B120" display="x5 = 2711. Operating expenditure for customer assets p/MPAN/day total (in Operating expenditure for customer assets p/MPAN/day) — for Tariffs with Fixed charge p/MPAN/day from Fixed from network &amp; customer"/>
    <hyperlink ref="A147" location="'Standing'!B24" display="x1 = 3002. Capacity charge p/kVA/day — for Tariffs with Capacity charge p/kVA/day from Capacity"/>
    <hyperlink ref="A178" location="'Reactive'!B76" display="x1 = 3206. Pay-as-you-go reactive p/kVArh"/>
    <hyperlink ref="A179" location="'Reactive'!B32" display="x2 = 3203. Standard reactive p/kVArh"/>
    <hyperlink ref="A210" location="'Aggreg'!B14" display="x1 = 3301. Unit rate 1 p/kWh (elements)"/>
    <hyperlink ref="A211" location="'Aggreg'!B49" display="x2 = 3302. Unit rate 2 p/kWh (elements)"/>
    <hyperlink ref="A212" location="'Aggreg'!B84" display="x3 = 3303. Unit rate 3 p/kWh (elements)"/>
    <hyperlink ref="A213" location="'Aggreg'!B119" display="x4 = 3304. Fixed charge p/MPAN/day (elements)"/>
    <hyperlink ref="A214" location="'Aggreg'!B150" display="x5 = 3305. Capacity charge p/kVA/day (elements)"/>
    <hyperlink ref="A215" location="'Aggreg'!B182" display="x6 = 3306. Reactive power charge p/kVArh (element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 ht="21" customHeight="1">
      <c r="A1" s="1">
        <f>"Revenue shortfall or surplus for "&amp;'Input'!B7&amp;" in "&amp;'Input'!C7&amp;" ("&amp;'Input'!D7&amp;")"</f>
        <v>0</v>
      </c>
    </row>
    <row r="3" spans="1:1" ht="21" customHeight="1">
      <c r="A3" s="1" t="s">
        <v>1100</v>
      </c>
    </row>
    <row r="4" spans="1:1">
      <c r="A4" s="2" t="s">
        <v>351</v>
      </c>
    </row>
    <row r="5" spans="1:1">
      <c r="A5" s="33" t="s">
        <v>480</v>
      </c>
    </row>
    <row r="6" spans="1:1">
      <c r="A6" s="33" t="s">
        <v>1101</v>
      </c>
    </row>
    <row r="7" spans="1:1">
      <c r="A7" s="33" t="s">
        <v>1102</v>
      </c>
    </row>
    <row r="8" spans="1:1">
      <c r="A8" s="33" t="s">
        <v>1103</v>
      </c>
    </row>
    <row r="9" spans="1:1">
      <c r="A9" s="33" t="s">
        <v>1104</v>
      </c>
    </row>
    <row r="10" spans="1:1">
      <c r="A10" s="33" t="s">
        <v>1105</v>
      </c>
    </row>
    <row r="11" spans="1:1">
      <c r="A11" s="33" t="s">
        <v>1106</v>
      </c>
    </row>
    <row r="12" spans="1:1">
      <c r="A12" s="33" t="s">
        <v>1107</v>
      </c>
    </row>
    <row r="13" spans="1:1">
      <c r="A13" s="33" t="s">
        <v>1108</v>
      </c>
    </row>
    <row r="14" spans="1:1">
      <c r="A14" s="33" t="s">
        <v>1109</v>
      </c>
    </row>
    <row r="15" spans="1:1">
      <c r="A15" s="33" t="s">
        <v>1110</v>
      </c>
    </row>
    <row r="16" spans="1:1">
      <c r="A16" s="33" t="s">
        <v>1111</v>
      </c>
    </row>
    <row r="17" spans="1:3">
      <c r="A17" s="33" t="s">
        <v>1112</v>
      </c>
    </row>
    <row r="18" spans="1:3">
      <c r="A18" s="2" t="s">
        <v>1113</v>
      </c>
    </row>
    <row r="20" spans="1:3">
      <c r="B20" s="15" t="s">
        <v>1114</v>
      </c>
    </row>
    <row r="21" spans="1:3">
      <c r="A21" s="4" t="s">
        <v>174</v>
      </c>
      <c r="B21" s="21">
        <f>0.01*'Input'!F$58*('Aggreg'!E220*'Loads'!E280+'Aggreg'!F220*'Loads'!F280)+10*('Aggreg'!B220*'Loads'!B280+'Aggreg'!C220*'Loads'!C280+'Aggreg'!D220*'Loads'!D280+'Aggreg'!G220*'Loads'!G280)</f>
        <v>0</v>
      </c>
      <c r="C21" s="17"/>
    </row>
    <row r="22" spans="1:3">
      <c r="A22" s="4" t="s">
        <v>175</v>
      </c>
      <c r="B22" s="21">
        <f>0.01*'Input'!F$58*('Aggreg'!E221*'Loads'!E281+'Aggreg'!F221*'Loads'!F281)+10*('Aggreg'!B221*'Loads'!B281+'Aggreg'!C221*'Loads'!C281+'Aggreg'!D221*'Loads'!D281+'Aggreg'!G221*'Loads'!G281)</f>
        <v>0</v>
      </c>
      <c r="C22" s="17"/>
    </row>
    <row r="23" spans="1:3">
      <c r="A23" s="4" t="s">
        <v>211</v>
      </c>
      <c r="B23" s="21">
        <f>0.01*'Input'!F$58*('Aggreg'!E222*'Loads'!E282+'Aggreg'!F222*'Loads'!F282)+10*('Aggreg'!B222*'Loads'!B282+'Aggreg'!C222*'Loads'!C282+'Aggreg'!D222*'Loads'!D282+'Aggreg'!G222*'Loads'!G282)</f>
        <v>0</v>
      </c>
      <c r="C23" s="17"/>
    </row>
    <row r="24" spans="1:3">
      <c r="A24" s="4" t="s">
        <v>176</v>
      </c>
      <c r="B24" s="21">
        <f>0.01*'Input'!F$58*('Aggreg'!E223*'Loads'!E283+'Aggreg'!F223*'Loads'!F283)+10*('Aggreg'!B223*'Loads'!B283+'Aggreg'!C223*'Loads'!C283+'Aggreg'!D223*'Loads'!D283+'Aggreg'!G223*'Loads'!G283)</f>
        <v>0</v>
      </c>
      <c r="C24" s="17"/>
    </row>
    <row r="25" spans="1:3">
      <c r="A25" s="4" t="s">
        <v>177</v>
      </c>
      <c r="B25" s="21">
        <f>0.01*'Input'!F$58*('Aggreg'!E224*'Loads'!E284+'Aggreg'!F224*'Loads'!F284)+10*('Aggreg'!B224*'Loads'!B284+'Aggreg'!C224*'Loads'!C284+'Aggreg'!D224*'Loads'!D284+'Aggreg'!G224*'Loads'!G284)</f>
        <v>0</v>
      </c>
      <c r="C25" s="17"/>
    </row>
    <row r="26" spans="1:3">
      <c r="A26" s="4" t="s">
        <v>212</v>
      </c>
      <c r="B26" s="21">
        <f>0.01*'Input'!F$58*('Aggreg'!E225*'Loads'!E285+'Aggreg'!F225*'Loads'!F285)+10*('Aggreg'!B225*'Loads'!B285+'Aggreg'!C225*'Loads'!C285+'Aggreg'!D225*'Loads'!D285+'Aggreg'!G225*'Loads'!G285)</f>
        <v>0</v>
      </c>
      <c r="C26" s="17"/>
    </row>
    <row r="27" spans="1:3">
      <c r="A27" s="4" t="s">
        <v>178</v>
      </c>
      <c r="B27" s="21">
        <f>0.01*'Input'!F$58*('Aggreg'!E226*'Loads'!E286+'Aggreg'!F226*'Loads'!F286)+10*('Aggreg'!B226*'Loads'!B286+'Aggreg'!C226*'Loads'!C286+'Aggreg'!D226*'Loads'!D286+'Aggreg'!G226*'Loads'!G286)</f>
        <v>0</v>
      </c>
      <c r="C27" s="17"/>
    </row>
    <row r="28" spans="1:3">
      <c r="A28" s="4" t="s">
        <v>179</v>
      </c>
      <c r="B28" s="21">
        <f>0.01*'Input'!F$58*('Aggreg'!E227*'Loads'!E287+'Aggreg'!F227*'Loads'!F287)+10*('Aggreg'!B227*'Loads'!B287+'Aggreg'!C227*'Loads'!C287+'Aggreg'!D227*'Loads'!D287+'Aggreg'!G227*'Loads'!G287)</f>
        <v>0</v>
      </c>
      <c r="C28" s="17"/>
    </row>
    <row r="29" spans="1:3">
      <c r="A29" s="4" t="s">
        <v>180</v>
      </c>
      <c r="B29" s="21">
        <f>0.01*'Input'!F$58*('Aggreg'!E228*'Loads'!E288+'Aggreg'!F228*'Loads'!F288)+10*('Aggreg'!B228*'Loads'!B288+'Aggreg'!C228*'Loads'!C288+'Aggreg'!D228*'Loads'!D288+'Aggreg'!G228*'Loads'!G288)</f>
        <v>0</v>
      </c>
      <c r="C29" s="17"/>
    </row>
    <row r="30" spans="1:3">
      <c r="A30" s="4" t="s">
        <v>181</v>
      </c>
      <c r="B30" s="21">
        <f>0.01*'Input'!F$58*('Aggreg'!E229*'Loads'!E289+'Aggreg'!F229*'Loads'!F289)+10*('Aggreg'!B229*'Loads'!B289+'Aggreg'!C229*'Loads'!C289+'Aggreg'!D229*'Loads'!D289+'Aggreg'!G229*'Loads'!G289)</f>
        <v>0</v>
      </c>
      <c r="C30" s="17"/>
    </row>
    <row r="31" spans="1:3">
      <c r="A31" s="4" t="s">
        <v>193</v>
      </c>
      <c r="B31" s="21">
        <f>0.01*'Input'!F$58*('Aggreg'!E230*'Loads'!E290+'Aggreg'!F230*'Loads'!F290)+10*('Aggreg'!B230*'Loads'!B290+'Aggreg'!C230*'Loads'!C290+'Aggreg'!D230*'Loads'!D290+'Aggreg'!G230*'Loads'!G290)</f>
        <v>0</v>
      </c>
      <c r="C31" s="17"/>
    </row>
    <row r="32" spans="1:3">
      <c r="A32" s="4" t="s">
        <v>213</v>
      </c>
      <c r="B32" s="21">
        <f>0.01*'Input'!F$58*('Aggreg'!E231*'Loads'!E291+'Aggreg'!F231*'Loads'!F291)+10*('Aggreg'!B231*'Loads'!B291+'Aggreg'!C231*'Loads'!C291+'Aggreg'!D231*'Loads'!D291+'Aggreg'!G231*'Loads'!G291)</f>
        <v>0</v>
      </c>
      <c r="C32" s="17"/>
    </row>
    <row r="33" spans="1:3">
      <c r="A33" s="4" t="s">
        <v>214</v>
      </c>
      <c r="B33" s="21">
        <f>0.01*'Input'!F$58*('Aggreg'!E232*'Loads'!E292+'Aggreg'!F232*'Loads'!F292)+10*('Aggreg'!B232*'Loads'!B292+'Aggreg'!C232*'Loads'!C292+'Aggreg'!D232*'Loads'!D292+'Aggreg'!G232*'Loads'!G292)</f>
        <v>0</v>
      </c>
      <c r="C33" s="17"/>
    </row>
    <row r="34" spans="1:3">
      <c r="A34" s="4" t="s">
        <v>215</v>
      </c>
      <c r="B34" s="21">
        <f>0.01*'Input'!F$58*('Aggreg'!E233*'Loads'!E293+'Aggreg'!F233*'Loads'!F293)+10*('Aggreg'!B233*'Loads'!B293+'Aggreg'!C233*'Loads'!C293+'Aggreg'!D233*'Loads'!D293+'Aggreg'!G233*'Loads'!G293)</f>
        <v>0</v>
      </c>
      <c r="C34" s="17"/>
    </row>
    <row r="35" spans="1:3">
      <c r="A35" s="4" t="s">
        <v>216</v>
      </c>
      <c r="B35" s="21">
        <f>0.01*'Input'!F$58*('Aggreg'!E234*'Loads'!E294+'Aggreg'!F234*'Loads'!F294)+10*('Aggreg'!B234*'Loads'!B294+'Aggreg'!C234*'Loads'!C294+'Aggreg'!D234*'Loads'!D294+'Aggreg'!G234*'Loads'!G294)</f>
        <v>0</v>
      </c>
      <c r="C35" s="17"/>
    </row>
    <row r="36" spans="1:3">
      <c r="A36" s="4" t="s">
        <v>217</v>
      </c>
      <c r="B36" s="21">
        <f>0.01*'Input'!F$58*('Aggreg'!E235*'Loads'!E295+'Aggreg'!F235*'Loads'!F295)+10*('Aggreg'!B235*'Loads'!B295+'Aggreg'!C235*'Loads'!C295+'Aggreg'!D235*'Loads'!D295+'Aggreg'!G235*'Loads'!G295)</f>
        <v>0</v>
      </c>
      <c r="C36" s="17"/>
    </row>
    <row r="37" spans="1:3">
      <c r="A37" s="4" t="s">
        <v>182</v>
      </c>
      <c r="B37" s="21">
        <f>0.01*'Input'!F$58*('Aggreg'!E236*'Loads'!E296+'Aggreg'!F236*'Loads'!F296)+10*('Aggreg'!B236*'Loads'!B296+'Aggreg'!C236*'Loads'!C296+'Aggreg'!D236*'Loads'!D296+'Aggreg'!G236*'Loads'!G296)</f>
        <v>0</v>
      </c>
      <c r="C37" s="17"/>
    </row>
    <row r="38" spans="1:3">
      <c r="A38" s="4" t="s">
        <v>183</v>
      </c>
      <c r="B38" s="21">
        <f>0.01*'Input'!F$58*('Aggreg'!E237*'Loads'!E297+'Aggreg'!F237*'Loads'!F297)+10*('Aggreg'!B237*'Loads'!B297+'Aggreg'!C237*'Loads'!C297+'Aggreg'!D237*'Loads'!D297+'Aggreg'!G237*'Loads'!G297)</f>
        <v>0</v>
      </c>
      <c r="C38" s="17"/>
    </row>
    <row r="39" spans="1:3">
      <c r="A39" s="4" t="s">
        <v>184</v>
      </c>
      <c r="B39" s="21">
        <f>0.01*'Input'!F$58*('Aggreg'!E238*'Loads'!E298+'Aggreg'!F238*'Loads'!F298)+10*('Aggreg'!B238*'Loads'!B298+'Aggreg'!C238*'Loads'!C298+'Aggreg'!D238*'Loads'!D298+'Aggreg'!G238*'Loads'!G298)</f>
        <v>0</v>
      </c>
      <c r="C39" s="17"/>
    </row>
    <row r="40" spans="1:3">
      <c r="A40" s="4" t="s">
        <v>185</v>
      </c>
      <c r="B40" s="21">
        <f>0.01*'Input'!F$58*('Aggreg'!E239*'Loads'!E299+'Aggreg'!F239*'Loads'!F299)+10*('Aggreg'!B239*'Loads'!B299+'Aggreg'!C239*'Loads'!C299+'Aggreg'!D239*'Loads'!D299+'Aggreg'!G239*'Loads'!G299)</f>
        <v>0</v>
      </c>
      <c r="C40" s="17"/>
    </row>
    <row r="41" spans="1:3">
      <c r="A41" s="4" t="s">
        <v>186</v>
      </c>
      <c r="B41" s="21">
        <f>0.01*'Input'!F$58*('Aggreg'!E240*'Loads'!E300+'Aggreg'!F240*'Loads'!F300)+10*('Aggreg'!B240*'Loads'!B300+'Aggreg'!C240*'Loads'!C300+'Aggreg'!D240*'Loads'!D300+'Aggreg'!G240*'Loads'!G300)</f>
        <v>0</v>
      </c>
      <c r="C41" s="17"/>
    </row>
    <row r="42" spans="1:3">
      <c r="A42" s="4" t="s">
        <v>187</v>
      </c>
      <c r="B42" s="21">
        <f>0.01*'Input'!F$58*('Aggreg'!E241*'Loads'!E301+'Aggreg'!F241*'Loads'!F301)+10*('Aggreg'!B241*'Loads'!B301+'Aggreg'!C241*'Loads'!C301+'Aggreg'!D241*'Loads'!D301+'Aggreg'!G241*'Loads'!G301)</f>
        <v>0</v>
      </c>
      <c r="C42" s="17"/>
    </row>
    <row r="43" spans="1:3">
      <c r="A43" s="4" t="s">
        <v>194</v>
      </c>
      <c r="B43" s="21">
        <f>0.01*'Input'!F$58*('Aggreg'!E242*'Loads'!E302+'Aggreg'!F242*'Loads'!F302)+10*('Aggreg'!B242*'Loads'!B302+'Aggreg'!C242*'Loads'!C302+'Aggreg'!D242*'Loads'!D302+'Aggreg'!G242*'Loads'!G302)</f>
        <v>0</v>
      </c>
      <c r="C43" s="17"/>
    </row>
    <row r="44" spans="1:3">
      <c r="A44" s="4" t="s">
        <v>195</v>
      </c>
      <c r="B44" s="21">
        <f>0.01*'Input'!F$58*('Aggreg'!E243*'Loads'!E303+'Aggreg'!F243*'Loads'!F303)+10*('Aggreg'!B243*'Loads'!B303+'Aggreg'!C243*'Loads'!C303+'Aggreg'!D243*'Loads'!D303+'Aggreg'!G243*'Loads'!G303)</f>
        <v>0</v>
      </c>
      <c r="C44" s="17"/>
    </row>
    <row r="46" spans="1:3" ht="21" customHeight="1">
      <c r="A46" s="1" t="s">
        <v>1115</v>
      </c>
    </row>
    <row r="47" spans="1:3">
      <c r="A47" s="2" t="s">
        <v>351</v>
      </c>
    </row>
    <row r="48" spans="1:3">
      <c r="A48" s="33" t="s">
        <v>1116</v>
      </c>
    </row>
    <row r="49" spans="1:4">
      <c r="A49" s="33" t="s">
        <v>1117</v>
      </c>
    </row>
    <row r="50" spans="1:4">
      <c r="A50" s="33" t="s">
        <v>1118</v>
      </c>
    </row>
    <row r="51" spans="1:4">
      <c r="A51" s="34" t="s">
        <v>354</v>
      </c>
      <c r="B51" s="34" t="s">
        <v>422</v>
      </c>
      <c r="C51" s="34" t="s">
        <v>484</v>
      </c>
    </row>
    <row r="52" spans="1:4">
      <c r="A52" s="34" t="s">
        <v>357</v>
      </c>
      <c r="B52" s="34" t="s">
        <v>1119</v>
      </c>
      <c r="C52" s="34" t="s">
        <v>1120</v>
      </c>
    </row>
    <row r="54" spans="1:4">
      <c r="B54" s="15" t="s">
        <v>1121</v>
      </c>
      <c r="C54" s="15" t="s">
        <v>1122</v>
      </c>
    </row>
    <row r="55" spans="1:4">
      <c r="A55" s="4" t="s">
        <v>52</v>
      </c>
      <c r="B55" s="21">
        <f>'Input'!E12*'Input'!E13-'Input'!E14+'Input'!E16+'Input'!E17+'Input'!E18+'Input'!E19+'Input'!E20+'Input'!E22+'Input'!E23+'Input'!E24+'Input'!E25+'Input'!E26+'Input'!E27+'Input'!E28+'Input'!E29+'Input'!E30+'Input'!E31+'Input'!E32+'Input'!E33+'Input'!E35+'Input'!E36+'Input'!E38+'Input'!E39+'Input'!E40+'Input'!E41+'Input'!E42-'Input'!E45-'Input'!E46-'Input'!E47-'Input'!E48</f>
        <v>0</v>
      </c>
      <c r="C55" s="21">
        <f>B55-'Input'!F$50</f>
        <v>0</v>
      </c>
      <c r="D55" s="17"/>
    </row>
    <row r="57" spans="1:4" ht="21" customHeight="1">
      <c r="A57" s="1" t="s">
        <v>1123</v>
      </c>
    </row>
    <row r="58" spans="1:4">
      <c r="A58" s="2" t="s">
        <v>351</v>
      </c>
    </row>
    <row r="59" spans="1:4">
      <c r="A59" s="33" t="s">
        <v>1124</v>
      </c>
    </row>
    <row r="60" spans="1:4">
      <c r="A60" s="33" t="s">
        <v>1125</v>
      </c>
    </row>
    <row r="61" spans="1:4">
      <c r="A61" s="33" t="s">
        <v>1126</v>
      </c>
    </row>
    <row r="62" spans="1:4">
      <c r="A62" s="34" t="s">
        <v>354</v>
      </c>
      <c r="B62" s="34" t="s">
        <v>485</v>
      </c>
      <c r="C62" s="34" t="s">
        <v>484</v>
      </c>
    </row>
    <row r="63" spans="1:4">
      <c r="A63" s="34" t="s">
        <v>357</v>
      </c>
      <c r="B63" s="34" t="s">
        <v>535</v>
      </c>
      <c r="C63" s="34" t="s">
        <v>1120</v>
      </c>
    </row>
    <row r="65" spans="1:4">
      <c r="B65" s="15" t="s">
        <v>1127</v>
      </c>
      <c r="C65" s="15" t="s">
        <v>1128</v>
      </c>
    </row>
    <row r="66" spans="1:4">
      <c r="A66" s="4" t="s">
        <v>1129</v>
      </c>
      <c r="B66" s="21">
        <f>SUM(B$21:B$44)</f>
        <v>0</v>
      </c>
      <c r="C66" s="21">
        <f>B$55-B66</f>
        <v>0</v>
      </c>
      <c r="D66" s="17"/>
    </row>
  </sheetData>
  <sheetProtection sheet="1" objects="1" scenarios="1"/>
  <hyperlinks>
    <hyperlink ref="A5" location="'Input'!F57" display="x1 = 1010. Days in the charging year (in Financial and general assumptions)"/>
    <hyperlink ref="A6" location="'Aggreg'!E219" display="x2 = 3307. Fixed charge p/MPAN/day (total) (in Summary of charges before revenue matching)"/>
    <hyperlink ref="A7" location="'Loads'!E279" display="x3 = 2305. MPANs (in Equivalent volume for each end user)"/>
    <hyperlink ref="A8" location="'Aggreg'!F219" display="x4 = 3307. Capacity charge p/kVA/day (total) (in Summary of charges before revenue matching)"/>
    <hyperlink ref="A9" location="'Loads'!F279" display="x5 = 2305. Import capacity (kVA) (in Equivalent volume for each end user)"/>
    <hyperlink ref="A10" location="'Aggreg'!B219" display="x6 = 3307. Unit rate 1 p/kWh (total) (in Summary of charges before revenue matching)"/>
    <hyperlink ref="A11" location="'Loads'!B279" display="x7 = 2305. Rate 1 units (MWh) (in Equivalent volume for each end user)"/>
    <hyperlink ref="A12" location="'Aggreg'!C219" display="x8 = 3307. Unit rate 2 p/kWh (total) (in Summary of charges before revenue matching)"/>
    <hyperlink ref="A13" location="'Loads'!C279" display="x9 = 2305. Rate 2 units (MWh) (in Equivalent volume for each end user)"/>
    <hyperlink ref="A14" location="'Aggreg'!D219" display="x10 = 3307. Unit rate 3 p/kWh (total) (in Summary of charges before revenue matching)"/>
    <hyperlink ref="A15" location="'Loads'!D279" display="x11 = 2305. Rate 3 units (MWh) (in Equivalent volume for each end user)"/>
    <hyperlink ref="A16" location="'Aggreg'!G219" display="x12 = 3307. Reactive power charge p/kVArh (in Summary of charges before revenue matching)"/>
    <hyperlink ref="A17" location="'Loads'!G279" display="x13 = 2305. Reactive power units (MVArh) (in Equivalent volume for each end user)"/>
    <hyperlink ref="A48" location="'Input'!E11" display="x1 = 1001. Value (in CDCM target revenue)"/>
    <hyperlink ref="A49" location="'Revenue'!B54" display="x2 = Target CDCM revenue (£/year) (in Target CDCM revenue)"/>
    <hyperlink ref="A50" location="'Input'!F11" display="x3 = 1001. Revenue elements and subtotals (£/year) (in CDCM target revenue)"/>
    <hyperlink ref="A59" location="'Revenue'!B20" display="x1 = 3401. Net revenues by tariff before matching (£)"/>
    <hyperlink ref="A60" location="'Revenue'!B54" display="x2 = 3402. Target CDCM revenue (£/year) (in Target CDCM revenue)"/>
    <hyperlink ref="A61" location="'Revenue'!B65" display="x3 = Total net revenues before matching (£) (in Revenue surplus or shortfall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1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3" ht="21" customHeight="1">
      <c r="A1" s="1">
        <f>"Revenue matching for "&amp;'Input'!B7&amp;" in "&amp;'Input'!C7&amp;" ("&amp;'Input'!D7&amp;")"</f>
        <v>0</v>
      </c>
    </row>
    <row r="2" spans="1:3">
      <c r="A2" s="2" t="s">
        <v>1130</v>
      </c>
    </row>
    <row r="4" spans="1:3" ht="21" customHeight="1">
      <c r="A4" s="1" t="s">
        <v>1131</v>
      </c>
    </row>
    <row r="5" spans="1:3">
      <c r="A5" s="2" t="s">
        <v>351</v>
      </c>
    </row>
    <row r="6" spans="1:3">
      <c r="A6" s="33" t="s">
        <v>972</v>
      </c>
    </row>
    <row r="7" spans="1:3">
      <c r="A7" s="2" t="s">
        <v>1132</v>
      </c>
    </row>
    <row r="9" spans="1:3">
      <c r="B9" s="15" t="s">
        <v>294</v>
      </c>
    </row>
    <row r="10" spans="1:3">
      <c r="A10" s="4" t="s">
        <v>1133</v>
      </c>
      <c r="B10" s="38">
        <f>IF('Yard'!$K11,1/'Yard'!$K11,0)</f>
        <v>0</v>
      </c>
      <c r="C10" s="17"/>
    </row>
    <row r="12" spans="1:3" ht="21" customHeight="1">
      <c r="A12" s="1" t="s">
        <v>1134</v>
      </c>
    </row>
    <row r="13" spans="1:3">
      <c r="A13" s="2" t="s">
        <v>351</v>
      </c>
    </row>
    <row r="14" spans="1:3">
      <c r="A14" s="33" t="s">
        <v>1135</v>
      </c>
    </row>
    <row r="15" spans="1:3">
      <c r="A15" s="2" t="s">
        <v>1136</v>
      </c>
    </row>
    <row r="16" spans="1:3">
      <c r="A16" s="2" t="s">
        <v>369</v>
      </c>
    </row>
    <row r="18" spans="1:24">
      <c r="B18" s="15" t="s">
        <v>142</v>
      </c>
      <c r="C18" s="15" t="s">
        <v>306</v>
      </c>
      <c r="D18" s="15" t="s">
        <v>307</v>
      </c>
      <c r="E18" s="15" t="s">
        <v>308</v>
      </c>
      <c r="F18" s="15" t="s">
        <v>309</v>
      </c>
      <c r="G18" s="15" t="s">
        <v>310</v>
      </c>
      <c r="H18" s="15" t="s">
        <v>311</v>
      </c>
      <c r="I18" s="15" t="s">
        <v>312</v>
      </c>
      <c r="J18" s="15" t="s">
        <v>313</v>
      </c>
      <c r="K18" s="15" t="s">
        <v>463</v>
      </c>
      <c r="L18" s="15" t="s">
        <v>475</v>
      </c>
      <c r="M18" s="15" t="s">
        <v>294</v>
      </c>
      <c r="N18" s="15" t="s">
        <v>877</v>
      </c>
      <c r="O18" s="15" t="s">
        <v>878</v>
      </c>
      <c r="P18" s="15" t="s">
        <v>879</v>
      </c>
      <c r="Q18" s="15" t="s">
        <v>880</v>
      </c>
      <c r="R18" s="15" t="s">
        <v>881</v>
      </c>
      <c r="S18" s="15" t="s">
        <v>882</v>
      </c>
      <c r="T18" s="15" t="s">
        <v>883</v>
      </c>
      <c r="U18" s="15" t="s">
        <v>884</v>
      </c>
      <c r="V18" s="15" t="s">
        <v>885</v>
      </c>
      <c r="W18" s="15" t="s">
        <v>886</v>
      </c>
    </row>
    <row r="19" spans="1:24">
      <c r="A19" s="4" t="s">
        <v>1137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39">
        <f>$B10</f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17"/>
    </row>
    <row r="21" spans="1:24" ht="21" customHeight="1">
      <c r="A21" s="1" t="s">
        <v>1138</v>
      </c>
    </row>
    <row r="22" spans="1:24">
      <c r="A22" s="2" t="s">
        <v>351</v>
      </c>
    </row>
    <row r="23" spans="1:24">
      <c r="A23" s="33" t="s">
        <v>1088</v>
      </c>
    </row>
    <row r="24" spans="1:24">
      <c r="A24" s="33" t="s">
        <v>1139</v>
      </c>
    </row>
    <row r="25" spans="1:24">
      <c r="A25" s="33" t="s">
        <v>1140</v>
      </c>
    </row>
    <row r="26" spans="1:24">
      <c r="A26" s="33" t="s">
        <v>1141</v>
      </c>
    </row>
    <row r="27" spans="1:24">
      <c r="A27" s="33" t="s">
        <v>1142</v>
      </c>
    </row>
    <row r="28" spans="1:24">
      <c r="A28" s="33" t="s">
        <v>1143</v>
      </c>
    </row>
    <row r="29" spans="1:24">
      <c r="A29" s="33" t="s">
        <v>1144</v>
      </c>
    </row>
    <row r="30" spans="1:24">
      <c r="A30" s="34" t="s">
        <v>354</v>
      </c>
      <c r="B30" s="34" t="s">
        <v>356</v>
      </c>
      <c r="C30" s="34" t="s">
        <v>356</v>
      </c>
      <c r="D30" s="34" t="s">
        <v>356</v>
      </c>
      <c r="E30" s="34" t="s">
        <v>356</v>
      </c>
      <c r="F30" s="34" t="s">
        <v>356</v>
      </c>
      <c r="G30" s="34" t="s">
        <v>356</v>
      </c>
    </row>
    <row r="31" spans="1:24">
      <c r="A31" s="34" t="s">
        <v>357</v>
      </c>
      <c r="B31" s="34" t="s">
        <v>359</v>
      </c>
      <c r="C31" s="34" t="s">
        <v>1145</v>
      </c>
      <c r="D31" s="34" t="s">
        <v>1146</v>
      </c>
      <c r="E31" s="34" t="s">
        <v>1147</v>
      </c>
      <c r="F31" s="34" t="s">
        <v>1148</v>
      </c>
      <c r="G31" s="34" t="s">
        <v>1149</v>
      </c>
    </row>
    <row r="33" spans="1:8">
      <c r="B33" s="15" t="s">
        <v>1150</v>
      </c>
      <c r="C33" s="15" t="s">
        <v>1151</v>
      </c>
      <c r="D33" s="15" t="s">
        <v>1152</v>
      </c>
      <c r="E33" s="15" t="s">
        <v>1153</v>
      </c>
      <c r="F33" s="15" t="s">
        <v>1154</v>
      </c>
      <c r="G33" s="15" t="s">
        <v>1155</v>
      </c>
    </row>
    <row r="34" spans="1:8">
      <c r="A34" s="4" t="s">
        <v>174</v>
      </c>
      <c r="B34" s="38">
        <f>SUMPRODUCT('Aggreg'!$B15:$W15,$B$19:$W$19)</f>
        <v>0</v>
      </c>
      <c r="C34" s="38">
        <f>SUMPRODUCT('Aggreg'!$B50:$W50,$B$19:$W$19)</f>
        <v>0</v>
      </c>
      <c r="D34" s="38">
        <f>SUMPRODUCT('Aggreg'!$B85:$W85,$B$19:$W$19)</f>
        <v>0</v>
      </c>
      <c r="E34" s="38">
        <f>SUMPRODUCT('Aggreg'!$B120:$W120,$B$19:$W$19)</f>
        <v>0</v>
      </c>
      <c r="F34" s="38">
        <f>SUMPRODUCT('Aggreg'!$B151:$W151,$B$19:$W$19)</f>
        <v>0</v>
      </c>
      <c r="G34" s="38">
        <f>SUMPRODUCT('Aggreg'!$B183:$W183,$B$19:$W$19)</f>
        <v>0</v>
      </c>
      <c r="H34" s="17"/>
    </row>
    <row r="35" spans="1:8">
      <c r="A35" s="4" t="s">
        <v>175</v>
      </c>
      <c r="B35" s="38">
        <f>SUMPRODUCT('Aggreg'!$B16:$W16,$B$19:$W$19)</f>
        <v>0</v>
      </c>
      <c r="C35" s="38">
        <f>SUMPRODUCT('Aggreg'!$B51:$W51,$B$19:$W$19)</f>
        <v>0</v>
      </c>
      <c r="D35" s="38">
        <f>SUMPRODUCT('Aggreg'!$B86:$W86,$B$19:$W$19)</f>
        <v>0</v>
      </c>
      <c r="E35" s="38">
        <f>SUMPRODUCT('Aggreg'!$B121:$W121,$B$19:$W$19)</f>
        <v>0</v>
      </c>
      <c r="F35" s="38">
        <f>SUMPRODUCT('Aggreg'!$B152:$W152,$B$19:$W$19)</f>
        <v>0</v>
      </c>
      <c r="G35" s="38">
        <f>SUMPRODUCT('Aggreg'!$B184:$W184,$B$19:$W$19)</f>
        <v>0</v>
      </c>
      <c r="H35" s="17"/>
    </row>
    <row r="36" spans="1:8">
      <c r="A36" s="4" t="s">
        <v>211</v>
      </c>
      <c r="B36" s="38">
        <f>SUMPRODUCT('Aggreg'!$B17:$W17,$B$19:$W$19)</f>
        <v>0</v>
      </c>
      <c r="C36" s="38">
        <f>SUMPRODUCT('Aggreg'!$B52:$W52,$B$19:$W$19)</f>
        <v>0</v>
      </c>
      <c r="D36" s="38">
        <f>SUMPRODUCT('Aggreg'!$B87:$W87,$B$19:$W$19)</f>
        <v>0</v>
      </c>
      <c r="E36" s="38">
        <f>SUMPRODUCT('Aggreg'!$B122:$W122,$B$19:$W$19)</f>
        <v>0</v>
      </c>
      <c r="F36" s="38">
        <f>SUMPRODUCT('Aggreg'!$B153:$W153,$B$19:$W$19)</f>
        <v>0</v>
      </c>
      <c r="G36" s="38">
        <f>SUMPRODUCT('Aggreg'!$B185:$W185,$B$19:$W$19)</f>
        <v>0</v>
      </c>
      <c r="H36" s="17"/>
    </row>
    <row r="37" spans="1:8">
      <c r="A37" s="4" t="s">
        <v>176</v>
      </c>
      <c r="B37" s="38">
        <f>SUMPRODUCT('Aggreg'!$B18:$W18,$B$19:$W$19)</f>
        <v>0</v>
      </c>
      <c r="C37" s="38">
        <f>SUMPRODUCT('Aggreg'!$B53:$W53,$B$19:$W$19)</f>
        <v>0</v>
      </c>
      <c r="D37" s="38">
        <f>SUMPRODUCT('Aggreg'!$B88:$W88,$B$19:$W$19)</f>
        <v>0</v>
      </c>
      <c r="E37" s="38">
        <f>SUMPRODUCT('Aggreg'!$B123:$W123,$B$19:$W$19)</f>
        <v>0</v>
      </c>
      <c r="F37" s="38">
        <f>SUMPRODUCT('Aggreg'!$B154:$W154,$B$19:$W$19)</f>
        <v>0</v>
      </c>
      <c r="G37" s="38">
        <f>SUMPRODUCT('Aggreg'!$B186:$W186,$B$19:$W$19)</f>
        <v>0</v>
      </c>
      <c r="H37" s="17"/>
    </row>
    <row r="38" spans="1:8">
      <c r="A38" s="4" t="s">
        <v>177</v>
      </c>
      <c r="B38" s="38">
        <f>SUMPRODUCT('Aggreg'!$B19:$W19,$B$19:$W$19)</f>
        <v>0</v>
      </c>
      <c r="C38" s="38">
        <f>SUMPRODUCT('Aggreg'!$B54:$W54,$B$19:$W$19)</f>
        <v>0</v>
      </c>
      <c r="D38" s="38">
        <f>SUMPRODUCT('Aggreg'!$B89:$W89,$B$19:$W$19)</f>
        <v>0</v>
      </c>
      <c r="E38" s="38">
        <f>SUMPRODUCT('Aggreg'!$B124:$W124,$B$19:$W$19)</f>
        <v>0</v>
      </c>
      <c r="F38" s="38">
        <f>SUMPRODUCT('Aggreg'!$B155:$W155,$B$19:$W$19)</f>
        <v>0</v>
      </c>
      <c r="G38" s="38">
        <f>SUMPRODUCT('Aggreg'!$B187:$W187,$B$19:$W$19)</f>
        <v>0</v>
      </c>
      <c r="H38" s="17"/>
    </row>
    <row r="39" spans="1:8">
      <c r="A39" s="4" t="s">
        <v>212</v>
      </c>
      <c r="B39" s="38">
        <f>SUMPRODUCT('Aggreg'!$B20:$W20,$B$19:$W$19)</f>
        <v>0</v>
      </c>
      <c r="C39" s="38">
        <f>SUMPRODUCT('Aggreg'!$B55:$W55,$B$19:$W$19)</f>
        <v>0</v>
      </c>
      <c r="D39" s="38">
        <f>SUMPRODUCT('Aggreg'!$B90:$W90,$B$19:$W$19)</f>
        <v>0</v>
      </c>
      <c r="E39" s="38">
        <f>SUMPRODUCT('Aggreg'!$B125:$W125,$B$19:$W$19)</f>
        <v>0</v>
      </c>
      <c r="F39" s="38">
        <f>SUMPRODUCT('Aggreg'!$B156:$W156,$B$19:$W$19)</f>
        <v>0</v>
      </c>
      <c r="G39" s="38">
        <f>SUMPRODUCT('Aggreg'!$B188:$W188,$B$19:$W$19)</f>
        <v>0</v>
      </c>
      <c r="H39" s="17"/>
    </row>
    <row r="40" spans="1:8">
      <c r="A40" s="4" t="s">
        <v>178</v>
      </c>
      <c r="B40" s="38">
        <f>SUMPRODUCT('Aggreg'!$B21:$W21,$B$19:$W$19)</f>
        <v>0</v>
      </c>
      <c r="C40" s="38">
        <f>SUMPRODUCT('Aggreg'!$B56:$W56,$B$19:$W$19)</f>
        <v>0</v>
      </c>
      <c r="D40" s="38">
        <f>SUMPRODUCT('Aggreg'!$B91:$W91,$B$19:$W$19)</f>
        <v>0</v>
      </c>
      <c r="E40" s="38">
        <f>SUMPRODUCT('Aggreg'!$B126:$W126,$B$19:$W$19)</f>
        <v>0</v>
      </c>
      <c r="F40" s="38">
        <f>SUMPRODUCT('Aggreg'!$B157:$W157,$B$19:$W$19)</f>
        <v>0</v>
      </c>
      <c r="G40" s="38">
        <f>SUMPRODUCT('Aggreg'!$B189:$W189,$B$19:$W$19)</f>
        <v>0</v>
      </c>
      <c r="H40" s="17"/>
    </row>
    <row r="41" spans="1:8">
      <c r="A41" s="4" t="s">
        <v>179</v>
      </c>
      <c r="B41" s="38">
        <f>SUMPRODUCT('Aggreg'!$B22:$W22,$B$19:$W$19)</f>
        <v>0</v>
      </c>
      <c r="C41" s="38">
        <f>SUMPRODUCT('Aggreg'!$B57:$W57,$B$19:$W$19)</f>
        <v>0</v>
      </c>
      <c r="D41" s="38">
        <f>SUMPRODUCT('Aggreg'!$B92:$W92,$B$19:$W$19)</f>
        <v>0</v>
      </c>
      <c r="E41" s="38">
        <f>SUMPRODUCT('Aggreg'!$B127:$W127,$B$19:$W$19)</f>
        <v>0</v>
      </c>
      <c r="F41" s="38">
        <f>SUMPRODUCT('Aggreg'!$B158:$W158,$B$19:$W$19)</f>
        <v>0</v>
      </c>
      <c r="G41" s="38">
        <f>SUMPRODUCT('Aggreg'!$B190:$W190,$B$19:$W$19)</f>
        <v>0</v>
      </c>
      <c r="H41" s="17"/>
    </row>
    <row r="42" spans="1:8">
      <c r="A42" s="4" t="s">
        <v>180</v>
      </c>
      <c r="B42" s="38">
        <f>SUMPRODUCT('Aggreg'!$B23:$W23,$B$19:$W$19)</f>
        <v>0</v>
      </c>
      <c r="C42" s="38">
        <f>SUMPRODUCT('Aggreg'!$B58:$W58,$B$19:$W$19)</f>
        <v>0</v>
      </c>
      <c r="D42" s="38">
        <f>SUMPRODUCT('Aggreg'!$B93:$W93,$B$19:$W$19)</f>
        <v>0</v>
      </c>
      <c r="E42" s="38">
        <f>SUMPRODUCT('Aggreg'!$B128:$W128,$B$19:$W$19)</f>
        <v>0</v>
      </c>
      <c r="F42" s="38">
        <f>SUMPRODUCT('Aggreg'!$B159:$W159,$B$19:$W$19)</f>
        <v>0</v>
      </c>
      <c r="G42" s="38">
        <f>SUMPRODUCT('Aggreg'!$B191:$W191,$B$19:$W$19)</f>
        <v>0</v>
      </c>
      <c r="H42" s="17"/>
    </row>
    <row r="43" spans="1:8">
      <c r="A43" s="4" t="s">
        <v>181</v>
      </c>
      <c r="B43" s="38">
        <f>SUMPRODUCT('Aggreg'!$B24:$W24,$B$19:$W$19)</f>
        <v>0</v>
      </c>
      <c r="C43" s="38">
        <f>SUMPRODUCT('Aggreg'!$B59:$W59,$B$19:$W$19)</f>
        <v>0</v>
      </c>
      <c r="D43" s="38">
        <f>SUMPRODUCT('Aggreg'!$B94:$W94,$B$19:$W$19)</f>
        <v>0</v>
      </c>
      <c r="E43" s="38">
        <f>SUMPRODUCT('Aggreg'!$B129:$W129,$B$19:$W$19)</f>
        <v>0</v>
      </c>
      <c r="F43" s="38">
        <f>SUMPRODUCT('Aggreg'!$B160:$W160,$B$19:$W$19)</f>
        <v>0</v>
      </c>
      <c r="G43" s="38">
        <f>SUMPRODUCT('Aggreg'!$B192:$W192,$B$19:$W$19)</f>
        <v>0</v>
      </c>
      <c r="H43" s="17"/>
    </row>
    <row r="44" spans="1:8">
      <c r="A44" s="4" t="s">
        <v>193</v>
      </c>
      <c r="B44" s="38">
        <f>SUMPRODUCT('Aggreg'!$B25:$W25,$B$19:$W$19)</f>
        <v>0</v>
      </c>
      <c r="C44" s="38">
        <f>SUMPRODUCT('Aggreg'!$B60:$W60,$B$19:$W$19)</f>
        <v>0</v>
      </c>
      <c r="D44" s="38">
        <f>SUMPRODUCT('Aggreg'!$B95:$W95,$B$19:$W$19)</f>
        <v>0</v>
      </c>
      <c r="E44" s="38">
        <f>SUMPRODUCT('Aggreg'!$B130:$W130,$B$19:$W$19)</f>
        <v>0</v>
      </c>
      <c r="F44" s="38">
        <f>SUMPRODUCT('Aggreg'!$B161:$W161,$B$19:$W$19)</f>
        <v>0</v>
      </c>
      <c r="G44" s="38">
        <f>SUMPRODUCT('Aggreg'!$B193:$W193,$B$19:$W$19)</f>
        <v>0</v>
      </c>
      <c r="H44" s="17"/>
    </row>
    <row r="45" spans="1:8">
      <c r="A45" s="4" t="s">
        <v>213</v>
      </c>
      <c r="B45" s="38">
        <f>SUMPRODUCT('Aggreg'!$B26:$W26,$B$19:$W$19)</f>
        <v>0</v>
      </c>
      <c r="C45" s="38">
        <f>SUMPRODUCT('Aggreg'!$B61:$W61,$B$19:$W$19)</f>
        <v>0</v>
      </c>
      <c r="D45" s="38">
        <f>SUMPRODUCT('Aggreg'!$B96:$W96,$B$19:$W$19)</f>
        <v>0</v>
      </c>
      <c r="E45" s="38">
        <f>SUMPRODUCT('Aggreg'!$B131:$W131,$B$19:$W$19)</f>
        <v>0</v>
      </c>
      <c r="F45" s="38">
        <f>SUMPRODUCT('Aggreg'!$B162:$W162,$B$19:$W$19)</f>
        <v>0</v>
      </c>
      <c r="G45" s="38">
        <f>SUMPRODUCT('Aggreg'!$B194:$W194,$B$19:$W$19)</f>
        <v>0</v>
      </c>
      <c r="H45" s="17"/>
    </row>
    <row r="46" spans="1:8">
      <c r="A46" s="4" t="s">
        <v>214</v>
      </c>
      <c r="B46" s="38">
        <f>SUMPRODUCT('Aggreg'!$B27:$W27,$B$19:$W$19)</f>
        <v>0</v>
      </c>
      <c r="C46" s="38">
        <f>SUMPRODUCT('Aggreg'!$B62:$W62,$B$19:$W$19)</f>
        <v>0</v>
      </c>
      <c r="D46" s="38">
        <f>SUMPRODUCT('Aggreg'!$B97:$W97,$B$19:$W$19)</f>
        <v>0</v>
      </c>
      <c r="E46" s="38">
        <f>SUMPRODUCT('Aggreg'!$B132:$W132,$B$19:$W$19)</f>
        <v>0</v>
      </c>
      <c r="F46" s="38">
        <f>SUMPRODUCT('Aggreg'!$B163:$W163,$B$19:$W$19)</f>
        <v>0</v>
      </c>
      <c r="G46" s="38">
        <f>SUMPRODUCT('Aggreg'!$B195:$W195,$B$19:$W$19)</f>
        <v>0</v>
      </c>
      <c r="H46" s="17"/>
    </row>
    <row r="47" spans="1:8">
      <c r="A47" s="4" t="s">
        <v>215</v>
      </c>
      <c r="B47" s="38">
        <f>SUMPRODUCT('Aggreg'!$B28:$W28,$B$19:$W$19)</f>
        <v>0</v>
      </c>
      <c r="C47" s="38">
        <f>SUMPRODUCT('Aggreg'!$B63:$W63,$B$19:$W$19)</f>
        <v>0</v>
      </c>
      <c r="D47" s="38">
        <f>SUMPRODUCT('Aggreg'!$B98:$W98,$B$19:$W$19)</f>
        <v>0</v>
      </c>
      <c r="E47" s="38">
        <f>SUMPRODUCT('Aggreg'!$B133:$W133,$B$19:$W$19)</f>
        <v>0</v>
      </c>
      <c r="F47" s="38">
        <f>SUMPRODUCT('Aggreg'!$B164:$W164,$B$19:$W$19)</f>
        <v>0</v>
      </c>
      <c r="G47" s="38">
        <f>SUMPRODUCT('Aggreg'!$B196:$W196,$B$19:$W$19)</f>
        <v>0</v>
      </c>
      <c r="H47" s="17"/>
    </row>
    <row r="48" spans="1:8">
      <c r="A48" s="4" t="s">
        <v>216</v>
      </c>
      <c r="B48" s="38">
        <f>SUMPRODUCT('Aggreg'!$B29:$W29,$B$19:$W$19)</f>
        <v>0</v>
      </c>
      <c r="C48" s="38">
        <f>SUMPRODUCT('Aggreg'!$B64:$W64,$B$19:$W$19)</f>
        <v>0</v>
      </c>
      <c r="D48" s="38">
        <f>SUMPRODUCT('Aggreg'!$B99:$W99,$B$19:$W$19)</f>
        <v>0</v>
      </c>
      <c r="E48" s="38">
        <f>SUMPRODUCT('Aggreg'!$B134:$W134,$B$19:$W$19)</f>
        <v>0</v>
      </c>
      <c r="F48" s="38">
        <f>SUMPRODUCT('Aggreg'!$B165:$W165,$B$19:$W$19)</f>
        <v>0</v>
      </c>
      <c r="G48" s="38">
        <f>SUMPRODUCT('Aggreg'!$B197:$W197,$B$19:$W$19)</f>
        <v>0</v>
      </c>
      <c r="H48" s="17"/>
    </row>
    <row r="49" spans="1:8">
      <c r="A49" s="4" t="s">
        <v>217</v>
      </c>
      <c r="B49" s="38">
        <f>SUMPRODUCT('Aggreg'!$B30:$W30,$B$19:$W$19)</f>
        <v>0</v>
      </c>
      <c r="C49" s="38">
        <f>SUMPRODUCT('Aggreg'!$B65:$W65,$B$19:$W$19)</f>
        <v>0</v>
      </c>
      <c r="D49" s="38">
        <f>SUMPRODUCT('Aggreg'!$B100:$W100,$B$19:$W$19)</f>
        <v>0</v>
      </c>
      <c r="E49" s="38">
        <f>SUMPRODUCT('Aggreg'!$B135:$W135,$B$19:$W$19)</f>
        <v>0</v>
      </c>
      <c r="F49" s="38">
        <f>SUMPRODUCT('Aggreg'!$B166:$W166,$B$19:$W$19)</f>
        <v>0</v>
      </c>
      <c r="G49" s="38">
        <f>SUMPRODUCT('Aggreg'!$B198:$W198,$B$19:$W$19)</f>
        <v>0</v>
      </c>
      <c r="H49" s="17"/>
    </row>
    <row r="50" spans="1:8">
      <c r="A50" s="4" t="s">
        <v>182</v>
      </c>
      <c r="B50" s="38">
        <f>SUMPRODUCT('Aggreg'!$B31:$W31,$B$19:$W$19)</f>
        <v>0</v>
      </c>
      <c r="C50" s="38">
        <f>SUMPRODUCT('Aggreg'!$B66:$W66,$B$19:$W$19)</f>
        <v>0</v>
      </c>
      <c r="D50" s="38">
        <f>SUMPRODUCT('Aggreg'!$B101:$W101,$B$19:$W$19)</f>
        <v>0</v>
      </c>
      <c r="E50" s="38">
        <f>SUMPRODUCT('Aggreg'!$B136:$W136,$B$19:$W$19)</f>
        <v>0</v>
      </c>
      <c r="F50" s="38">
        <f>SUMPRODUCT('Aggreg'!$B167:$W167,$B$19:$W$19)</f>
        <v>0</v>
      </c>
      <c r="G50" s="38">
        <f>SUMPRODUCT('Aggreg'!$B199:$W199,$B$19:$W$19)</f>
        <v>0</v>
      </c>
      <c r="H50" s="17"/>
    </row>
    <row r="51" spans="1:8">
      <c r="A51" s="4" t="s">
        <v>183</v>
      </c>
      <c r="B51" s="38">
        <f>SUMPRODUCT('Aggreg'!$B32:$W32,$B$19:$W$19)</f>
        <v>0</v>
      </c>
      <c r="C51" s="38">
        <f>SUMPRODUCT('Aggreg'!$B67:$W67,$B$19:$W$19)</f>
        <v>0</v>
      </c>
      <c r="D51" s="38">
        <f>SUMPRODUCT('Aggreg'!$B102:$W102,$B$19:$W$19)</f>
        <v>0</v>
      </c>
      <c r="E51" s="38">
        <f>SUMPRODUCT('Aggreg'!$B137:$W137,$B$19:$W$19)</f>
        <v>0</v>
      </c>
      <c r="F51" s="38">
        <f>SUMPRODUCT('Aggreg'!$B168:$W168,$B$19:$W$19)</f>
        <v>0</v>
      </c>
      <c r="G51" s="38">
        <f>SUMPRODUCT('Aggreg'!$B200:$W200,$B$19:$W$19)</f>
        <v>0</v>
      </c>
      <c r="H51" s="17"/>
    </row>
    <row r="52" spans="1:8">
      <c r="A52" s="4" t="s">
        <v>184</v>
      </c>
      <c r="B52" s="38">
        <f>SUMPRODUCT('Aggreg'!$B33:$W33,$B$19:$W$19)</f>
        <v>0</v>
      </c>
      <c r="C52" s="38">
        <f>SUMPRODUCT('Aggreg'!$B68:$W68,$B$19:$W$19)</f>
        <v>0</v>
      </c>
      <c r="D52" s="38">
        <f>SUMPRODUCT('Aggreg'!$B103:$W103,$B$19:$W$19)</f>
        <v>0</v>
      </c>
      <c r="E52" s="38">
        <f>SUMPRODUCT('Aggreg'!$B138:$W138,$B$19:$W$19)</f>
        <v>0</v>
      </c>
      <c r="F52" s="38">
        <f>SUMPRODUCT('Aggreg'!$B169:$W169,$B$19:$W$19)</f>
        <v>0</v>
      </c>
      <c r="G52" s="38">
        <f>SUMPRODUCT('Aggreg'!$B201:$W201,$B$19:$W$19)</f>
        <v>0</v>
      </c>
      <c r="H52" s="17"/>
    </row>
    <row r="53" spans="1:8">
      <c r="A53" s="4" t="s">
        <v>185</v>
      </c>
      <c r="B53" s="38">
        <f>SUMPRODUCT('Aggreg'!$B34:$W34,$B$19:$W$19)</f>
        <v>0</v>
      </c>
      <c r="C53" s="38">
        <f>SUMPRODUCT('Aggreg'!$B69:$W69,$B$19:$W$19)</f>
        <v>0</v>
      </c>
      <c r="D53" s="38">
        <f>SUMPRODUCT('Aggreg'!$B104:$W104,$B$19:$W$19)</f>
        <v>0</v>
      </c>
      <c r="E53" s="38">
        <f>SUMPRODUCT('Aggreg'!$B139:$W139,$B$19:$W$19)</f>
        <v>0</v>
      </c>
      <c r="F53" s="38">
        <f>SUMPRODUCT('Aggreg'!$B170:$W170,$B$19:$W$19)</f>
        <v>0</v>
      </c>
      <c r="G53" s="38">
        <f>SUMPRODUCT('Aggreg'!$B202:$W202,$B$19:$W$19)</f>
        <v>0</v>
      </c>
      <c r="H53" s="17"/>
    </row>
    <row r="54" spans="1:8">
      <c r="A54" s="4" t="s">
        <v>186</v>
      </c>
      <c r="B54" s="38">
        <f>SUMPRODUCT('Aggreg'!$B35:$W35,$B$19:$W$19)</f>
        <v>0</v>
      </c>
      <c r="C54" s="38">
        <f>SUMPRODUCT('Aggreg'!$B70:$W70,$B$19:$W$19)</f>
        <v>0</v>
      </c>
      <c r="D54" s="38">
        <f>SUMPRODUCT('Aggreg'!$B105:$W105,$B$19:$W$19)</f>
        <v>0</v>
      </c>
      <c r="E54" s="38">
        <f>SUMPRODUCT('Aggreg'!$B140:$W140,$B$19:$W$19)</f>
        <v>0</v>
      </c>
      <c r="F54" s="38">
        <f>SUMPRODUCT('Aggreg'!$B171:$W171,$B$19:$W$19)</f>
        <v>0</v>
      </c>
      <c r="G54" s="38">
        <f>SUMPRODUCT('Aggreg'!$B203:$W203,$B$19:$W$19)</f>
        <v>0</v>
      </c>
      <c r="H54" s="17"/>
    </row>
    <row r="55" spans="1:8">
      <c r="A55" s="4" t="s">
        <v>187</v>
      </c>
      <c r="B55" s="38">
        <f>SUMPRODUCT('Aggreg'!$B36:$W36,$B$19:$W$19)</f>
        <v>0</v>
      </c>
      <c r="C55" s="38">
        <f>SUMPRODUCT('Aggreg'!$B71:$W71,$B$19:$W$19)</f>
        <v>0</v>
      </c>
      <c r="D55" s="38">
        <f>SUMPRODUCT('Aggreg'!$B106:$W106,$B$19:$W$19)</f>
        <v>0</v>
      </c>
      <c r="E55" s="38">
        <f>SUMPRODUCT('Aggreg'!$B141:$W141,$B$19:$W$19)</f>
        <v>0</v>
      </c>
      <c r="F55" s="38">
        <f>SUMPRODUCT('Aggreg'!$B172:$W172,$B$19:$W$19)</f>
        <v>0</v>
      </c>
      <c r="G55" s="38">
        <f>SUMPRODUCT('Aggreg'!$B204:$W204,$B$19:$W$19)</f>
        <v>0</v>
      </c>
      <c r="H55" s="17"/>
    </row>
    <row r="56" spans="1:8">
      <c r="A56" s="4" t="s">
        <v>194</v>
      </c>
      <c r="B56" s="38">
        <f>SUMPRODUCT('Aggreg'!$B37:$W37,$B$19:$W$19)</f>
        <v>0</v>
      </c>
      <c r="C56" s="38">
        <f>SUMPRODUCT('Aggreg'!$B72:$W72,$B$19:$W$19)</f>
        <v>0</v>
      </c>
      <c r="D56" s="38">
        <f>SUMPRODUCT('Aggreg'!$B107:$W107,$B$19:$W$19)</f>
        <v>0</v>
      </c>
      <c r="E56" s="38">
        <f>SUMPRODUCT('Aggreg'!$B142:$W142,$B$19:$W$19)</f>
        <v>0</v>
      </c>
      <c r="F56" s="38">
        <f>SUMPRODUCT('Aggreg'!$B173:$W173,$B$19:$W$19)</f>
        <v>0</v>
      </c>
      <c r="G56" s="38">
        <f>SUMPRODUCT('Aggreg'!$B205:$W205,$B$19:$W$19)</f>
        <v>0</v>
      </c>
      <c r="H56" s="17"/>
    </row>
    <row r="57" spans="1:8">
      <c r="A57" s="4" t="s">
        <v>195</v>
      </c>
      <c r="B57" s="38">
        <f>SUMPRODUCT('Aggreg'!$B38:$W38,$B$19:$W$19)</f>
        <v>0</v>
      </c>
      <c r="C57" s="38">
        <f>SUMPRODUCT('Aggreg'!$B73:$W73,$B$19:$W$19)</f>
        <v>0</v>
      </c>
      <c r="D57" s="38">
        <f>SUMPRODUCT('Aggreg'!$B108:$W108,$B$19:$W$19)</f>
        <v>0</v>
      </c>
      <c r="E57" s="38">
        <f>SUMPRODUCT('Aggreg'!$B143:$W143,$B$19:$W$19)</f>
        <v>0</v>
      </c>
      <c r="F57" s="38">
        <f>SUMPRODUCT('Aggreg'!$B174:$W174,$B$19:$W$19)</f>
        <v>0</v>
      </c>
      <c r="G57" s="38">
        <f>SUMPRODUCT('Aggreg'!$B206:$W206,$B$19:$W$19)</f>
        <v>0</v>
      </c>
      <c r="H57" s="17"/>
    </row>
    <row r="59" spans="1:8" ht="21" customHeight="1">
      <c r="A59" s="1" t="s">
        <v>1156</v>
      </c>
    </row>
    <row r="60" spans="1:8">
      <c r="A60" s="2" t="s">
        <v>351</v>
      </c>
    </row>
    <row r="61" spans="1:8">
      <c r="A61" s="33" t="s">
        <v>1045</v>
      </c>
    </row>
    <row r="62" spans="1:8">
      <c r="A62" s="33" t="s">
        <v>1157</v>
      </c>
    </row>
    <row r="63" spans="1:8">
      <c r="A63" s="33" t="s">
        <v>1158</v>
      </c>
    </row>
    <row r="64" spans="1:8">
      <c r="A64" s="33" t="s">
        <v>1159</v>
      </c>
    </row>
    <row r="65" spans="1:8">
      <c r="A65" s="33" t="s">
        <v>1160</v>
      </c>
    </row>
    <row r="66" spans="1:8">
      <c r="A66" s="33" t="s">
        <v>1161</v>
      </c>
    </row>
    <row r="67" spans="1:8">
      <c r="A67" s="33" t="s">
        <v>1162</v>
      </c>
    </row>
    <row r="68" spans="1:8">
      <c r="A68" s="33" t="s">
        <v>1163</v>
      </c>
    </row>
    <row r="69" spans="1:8">
      <c r="A69" s="33" t="s">
        <v>1164</v>
      </c>
    </row>
    <row r="70" spans="1:8">
      <c r="A70" s="33" t="s">
        <v>1165</v>
      </c>
    </row>
    <row r="71" spans="1:8">
      <c r="A71" s="33" t="s">
        <v>1166</v>
      </c>
    </row>
    <row r="72" spans="1:8">
      <c r="A72" s="33" t="s">
        <v>1167</v>
      </c>
    </row>
    <row r="73" spans="1:8">
      <c r="A73" s="33" t="s">
        <v>1168</v>
      </c>
    </row>
    <row r="74" spans="1:8">
      <c r="A74" s="33" t="s">
        <v>1169</v>
      </c>
    </row>
    <row r="75" spans="1:8">
      <c r="A75" s="34" t="s">
        <v>354</v>
      </c>
      <c r="B75" s="34" t="s">
        <v>484</v>
      </c>
      <c r="C75" s="34" t="s">
        <v>484</v>
      </c>
      <c r="D75" s="34" t="s">
        <v>484</v>
      </c>
      <c r="E75" s="34" t="s">
        <v>484</v>
      </c>
      <c r="F75" s="34" t="s">
        <v>484</v>
      </c>
      <c r="G75" s="34" t="s">
        <v>484</v>
      </c>
    </row>
    <row r="76" spans="1:8">
      <c r="A76" s="34" t="s">
        <v>357</v>
      </c>
      <c r="B76" s="34" t="s">
        <v>1170</v>
      </c>
      <c r="C76" s="34" t="s">
        <v>1171</v>
      </c>
      <c r="D76" s="34" t="s">
        <v>1172</v>
      </c>
      <c r="E76" s="34" t="s">
        <v>1173</v>
      </c>
      <c r="F76" s="34" t="s">
        <v>1174</v>
      </c>
      <c r="G76" s="34" t="s">
        <v>1175</v>
      </c>
    </row>
    <row r="78" spans="1:8">
      <c r="B78" s="15" t="s">
        <v>1176</v>
      </c>
      <c r="C78" s="15" t="s">
        <v>1177</v>
      </c>
      <c r="D78" s="15" t="s">
        <v>1178</v>
      </c>
      <c r="E78" s="15" t="s">
        <v>1179</v>
      </c>
      <c r="F78" s="15" t="s">
        <v>1180</v>
      </c>
      <c r="G78" s="15" t="s">
        <v>1181</v>
      </c>
    </row>
    <row r="79" spans="1:8">
      <c r="A79" s="4" t="s">
        <v>174</v>
      </c>
      <c r="B79" s="38">
        <f>IF('Loads'!B43&lt;0,0,B34*'Loads'!B280*10)</f>
        <v>0</v>
      </c>
      <c r="C79" s="38">
        <f>IF('Loads'!B43&lt;0,0,C34*'Loads'!C280*10)</f>
        <v>0</v>
      </c>
      <c r="D79" s="38">
        <f>IF('Loads'!B43&lt;0,0,D34*'Loads'!D280*10)</f>
        <v>0</v>
      </c>
      <c r="E79" s="38">
        <f>E34*'Input'!F$58*'Loads'!E280/100</f>
        <v>0</v>
      </c>
      <c r="F79" s="38">
        <f>F34*'Input'!F$58*'Loads'!F280/100</f>
        <v>0</v>
      </c>
      <c r="G79" s="38">
        <f>IF('Loads'!B43&lt;0,0,G34*'Loads'!G280*10)</f>
        <v>0</v>
      </c>
      <c r="H79" s="17"/>
    </row>
    <row r="80" spans="1:8">
      <c r="A80" s="4" t="s">
        <v>175</v>
      </c>
      <c r="B80" s="38">
        <f>IF('Loads'!B44&lt;0,0,B35*'Loads'!B281*10)</f>
        <v>0</v>
      </c>
      <c r="C80" s="38">
        <f>IF('Loads'!B44&lt;0,0,C35*'Loads'!C281*10)</f>
        <v>0</v>
      </c>
      <c r="D80" s="38">
        <f>IF('Loads'!B44&lt;0,0,D35*'Loads'!D281*10)</f>
        <v>0</v>
      </c>
      <c r="E80" s="38">
        <f>E35*'Input'!F$58*'Loads'!E281/100</f>
        <v>0</v>
      </c>
      <c r="F80" s="38">
        <f>F35*'Input'!F$58*'Loads'!F281/100</f>
        <v>0</v>
      </c>
      <c r="G80" s="38">
        <f>IF('Loads'!B44&lt;0,0,G35*'Loads'!G281*10)</f>
        <v>0</v>
      </c>
      <c r="H80" s="17"/>
    </row>
    <row r="81" spans="1:8">
      <c r="A81" s="4" t="s">
        <v>211</v>
      </c>
      <c r="B81" s="38">
        <f>IF('Loads'!B45&lt;0,0,B36*'Loads'!B282*10)</f>
        <v>0</v>
      </c>
      <c r="C81" s="38">
        <f>IF('Loads'!B45&lt;0,0,C36*'Loads'!C282*10)</f>
        <v>0</v>
      </c>
      <c r="D81" s="38">
        <f>IF('Loads'!B45&lt;0,0,D36*'Loads'!D282*10)</f>
        <v>0</v>
      </c>
      <c r="E81" s="38">
        <f>E36*'Input'!F$58*'Loads'!E282/100</f>
        <v>0</v>
      </c>
      <c r="F81" s="38">
        <f>F36*'Input'!F$58*'Loads'!F282/100</f>
        <v>0</v>
      </c>
      <c r="G81" s="38">
        <f>IF('Loads'!B45&lt;0,0,G36*'Loads'!G282*10)</f>
        <v>0</v>
      </c>
      <c r="H81" s="17"/>
    </row>
    <row r="82" spans="1:8">
      <c r="A82" s="4" t="s">
        <v>176</v>
      </c>
      <c r="B82" s="38">
        <f>IF('Loads'!B46&lt;0,0,B37*'Loads'!B283*10)</f>
        <v>0</v>
      </c>
      <c r="C82" s="38">
        <f>IF('Loads'!B46&lt;0,0,C37*'Loads'!C283*10)</f>
        <v>0</v>
      </c>
      <c r="D82" s="38">
        <f>IF('Loads'!B46&lt;0,0,D37*'Loads'!D283*10)</f>
        <v>0</v>
      </c>
      <c r="E82" s="38">
        <f>E37*'Input'!F$58*'Loads'!E283/100</f>
        <v>0</v>
      </c>
      <c r="F82" s="38">
        <f>F37*'Input'!F$58*'Loads'!F283/100</f>
        <v>0</v>
      </c>
      <c r="G82" s="38">
        <f>IF('Loads'!B46&lt;0,0,G37*'Loads'!G283*10)</f>
        <v>0</v>
      </c>
      <c r="H82" s="17"/>
    </row>
    <row r="83" spans="1:8">
      <c r="A83" s="4" t="s">
        <v>177</v>
      </c>
      <c r="B83" s="38">
        <f>IF('Loads'!B47&lt;0,0,B38*'Loads'!B284*10)</f>
        <v>0</v>
      </c>
      <c r="C83" s="38">
        <f>IF('Loads'!B47&lt;0,0,C38*'Loads'!C284*10)</f>
        <v>0</v>
      </c>
      <c r="D83" s="38">
        <f>IF('Loads'!B47&lt;0,0,D38*'Loads'!D284*10)</f>
        <v>0</v>
      </c>
      <c r="E83" s="38">
        <f>E38*'Input'!F$58*'Loads'!E284/100</f>
        <v>0</v>
      </c>
      <c r="F83" s="38">
        <f>F38*'Input'!F$58*'Loads'!F284/100</f>
        <v>0</v>
      </c>
      <c r="G83" s="38">
        <f>IF('Loads'!B47&lt;0,0,G38*'Loads'!G284*10)</f>
        <v>0</v>
      </c>
      <c r="H83" s="17"/>
    </row>
    <row r="84" spans="1:8">
      <c r="A84" s="4" t="s">
        <v>212</v>
      </c>
      <c r="B84" s="38">
        <f>IF('Loads'!B48&lt;0,0,B39*'Loads'!B285*10)</f>
        <v>0</v>
      </c>
      <c r="C84" s="38">
        <f>IF('Loads'!B48&lt;0,0,C39*'Loads'!C285*10)</f>
        <v>0</v>
      </c>
      <c r="D84" s="38">
        <f>IF('Loads'!B48&lt;0,0,D39*'Loads'!D285*10)</f>
        <v>0</v>
      </c>
      <c r="E84" s="38">
        <f>E39*'Input'!F$58*'Loads'!E285/100</f>
        <v>0</v>
      </c>
      <c r="F84" s="38">
        <f>F39*'Input'!F$58*'Loads'!F285/100</f>
        <v>0</v>
      </c>
      <c r="G84" s="38">
        <f>IF('Loads'!B48&lt;0,0,G39*'Loads'!G285*10)</f>
        <v>0</v>
      </c>
      <c r="H84" s="17"/>
    </row>
    <row r="85" spans="1:8">
      <c r="A85" s="4" t="s">
        <v>178</v>
      </c>
      <c r="B85" s="38">
        <f>IF('Loads'!B49&lt;0,0,B40*'Loads'!B286*10)</f>
        <v>0</v>
      </c>
      <c r="C85" s="38">
        <f>IF('Loads'!B49&lt;0,0,C40*'Loads'!C286*10)</f>
        <v>0</v>
      </c>
      <c r="D85" s="38">
        <f>IF('Loads'!B49&lt;0,0,D40*'Loads'!D286*10)</f>
        <v>0</v>
      </c>
      <c r="E85" s="38">
        <f>E40*'Input'!F$58*'Loads'!E286/100</f>
        <v>0</v>
      </c>
      <c r="F85" s="38">
        <f>F40*'Input'!F$58*'Loads'!F286/100</f>
        <v>0</v>
      </c>
      <c r="G85" s="38">
        <f>IF('Loads'!B49&lt;0,0,G40*'Loads'!G286*10)</f>
        <v>0</v>
      </c>
      <c r="H85" s="17"/>
    </row>
    <row r="86" spans="1:8">
      <c r="A86" s="4" t="s">
        <v>179</v>
      </c>
      <c r="B86" s="38">
        <f>IF('Loads'!B50&lt;0,0,B41*'Loads'!B287*10)</f>
        <v>0</v>
      </c>
      <c r="C86" s="38">
        <f>IF('Loads'!B50&lt;0,0,C41*'Loads'!C287*10)</f>
        <v>0</v>
      </c>
      <c r="D86" s="38">
        <f>IF('Loads'!B50&lt;0,0,D41*'Loads'!D287*10)</f>
        <v>0</v>
      </c>
      <c r="E86" s="38">
        <f>E41*'Input'!F$58*'Loads'!E287/100</f>
        <v>0</v>
      </c>
      <c r="F86" s="38">
        <f>F41*'Input'!F$58*'Loads'!F287/100</f>
        <v>0</v>
      </c>
      <c r="G86" s="38">
        <f>IF('Loads'!B50&lt;0,0,G41*'Loads'!G287*10)</f>
        <v>0</v>
      </c>
      <c r="H86" s="17"/>
    </row>
    <row r="87" spans="1:8">
      <c r="A87" s="4" t="s">
        <v>180</v>
      </c>
      <c r="B87" s="38">
        <f>IF('Loads'!B51&lt;0,0,B42*'Loads'!B288*10)</f>
        <v>0</v>
      </c>
      <c r="C87" s="38">
        <f>IF('Loads'!B51&lt;0,0,C42*'Loads'!C288*10)</f>
        <v>0</v>
      </c>
      <c r="D87" s="38">
        <f>IF('Loads'!B51&lt;0,0,D42*'Loads'!D288*10)</f>
        <v>0</v>
      </c>
      <c r="E87" s="38">
        <f>E42*'Input'!F$58*'Loads'!E288/100</f>
        <v>0</v>
      </c>
      <c r="F87" s="38">
        <f>F42*'Input'!F$58*'Loads'!F288/100</f>
        <v>0</v>
      </c>
      <c r="G87" s="38">
        <f>IF('Loads'!B51&lt;0,0,G42*'Loads'!G288*10)</f>
        <v>0</v>
      </c>
      <c r="H87" s="17"/>
    </row>
    <row r="88" spans="1:8">
      <c r="A88" s="4" t="s">
        <v>181</v>
      </c>
      <c r="B88" s="38">
        <f>IF('Loads'!B52&lt;0,0,B43*'Loads'!B289*10)</f>
        <v>0</v>
      </c>
      <c r="C88" s="38">
        <f>IF('Loads'!B52&lt;0,0,C43*'Loads'!C289*10)</f>
        <v>0</v>
      </c>
      <c r="D88" s="38">
        <f>IF('Loads'!B52&lt;0,0,D43*'Loads'!D289*10)</f>
        <v>0</v>
      </c>
      <c r="E88" s="38">
        <f>E43*'Input'!F$58*'Loads'!E289/100</f>
        <v>0</v>
      </c>
      <c r="F88" s="38">
        <f>F43*'Input'!F$58*'Loads'!F289/100</f>
        <v>0</v>
      </c>
      <c r="G88" s="38">
        <f>IF('Loads'!B52&lt;0,0,G43*'Loads'!G289*10)</f>
        <v>0</v>
      </c>
      <c r="H88" s="17"/>
    </row>
    <row r="89" spans="1:8">
      <c r="A89" s="4" t="s">
        <v>193</v>
      </c>
      <c r="B89" s="38">
        <f>IF('Loads'!B53&lt;0,0,B44*'Loads'!B290*10)</f>
        <v>0</v>
      </c>
      <c r="C89" s="38">
        <f>IF('Loads'!B53&lt;0,0,C44*'Loads'!C290*10)</f>
        <v>0</v>
      </c>
      <c r="D89" s="38">
        <f>IF('Loads'!B53&lt;0,0,D44*'Loads'!D290*10)</f>
        <v>0</v>
      </c>
      <c r="E89" s="38">
        <f>E44*'Input'!F$58*'Loads'!E290/100</f>
        <v>0</v>
      </c>
      <c r="F89" s="38">
        <f>F44*'Input'!F$58*'Loads'!F290/100</f>
        <v>0</v>
      </c>
      <c r="G89" s="38">
        <f>IF('Loads'!B53&lt;0,0,G44*'Loads'!G290*10)</f>
        <v>0</v>
      </c>
      <c r="H89" s="17"/>
    </row>
    <row r="90" spans="1:8">
      <c r="A90" s="4" t="s">
        <v>213</v>
      </c>
      <c r="B90" s="38">
        <f>IF('Loads'!B54&lt;0,0,B45*'Loads'!B291*10)</f>
        <v>0</v>
      </c>
      <c r="C90" s="38">
        <f>IF('Loads'!B54&lt;0,0,C45*'Loads'!C291*10)</f>
        <v>0</v>
      </c>
      <c r="D90" s="38">
        <f>IF('Loads'!B54&lt;0,0,D45*'Loads'!D291*10)</f>
        <v>0</v>
      </c>
      <c r="E90" s="38">
        <f>E45*'Input'!F$58*'Loads'!E291/100</f>
        <v>0</v>
      </c>
      <c r="F90" s="38">
        <f>F45*'Input'!F$58*'Loads'!F291/100</f>
        <v>0</v>
      </c>
      <c r="G90" s="38">
        <f>IF('Loads'!B54&lt;0,0,G45*'Loads'!G291*10)</f>
        <v>0</v>
      </c>
      <c r="H90" s="17"/>
    </row>
    <row r="91" spans="1:8">
      <c r="A91" s="4" t="s">
        <v>214</v>
      </c>
      <c r="B91" s="38">
        <f>IF('Loads'!B55&lt;0,0,B46*'Loads'!B292*10)</f>
        <v>0</v>
      </c>
      <c r="C91" s="38">
        <f>IF('Loads'!B55&lt;0,0,C46*'Loads'!C292*10)</f>
        <v>0</v>
      </c>
      <c r="D91" s="38">
        <f>IF('Loads'!B55&lt;0,0,D46*'Loads'!D292*10)</f>
        <v>0</v>
      </c>
      <c r="E91" s="38">
        <f>E46*'Input'!F$58*'Loads'!E292/100</f>
        <v>0</v>
      </c>
      <c r="F91" s="38">
        <f>F46*'Input'!F$58*'Loads'!F292/100</f>
        <v>0</v>
      </c>
      <c r="G91" s="38">
        <f>IF('Loads'!B55&lt;0,0,G46*'Loads'!G292*10)</f>
        <v>0</v>
      </c>
      <c r="H91" s="17"/>
    </row>
    <row r="92" spans="1:8">
      <c r="A92" s="4" t="s">
        <v>215</v>
      </c>
      <c r="B92" s="38">
        <f>IF('Loads'!B56&lt;0,0,B47*'Loads'!B293*10)</f>
        <v>0</v>
      </c>
      <c r="C92" s="38">
        <f>IF('Loads'!B56&lt;0,0,C47*'Loads'!C293*10)</f>
        <v>0</v>
      </c>
      <c r="D92" s="38">
        <f>IF('Loads'!B56&lt;0,0,D47*'Loads'!D293*10)</f>
        <v>0</v>
      </c>
      <c r="E92" s="38">
        <f>E47*'Input'!F$58*'Loads'!E293/100</f>
        <v>0</v>
      </c>
      <c r="F92" s="38">
        <f>F47*'Input'!F$58*'Loads'!F293/100</f>
        <v>0</v>
      </c>
      <c r="G92" s="38">
        <f>IF('Loads'!B56&lt;0,0,G47*'Loads'!G293*10)</f>
        <v>0</v>
      </c>
      <c r="H92" s="17"/>
    </row>
    <row r="93" spans="1:8">
      <c r="A93" s="4" t="s">
        <v>216</v>
      </c>
      <c r="B93" s="38">
        <f>IF('Loads'!B57&lt;0,0,B48*'Loads'!B294*10)</f>
        <v>0</v>
      </c>
      <c r="C93" s="38">
        <f>IF('Loads'!B57&lt;0,0,C48*'Loads'!C294*10)</f>
        <v>0</v>
      </c>
      <c r="D93" s="38">
        <f>IF('Loads'!B57&lt;0,0,D48*'Loads'!D294*10)</f>
        <v>0</v>
      </c>
      <c r="E93" s="38">
        <f>E48*'Input'!F$58*'Loads'!E294/100</f>
        <v>0</v>
      </c>
      <c r="F93" s="38">
        <f>F48*'Input'!F$58*'Loads'!F294/100</f>
        <v>0</v>
      </c>
      <c r="G93" s="38">
        <f>IF('Loads'!B57&lt;0,0,G48*'Loads'!G294*10)</f>
        <v>0</v>
      </c>
      <c r="H93" s="17"/>
    </row>
    <row r="94" spans="1:8">
      <c r="A94" s="4" t="s">
        <v>217</v>
      </c>
      <c r="B94" s="38">
        <f>IF('Loads'!B58&lt;0,0,B49*'Loads'!B295*10)</f>
        <v>0</v>
      </c>
      <c r="C94" s="38">
        <f>IF('Loads'!B58&lt;0,0,C49*'Loads'!C295*10)</f>
        <v>0</v>
      </c>
      <c r="D94" s="38">
        <f>IF('Loads'!B58&lt;0,0,D49*'Loads'!D295*10)</f>
        <v>0</v>
      </c>
      <c r="E94" s="38">
        <f>E49*'Input'!F$58*'Loads'!E295/100</f>
        <v>0</v>
      </c>
      <c r="F94" s="38">
        <f>F49*'Input'!F$58*'Loads'!F295/100</f>
        <v>0</v>
      </c>
      <c r="G94" s="38">
        <f>IF('Loads'!B58&lt;0,0,G49*'Loads'!G295*10)</f>
        <v>0</v>
      </c>
      <c r="H94" s="17"/>
    </row>
    <row r="95" spans="1:8">
      <c r="A95" s="4" t="s">
        <v>182</v>
      </c>
      <c r="B95" s="38">
        <f>IF('Loads'!B59&lt;0,0,B50*'Loads'!B296*10)</f>
        <v>0</v>
      </c>
      <c r="C95" s="38">
        <f>IF('Loads'!B59&lt;0,0,C50*'Loads'!C296*10)</f>
        <v>0</v>
      </c>
      <c r="D95" s="38">
        <f>IF('Loads'!B59&lt;0,0,D50*'Loads'!D296*10)</f>
        <v>0</v>
      </c>
      <c r="E95" s="38">
        <f>E50*'Input'!F$58*'Loads'!E296/100</f>
        <v>0</v>
      </c>
      <c r="F95" s="38">
        <f>F50*'Input'!F$58*'Loads'!F296/100</f>
        <v>0</v>
      </c>
      <c r="G95" s="38">
        <f>IF('Loads'!B59&lt;0,0,G50*'Loads'!G296*10)</f>
        <v>0</v>
      </c>
      <c r="H95" s="17"/>
    </row>
    <row r="96" spans="1:8">
      <c r="A96" s="4" t="s">
        <v>183</v>
      </c>
      <c r="B96" s="38">
        <f>IF('Loads'!B60&lt;0,0,B51*'Loads'!B297*10)</f>
        <v>0</v>
      </c>
      <c r="C96" s="38">
        <f>IF('Loads'!B60&lt;0,0,C51*'Loads'!C297*10)</f>
        <v>0</v>
      </c>
      <c r="D96" s="38">
        <f>IF('Loads'!B60&lt;0,0,D51*'Loads'!D297*10)</f>
        <v>0</v>
      </c>
      <c r="E96" s="38">
        <f>E51*'Input'!F$58*'Loads'!E297/100</f>
        <v>0</v>
      </c>
      <c r="F96" s="38">
        <f>F51*'Input'!F$58*'Loads'!F297/100</f>
        <v>0</v>
      </c>
      <c r="G96" s="38">
        <f>IF('Loads'!B60&lt;0,0,G51*'Loads'!G297*10)</f>
        <v>0</v>
      </c>
      <c r="H96" s="17"/>
    </row>
    <row r="97" spans="1:8">
      <c r="A97" s="4" t="s">
        <v>184</v>
      </c>
      <c r="B97" s="38">
        <f>IF('Loads'!B61&lt;0,0,B52*'Loads'!B298*10)</f>
        <v>0</v>
      </c>
      <c r="C97" s="38">
        <f>IF('Loads'!B61&lt;0,0,C52*'Loads'!C298*10)</f>
        <v>0</v>
      </c>
      <c r="D97" s="38">
        <f>IF('Loads'!B61&lt;0,0,D52*'Loads'!D298*10)</f>
        <v>0</v>
      </c>
      <c r="E97" s="38">
        <f>E52*'Input'!F$58*'Loads'!E298/100</f>
        <v>0</v>
      </c>
      <c r="F97" s="38">
        <f>F52*'Input'!F$58*'Loads'!F298/100</f>
        <v>0</v>
      </c>
      <c r="G97" s="38">
        <f>IF('Loads'!B61&lt;0,0,G52*'Loads'!G298*10)</f>
        <v>0</v>
      </c>
      <c r="H97" s="17"/>
    </row>
    <row r="98" spans="1:8">
      <c r="A98" s="4" t="s">
        <v>185</v>
      </c>
      <c r="B98" s="38">
        <f>IF('Loads'!B62&lt;0,0,B53*'Loads'!B299*10)</f>
        <v>0</v>
      </c>
      <c r="C98" s="38">
        <f>IF('Loads'!B62&lt;0,0,C53*'Loads'!C299*10)</f>
        <v>0</v>
      </c>
      <c r="D98" s="38">
        <f>IF('Loads'!B62&lt;0,0,D53*'Loads'!D299*10)</f>
        <v>0</v>
      </c>
      <c r="E98" s="38">
        <f>E53*'Input'!F$58*'Loads'!E299/100</f>
        <v>0</v>
      </c>
      <c r="F98" s="38">
        <f>F53*'Input'!F$58*'Loads'!F299/100</f>
        <v>0</v>
      </c>
      <c r="G98" s="38">
        <f>IF('Loads'!B62&lt;0,0,G53*'Loads'!G299*10)</f>
        <v>0</v>
      </c>
      <c r="H98" s="17"/>
    </row>
    <row r="99" spans="1:8">
      <c r="A99" s="4" t="s">
        <v>186</v>
      </c>
      <c r="B99" s="38">
        <f>IF('Loads'!B63&lt;0,0,B54*'Loads'!B300*10)</f>
        <v>0</v>
      </c>
      <c r="C99" s="38">
        <f>IF('Loads'!B63&lt;0,0,C54*'Loads'!C300*10)</f>
        <v>0</v>
      </c>
      <c r="D99" s="38">
        <f>IF('Loads'!B63&lt;0,0,D54*'Loads'!D300*10)</f>
        <v>0</v>
      </c>
      <c r="E99" s="38">
        <f>E54*'Input'!F$58*'Loads'!E300/100</f>
        <v>0</v>
      </c>
      <c r="F99" s="38">
        <f>F54*'Input'!F$58*'Loads'!F300/100</f>
        <v>0</v>
      </c>
      <c r="G99" s="38">
        <f>IF('Loads'!B63&lt;0,0,G54*'Loads'!G300*10)</f>
        <v>0</v>
      </c>
      <c r="H99" s="17"/>
    </row>
    <row r="100" spans="1:8">
      <c r="A100" s="4" t="s">
        <v>187</v>
      </c>
      <c r="B100" s="38">
        <f>IF('Loads'!B64&lt;0,0,B55*'Loads'!B301*10)</f>
        <v>0</v>
      </c>
      <c r="C100" s="38">
        <f>IF('Loads'!B64&lt;0,0,C55*'Loads'!C301*10)</f>
        <v>0</v>
      </c>
      <c r="D100" s="38">
        <f>IF('Loads'!B64&lt;0,0,D55*'Loads'!D301*10)</f>
        <v>0</v>
      </c>
      <c r="E100" s="38">
        <f>E55*'Input'!F$58*'Loads'!E301/100</f>
        <v>0</v>
      </c>
      <c r="F100" s="38">
        <f>F55*'Input'!F$58*'Loads'!F301/100</f>
        <v>0</v>
      </c>
      <c r="G100" s="38">
        <f>IF('Loads'!B64&lt;0,0,G55*'Loads'!G301*10)</f>
        <v>0</v>
      </c>
      <c r="H100" s="17"/>
    </row>
    <row r="101" spans="1:8">
      <c r="A101" s="4" t="s">
        <v>194</v>
      </c>
      <c r="B101" s="38">
        <f>IF('Loads'!B65&lt;0,0,B56*'Loads'!B302*10)</f>
        <v>0</v>
      </c>
      <c r="C101" s="38">
        <f>IF('Loads'!B65&lt;0,0,C56*'Loads'!C302*10)</f>
        <v>0</v>
      </c>
      <c r="D101" s="38">
        <f>IF('Loads'!B65&lt;0,0,D56*'Loads'!D302*10)</f>
        <v>0</v>
      </c>
      <c r="E101" s="38">
        <f>E56*'Input'!F$58*'Loads'!E302/100</f>
        <v>0</v>
      </c>
      <c r="F101" s="38">
        <f>F56*'Input'!F$58*'Loads'!F302/100</f>
        <v>0</v>
      </c>
      <c r="G101" s="38">
        <f>IF('Loads'!B65&lt;0,0,G56*'Loads'!G302*10)</f>
        <v>0</v>
      </c>
      <c r="H101" s="17"/>
    </row>
    <row r="102" spans="1:8">
      <c r="A102" s="4" t="s">
        <v>195</v>
      </c>
      <c r="B102" s="38">
        <f>IF('Loads'!B66&lt;0,0,B57*'Loads'!B303*10)</f>
        <v>0</v>
      </c>
      <c r="C102" s="38">
        <f>IF('Loads'!B66&lt;0,0,C57*'Loads'!C303*10)</f>
        <v>0</v>
      </c>
      <c r="D102" s="38">
        <f>IF('Loads'!B66&lt;0,0,D57*'Loads'!D303*10)</f>
        <v>0</v>
      </c>
      <c r="E102" s="38">
        <f>E57*'Input'!F$58*'Loads'!E303/100</f>
        <v>0</v>
      </c>
      <c r="F102" s="38">
        <f>F57*'Input'!F$58*'Loads'!F303/100</f>
        <v>0</v>
      </c>
      <c r="G102" s="38">
        <f>IF('Loads'!B66&lt;0,0,G57*'Loads'!G303*10)</f>
        <v>0</v>
      </c>
      <c r="H102" s="17"/>
    </row>
    <row r="104" spans="1:8" ht="21" customHeight="1">
      <c r="A104" s="1" t="s">
        <v>1182</v>
      </c>
    </row>
    <row r="105" spans="1:8">
      <c r="A105" s="2" t="s">
        <v>351</v>
      </c>
    </row>
    <row r="106" spans="1:8">
      <c r="A106" s="33" t="s">
        <v>1183</v>
      </c>
    </row>
    <row r="107" spans="1:8">
      <c r="A107" s="33" t="s">
        <v>1184</v>
      </c>
    </row>
    <row r="108" spans="1:8">
      <c r="A108" s="33" t="s">
        <v>1185</v>
      </c>
    </row>
    <row r="109" spans="1:8">
      <c r="A109" s="33" t="s">
        <v>1186</v>
      </c>
    </row>
    <row r="110" spans="1:8">
      <c r="A110" s="33" t="s">
        <v>1187</v>
      </c>
    </row>
    <row r="111" spans="1:8">
      <c r="A111" s="33" t="s">
        <v>1188</v>
      </c>
    </row>
    <row r="112" spans="1:8">
      <c r="A112" s="33" t="s">
        <v>1189</v>
      </c>
    </row>
    <row r="113" spans="1:8">
      <c r="A113" s="33" t="s">
        <v>1190</v>
      </c>
    </row>
    <row r="114" spans="1:8">
      <c r="A114" s="33" t="s">
        <v>1191</v>
      </c>
    </row>
    <row r="115" spans="1:8">
      <c r="A115" s="33" t="s">
        <v>1192</v>
      </c>
    </row>
    <row r="116" spans="1:8">
      <c r="A116" s="33" t="s">
        <v>1193</v>
      </c>
    </row>
    <row r="117" spans="1:8">
      <c r="A117" s="33" t="s">
        <v>1111</v>
      </c>
    </row>
    <row r="118" spans="1:8">
      <c r="A118" s="34" t="s">
        <v>354</v>
      </c>
      <c r="B118" s="34" t="s">
        <v>484</v>
      </c>
      <c r="C118" s="34" t="s">
        <v>484</v>
      </c>
      <c r="D118" s="34" t="s">
        <v>484</v>
      </c>
      <c r="E118" s="34" t="s">
        <v>484</v>
      </c>
      <c r="F118" s="34" t="s">
        <v>484</v>
      </c>
      <c r="G118" s="34" t="s">
        <v>484</v>
      </c>
    </row>
    <row r="119" spans="1:8">
      <c r="A119" s="34" t="s">
        <v>357</v>
      </c>
      <c r="B119" s="34" t="s">
        <v>1194</v>
      </c>
      <c r="C119" s="34" t="s">
        <v>1195</v>
      </c>
      <c r="D119" s="34" t="s">
        <v>1196</v>
      </c>
      <c r="E119" s="34" t="s">
        <v>1197</v>
      </c>
      <c r="F119" s="34" t="s">
        <v>1198</v>
      </c>
      <c r="G119" s="34" t="s">
        <v>1199</v>
      </c>
    </row>
    <row r="121" spans="1:8">
      <c r="B121" s="15" t="s">
        <v>1200</v>
      </c>
      <c r="C121" s="15" t="s">
        <v>1201</v>
      </c>
      <c r="D121" s="15" t="s">
        <v>1202</v>
      </c>
      <c r="E121" s="15" t="s">
        <v>1203</v>
      </c>
      <c r="F121" s="15" t="s">
        <v>1204</v>
      </c>
      <c r="G121" s="15" t="s">
        <v>1205</v>
      </c>
    </row>
    <row r="122" spans="1:8">
      <c r="A122" s="4" t="s">
        <v>174</v>
      </c>
      <c r="B122" s="38">
        <f>IF(B34,0-'Aggreg'!B220/B34,0)</f>
        <v>0</v>
      </c>
      <c r="C122" s="10"/>
      <c r="D122" s="10"/>
      <c r="E122" s="38">
        <f>IF(E34,0-'Aggreg'!E220/E34,0)</f>
        <v>0</v>
      </c>
      <c r="F122" s="10"/>
      <c r="G122" s="10"/>
      <c r="H122" s="17"/>
    </row>
    <row r="123" spans="1:8">
      <c r="A123" s="4" t="s">
        <v>175</v>
      </c>
      <c r="B123" s="38">
        <f>IF(B35,0-'Aggreg'!B221/B35,0)</f>
        <v>0</v>
      </c>
      <c r="C123" s="38">
        <f>IF(C35,0-'Aggreg'!C221/C35,0)</f>
        <v>0</v>
      </c>
      <c r="D123" s="10"/>
      <c r="E123" s="38">
        <f>IF(E35,0-'Aggreg'!E221/E35,0)</f>
        <v>0</v>
      </c>
      <c r="F123" s="10"/>
      <c r="G123" s="10"/>
      <c r="H123" s="17"/>
    </row>
    <row r="124" spans="1:8">
      <c r="A124" s="4" t="s">
        <v>211</v>
      </c>
      <c r="B124" s="38">
        <f>IF(B36,0-'Aggreg'!B222/B36,0)</f>
        <v>0</v>
      </c>
      <c r="C124" s="10"/>
      <c r="D124" s="10"/>
      <c r="E124" s="10"/>
      <c r="F124" s="10"/>
      <c r="G124" s="10"/>
      <c r="H124" s="17"/>
    </row>
    <row r="125" spans="1:8">
      <c r="A125" s="4" t="s">
        <v>176</v>
      </c>
      <c r="B125" s="38">
        <f>IF(B37,0-'Aggreg'!B223/B37,0)</f>
        <v>0</v>
      </c>
      <c r="C125" s="10"/>
      <c r="D125" s="10"/>
      <c r="E125" s="38">
        <f>IF(E37,0-'Aggreg'!E223/E37,0)</f>
        <v>0</v>
      </c>
      <c r="F125" s="10"/>
      <c r="G125" s="10"/>
      <c r="H125" s="17"/>
    </row>
    <row r="126" spans="1:8">
      <c r="A126" s="4" t="s">
        <v>177</v>
      </c>
      <c r="B126" s="38">
        <f>IF(B38,0-'Aggreg'!B224/B38,0)</f>
        <v>0</v>
      </c>
      <c r="C126" s="38">
        <f>IF(C38,0-'Aggreg'!C224/C38,0)</f>
        <v>0</v>
      </c>
      <c r="D126" s="10"/>
      <c r="E126" s="38">
        <f>IF(E38,0-'Aggreg'!E224/E38,0)</f>
        <v>0</v>
      </c>
      <c r="F126" s="10"/>
      <c r="G126" s="10"/>
      <c r="H126" s="17"/>
    </row>
    <row r="127" spans="1:8">
      <c r="A127" s="4" t="s">
        <v>212</v>
      </c>
      <c r="B127" s="38">
        <f>IF(B39,0-'Aggreg'!B225/B39,0)</f>
        <v>0</v>
      </c>
      <c r="C127" s="10"/>
      <c r="D127" s="10"/>
      <c r="E127" s="10"/>
      <c r="F127" s="10"/>
      <c r="G127" s="10"/>
      <c r="H127" s="17"/>
    </row>
    <row r="128" spans="1:8">
      <c r="A128" s="4" t="s">
        <v>178</v>
      </c>
      <c r="B128" s="38">
        <f>IF(B40,0-'Aggreg'!B226/B40,0)</f>
        <v>0</v>
      </c>
      <c r="C128" s="38">
        <f>IF(C40,0-'Aggreg'!C226/C40,0)</f>
        <v>0</v>
      </c>
      <c r="D128" s="38">
        <f>IF(D40,0-'Aggreg'!D226/D40,0)</f>
        <v>0</v>
      </c>
      <c r="E128" s="38">
        <f>IF(E40,0-'Aggreg'!E226/E40,0)</f>
        <v>0</v>
      </c>
      <c r="F128" s="10"/>
      <c r="G128" s="10"/>
      <c r="H128" s="17"/>
    </row>
    <row r="129" spans="1:8">
      <c r="A129" s="4" t="s">
        <v>179</v>
      </c>
      <c r="B129" s="38">
        <f>IF(B41,0-'Aggreg'!B227/B41,0)</f>
        <v>0</v>
      </c>
      <c r="C129" s="38">
        <f>IF(C41,0-'Aggreg'!C227/C41,0)</f>
        <v>0</v>
      </c>
      <c r="D129" s="38">
        <f>IF(D41,0-'Aggreg'!D227/D41,0)</f>
        <v>0</v>
      </c>
      <c r="E129" s="38">
        <f>IF(E41,0-'Aggreg'!E227/E41,0)</f>
        <v>0</v>
      </c>
      <c r="F129" s="10"/>
      <c r="G129" s="10"/>
      <c r="H129" s="17"/>
    </row>
    <row r="130" spans="1:8">
      <c r="A130" s="4" t="s">
        <v>180</v>
      </c>
      <c r="B130" s="38">
        <f>IF(B42,0-'Aggreg'!B228/B42,0)</f>
        <v>0</v>
      </c>
      <c r="C130" s="38">
        <f>IF(C42,0-'Aggreg'!C228/C42,0)</f>
        <v>0</v>
      </c>
      <c r="D130" s="38">
        <f>IF(D42,0-'Aggreg'!D228/D42,0)</f>
        <v>0</v>
      </c>
      <c r="E130" s="38">
        <f>IF(E42,0-'Aggreg'!E228/E42,0)</f>
        <v>0</v>
      </c>
      <c r="F130" s="38">
        <f>IF(F42,0-'Aggreg'!F228/F42,0)</f>
        <v>0</v>
      </c>
      <c r="G130" s="38">
        <f>IF(G42,0-'Aggreg'!G228/G42,0)</f>
        <v>0</v>
      </c>
      <c r="H130" s="17"/>
    </row>
    <row r="131" spans="1:8">
      <c r="A131" s="4" t="s">
        <v>181</v>
      </c>
      <c r="B131" s="38">
        <f>IF(B43,0-'Aggreg'!B229/B43,0)</f>
        <v>0</v>
      </c>
      <c r="C131" s="38">
        <f>IF(C43,0-'Aggreg'!C229/C43,0)</f>
        <v>0</v>
      </c>
      <c r="D131" s="38">
        <f>IF(D43,0-'Aggreg'!D229/D43,0)</f>
        <v>0</v>
      </c>
      <c r="E131" s="38">
        <f>IF(E43,0-'Aggreg'!E229/E43,0)</f>
        <v>0</v>
      </c>
      <c r="F131" s="38">
        <f>IF(F43,0-'Aggreg'!F229/F43,0)</f>
        <v>0</v>
      </c>
      <c r="G131" s="38">
        <f>IF(G43,0-'Aggreg'!G229/G43,0)</f>
        <v>0</v>
      </c>
      <c r="H131" s="17"/>
    </row>
    <row r="132" spans="1:8">
      <c r="A132" s="4" t="s">
        <v>193</v>
      </c>
      <c r="B132" s="38">
        <f>IF(B44,0-'Aggreg'!B230/B44,0)</f>
        <v>0</v>
      </c>
      <c r="C132" s="38">
        <f>IF(C44,0-'Aggreg'!C230/C44,0)</f>
        <v>0</v>
      </c>
      <c r="D132" s="38">
        <f>IF(D44,0-'Aggreg'!D230/D44,0)</f>
        <v>0</v>
      </c>
      <c r="E132" s="38">
        <f>IF(E44,0-'Aggreg'!E230/E44,0)</f>
        <v>0</v>
      </c>
      <c r="F132" s="38">
        <f>IF(F44,0-'Aggreg'!F230/F44,0)</f>
        <v>0</v>
      </c>
      <c r="G132" s="38">
        <f>IF(G44,0-'Aggreg'!G230/G44,0)</f>
        <v>0</v>
      </c>
      <c r="H132" s="17"/>
    </row>
    <row r="133" spans="1:8">
      <c r="A133" s="4" t="s">
        <v>213</v>
      </c>
      <c r="B133" s="38">
        <f>IF(B45,0-'Aggreg'!B231/B45,0)</f>
        <v>0</v>
      </c>
      <c r="C133" s="10"/>
      <c r="D133" s="10"/>
      <c r="E133" s="10"/>
      <c r="F133" s="10"/>
      <c r="G133" s="10"/>
      <c r="H133" s="17"/>
    </row>
    <row r="134" spans="1:8">
      <c r="A134" s="4" t="s">
        <v>214</v>
      </c>
      <c r="B134" s="38">
        <f>IF(B46,0-'Aggreg'!B232/B46,0)</f>
        <v>0</v>
      </c>
      <c r="C134" s="10"/>
      <c r="D134" s="10"/>
      <c r="E134" s="10"/>
      <c r="F134" s="10"/>
      <c r="G134" s="10"/>
      <c r="H134" s="17"/>
    </row>
    <row r="135" spans="1:8">
      <c r="A135" s="4" t="s">
        <v>215</v>
      </c>
      <c r="B135" s="38">
        <f>IF(B47,0-'Aggreg'!B233/B47,0)</f>
        <v>0</v>
      </c>
      <c r="C135" s="10"/>
      <c r="D135" s="10"/>
      <c r="E135" s="10"/>
      <c r="F135" s="10"/>
      <c r="G135" s="10"/>
      <c r="H135" s="17"/>
    </row>
    <row r="136" spans="1:8">
      <c r="A136" s="4" t="s">
        <v>216</v>
      </c>
      <c r="B136" s="38">
        <f>IF(B48,0-'Aggreg'!B234/B48,0)</f>
        <v>0</v>
      </c>
      <c r="C136" s="10"/>
      <c r="D136" s="10"/>
      <c r="E136" s="10"/>
      <c r="F136" s="10"/>
      <c r="G136" s="10"/>
      <c r="H136" s="17"/>
    </row>
    <row r="137" spans="1:8">
      <c r="A137" s="4" t="s">
        <v>217</v>
      </c>
      <c r="B137" s="38">
        <f>IF(B49,0-'Aggreg'!B235/B49,0)</f>
        <v>0</v>
      </c>
      <c r="C137" s="38">
        <f>IF(C49,0-'Aggreg'!C235/C49,0)</f>
        <v>0</v>
      </c>
      <c r="D137" s="38">
        <f>IF(D49,0-'Aggreg'!D235/D49,0)</f>
        <v>0</v>
      </c>
      <c r="E137" s="10"/>
      <c r="F137" s="10"/>
      <c r="G137" s="10"/>
      <c r="H137" s="17"/>
    </row>
    <row r="138" spans="1:8">
      <c r="A138" s="4" t="s">
        <v>182</v>
      </c>
      <c r="B138" s="38">
        <f>IF(B50,0-'Aggreg'!B236/B50,0)</f>
        <v>0</v>
      </c>
      <c r="C138" s="10"/>
      <c r="D138" s="10"/>
      <c r="E138" s="38">
        <f>IF(E50,0-'Aggreg'!E236/E50,0)</f>
        <v>0</v>
      </c>
      <c r="F138" s="10"/>
      <c r="G138" s="10"/>
      <c r="H138" s="17"/>
    </row>
    <row r="139" spans="1:8">
      <c r="A139" s="4" t="s">
        <v>183</v>
      </c>
      <c r="B139" s="38">
        <f>IF(B51,0-'Aggreg'!B237/B51,0)</f>
        <v>0</v>
      </c>
      <c r="C139" s="10"/>
      <c r="D139" s="10"/>
      <c r="E139" s="38">
        <f>IF(E51,0-'Aggreg'!E237/E51,0)</f>
        <v>0</v>
      </c>
      <c r="F139" s="10"/>
      <c r="G139" s="10"/>
      <c r="H139" s="17"/>
    </row>
    <row r="140" spans="1:8">
      <c r="A140" s="4" t="s">
        <v>184</v>
      </c>
      <c r="B140" s="38">
        <f>IF(B52,0-'Aggreg'!B238/B52,0)</f>
        <v>0</v>
      </c>
      <c r="C140" s="10"/>
      <c r="D140" s="10"/>
      <c r="E140" s="38">
        <f>IF(E52,0-'Aggreg'!E238/E52,0)</f>
        <v>0</v>
      </c>
      <c r="F140" s="10"/>
      <c r="G140" s="38">
        <f>IF(G52,0-'Aggreg'!G238/G52,0)</f>
        <v>0</v>
      </c>
      <c r="H140" s="17"/>
    </row>
    <row r="141" spans="1:8">
      <c r="A141" s="4" t="s">
        <v>185</v>
      </c>
      <c r="B141" s="38">
        <f>IF(B53,0-'Aggreg'!B239/B53,0)</f>
        <v>0</v>
      </c>
      <c r="C141" s="38">
        <f>IF(C53,0-'Aggreg'!C239/C53,0)</f>
        <v>0</v>
      </c>
      <c r="D141" s="38">
        <f>IF(D53,0-'Aggreg'!D239/D53,0)</f>
        <v>0</v>
      </c>
      <c r="E141" s="38">
        <f>IF(E53,0-'Aggreg'!E239/E53,0)</f>
        <v>0</v>
      </c>
      <c r="F141" s="10"/>
      <c r="G141" s="38">
        <f>IF(G53,0-'Aggreg'!G239/G53,0)</f>
        <v>0</v>
      </c>
      <c r="H141" s="17"/>
    </row>
    <row r="142" spans="1:8">
      <c r="A142" s="4" t="s">
        <v>186</v>
      </c>
      <c r="B142" s="38">
        <f>IF(B54,0-'Aggreg'!B240/B54,0)</f>
        <v>0</v>
      </c>
      <c r="C142" s="10"/>
      <c r="D142" s="10"/>
      <c r="E142" s="38">
        <f>IF(E54,0-'Aggreg'!E240/E54,0)</f>
        <v>0</v>
      </c>
      <c r="F142" s="10"/>
      <c r="G142" s="38">
        <f>IF(G54,0-'Aggreg'!G240/G54,0)</f>
        <v>0</v>
      </c>
      <c r="H142" s="17"/>
    </row>
    <row r="143" spans="1:8">
      <c r="A143" s="4" t="s">
        <v>187</v>
      </c>
      <c r="B143" s="38">
        <f>IF(B55,0-'Aggreg'!B241/B55,0)</f>
        <v>0</v>
      </c>
      <c r="C143" s="38">
        <f>IF(C55,0-'Aggreg'!C241/C55,0)</f>
        <v>0</v>
      </c>
      <c r="D143" s="38">
        <f>IF(D55,0-'Aggreg'!D241/D55,0)</f>
        <v>0</v>
      </c>
      <c r="E143" s="38">
        <f>IF(E55,0-'Aggreg'!E241/E55,0)</f>
        <v>0</v>
      </c>
      <c r="F143" s="10"/>
      <c r="G143" s="38">
        <f>IF(G55,0-'Aggreg'!G241/G55,0)</f>
        <v>0</v>
      </c>
      <c r="H143" s="17"/>
    </row>
    <row r="144" spans="1:8">
      <c r="A144" s="4" t="s">
        <v>194</v>
      </c>
      <c r="B144" s="38">
        <f>IF(B56,0-'Aggreg'!B242/B56,0)</f>
        <v>0</v>
      </c>
      <c r="C144" s="10"/>
      <c r="D144" s="10"/>
      <c r="E144" s="38">
        <f>IF(E56,0-'Aggreg'!E242/E56,0)</f>
        <v>0</v>
      </c>
      <c r="F144" s="10"/>
      <c r="G144" s="38">
        <f>IF(G56,0-'Aggreg'!G242/G56,0)</f>
        <v>0</v>
      </c>
      <c r="H144" s="17"/>
    </row>
    <row r="145" spans="1:8">
      <c r="A145" s="4" t="s">
        <v>195</v>
      </c>
      <c r="B145" s="38">
        <f>IF(B57,0-'Aggreg'!B243/B57,0)</f>
        <v>0</v>
      </c>
      <c r="C145" s="38">
        <f>IF(C57,0-'Aggreg'!C243/C57,0)</f>
        <v>0</v>
      </c>
      <c r="D145" s="38">
        <f>IF(D57,0-'Aggreg'!D243/D57,0)</f>
        <v>0</v>
      </c>
      <c r="E145" s="38">
        <f>IF(E57,0-'Aggreg'!E243/E57,0)</f>
        <v>0</v>
      </c>
      <c r="F145" s="10"/>
      <c r="G145" s="38">
        <f>IF(G57,0-'Aggreg'!G243/G57,0)</f>
        <v>0</v>
      </c>
      <c r="H145" s="17"/>
    </row>
    <row r="147" spans="1:8" ht="21" customHeight="1">
      <c r="A147" s="1" t="s">
        <v>1206</v>
      </c>
    </row>
    <row r="148" spans="1:8">
      <c r="A148" s="2" t="s">
        <v>351</v>
      </c>
    </row>
    <row r="149" spans="1:8">
      <c r="A149" s="33" t="s">
        <v>1207</v>
      </c>
    </row>
    <row r="150" spans="1:8">
      <c r="A150" s="33" t="s">
        <v>1208</v>
      </c>
    </row>
    <row r="151" spans="1:8">
      <c r="A151" s="33" t="s">
        <v>1209</v>
      </c>
    </row>
    <row r="152" spans="1:8">
      <c r="A152" s="33" t="s">
        <v>1210</v>
      </c>
    </row>
    <row r="153" spans="1:8">
      <c r="A153" s="33" t="s">
        <v>1211</v>
      </c>
    </row>
    <row r="154" spans="1:8">
      <c r="A154" s="33" t="s">
        <v>1212</v>
      </c>
    </row>
    <row r="155" spans="1:8">
      <c r="A155" s="33" t="s">
        <v>1213</v>
      </c>
    </row>
    <row r="156" spans="1:8">
      <c r="A156" s="2" t="s">
        <v>1214</v>
      </c>
    </row>
    <row r="158" spans="1:8">
      <c r="B158" s="15" t="s">
        <v>1215</v>
      </c>
    </row>
    <row r="159" spans="1:8">
      <c r="A159" s="4" t="s">
        <v>1215</v>
      </c>
      <c r="B159" s="38">
        <f>'Revenue'!C66/SUM($B$79:$B$102,$C$79:$C$102,$D$79:$D$102,$E$79:$E$102,$F$79:$F$102,$G$79:$G$102)</f>
        <v>0</v>
      </c>
      <c r="C159" s="17"/>
    </row>
    <row r="161" spans="1:3" ht="21" customHeight="1">
      <c r="A161" s="1" t="s">
        <v>1216</v>
      </c>
    </row>
    <row r="162" spans="1:3">
      <c r="A162" s="2" t="s">
        <v>351</v>
      </c>
    </row>
    <row r="163" spans="1:3">
      <c r="A163" s="33" t="s">
        <v>1217</v>
      </c>
    </row>
    <row r="164" spans="1:3">
      <c r="A164" s="33" t="s">
        <v>1218</v>
      </c>
    </row>
    <row r="165" spans="1:3">
      <c r="A165" s="33" t="s">
        <v>1219</v>
      </c>
    </row>
    <row r="166" spans="1:3">
      <c r="A166" s="33" t="s">
        <v>1220</v>
      </c>
    </row>
    <row r="167" spans="1:3">
      <c r="A167" s="33" t="s">
        <v>1221</v>
      </c>
    </row>
    <row r="168" spans="1:3">
      <c r="A168" s="33" t="s">
        <v>1222</v>
      </c>
    </row>
    <row r="169" spans="1:3">
      <c r="A169" s="33" t="s">
        <v>1223</v>
      </c>
    </row>
    <row r="170" spans="1:3">
      <c r="A170" s="2" t="s">
        <v>1224</v>
      </c>
    </row>
    <row r="172" spans="1:3">
      <c r="B172" s="15" t="s">
        <v>1225</v>
      </c>
    </row>
    <row r="173" spans="1:3">
      <c r="A173" s="4" t="s">
        <v>1225</v>
      </c>
      <c r="B173" s="38">
        <f>MIN(B159,$B$122:$B$145,$C$122:$C$145,$D$122:$D$145,$E$122:$E$145,$F$122:$F$145,$G$122:$G$145)</f>
        <v>0</v>
      </c>
      <c r="C173" s="17"/>
    </row>
    <row r="175" spans="1:3" ht="21" customHeight="1">
      <c r="A175" s="1" t="s">
        <v>1226</v>
      </c>
    </row>
    <row r="176" spans="1:3">
      <c r="A176" s="2" t="s">
        <v>351</v>
      </c>
    </row>
    <row r="177" spans="1:1">
      <c r="A177" s="33" t="s">
        <v>1227</v>
      </c>
    </row>
    <row r="178" spans="1:1">
      <c r="A178" s="33" t="s">
        <v>1208</v>
      </c>
    </row>
    <row r="179" spans="1:1">
      <c r="A179" s="33" t="s">
        <v>1209</v>
      </c>
    </row>
    <row r="180" spans="1:1">
      <c r="A180" s="33" t="s">
        <v>1210</v>
      </c>
    </row>
    <row r="181" spans="1:1">
      <c r="A181" s="33" t="s">
        <v>1211</v>
      </c>
    </row>
    <row r="182" spans="1:1">
      <c r="A182" s="33" t="s">
        <v>1212</v>
      </c>
    </row>
    <row r="183" spans="1:1">
      <c r="A183" s="33" t="s">
        <v>1213</v>
      </c>
    </row>
    <row r="184" spans="1:1">
      <c r="A184" s="33" t="s">
        <v>1228</v>
      </c>
    </row>
    <row r="185" spans="1:1">
      <c r="A185" s="33" t="s">
        <v>1229</v>
      </c>
    </row>
    <row r="186" spans="1:1">
      <c r="A186" s="33" t="s">
        <v>1230</v>
      </c>
    </row>
    <row r="187" spans="1:1">
      <c r="A187" s="33" t="s">
        <v>1231</v>
      </c>
    </row>
    <row r="188" spans="1:1">
      <c r="A188" s="33" t="s">
        <v>1232</v>
      </c>
    </row>
    <row r="189" spans="1:1">
      <c r="A189" s="33" t="s">
        <v>1233</v>
      </c>
    </row>
    <row r="190" spans="1:1">
      <c r="A190" s="33" t="s">
        <v>1234</v>
      </c>
    </row>
    <row r="191" spans="1:1">
      <c r="A191" s="33" t="s">
        <v>1235</v>
      </c>
    </row>
    <row r="192" spans="1:1">
      <c r="A192" s="33" t="s">
        <v>1236</v>
      </c>
    </row>
    <row r="193" spans="1:15">
      <c r="A193" s="33" t="s">
        <v>1237</v>
      </c>
    </row>
    <row r="194" spans="1:15">
      <c r="A194" s="33" t="s">
        <v>1238</v>
      </c>
    </row>
    <row r="195" spans="1:15">
      <c r="A195" s="33" t="s">
        <v>1239</v>
      </c>
    </row>
    <row r="196" spans="1:15">
      <c r="A196" s="33" t="s">
        <v>1240</v>
      </c>
    </row>
    <row r="197" spans="1:15">
      <c r="A197" s="33" t="s">
        <v>1241</v>
      </c>
    </row>
    <row r="198" spans="1:15">
      <c r="A198" s="34" t="s">
        <v>354</v>
      </c>
      <c r="B198" s="34" t="s">
        <v>422</v>
      </c>
      <c r="C198" s="34" t="s">
        <v>422</v>
      </c>
      <c r="D198" s="34" t="s">
        <v>422</v>
      </c>
      <c r="E198" s="34" t="s">
        <v>422</v>
      </c>
      <c r="F198" s="34" t="s">
        <v>422</v>
      </c>
      <c r="G198" s="34" t="s">
        <v>355</v>
      </c>
      <c r="H198" s="34" t="s">
        <v>484</v>
      </c>
      <c r="I198" s="34" t="s">
        <v>422</v>
      </c>
      <c r="J198" s="34" t="s">
        <v>422</v>
      </c>
      <c r="K198" s="34" t="s">
        <v>422</v>
      </c>
      <c r="L198" s="34" t="s">
        <v>422</v>
      </c>
      <c r="M198" s="34" t="s">
        <v>422</v>
      </c>
      <c r="N198" s="34" t="s">
        <v>422</v>
      </c>
    </row>
    <row r="199" spans="1:15">
      <c r="A199" s="34" t="s">
        <v>357</v>
      </c>
      <c r="B199" s="34" t="s">
        <v>415</v>
      </c>
      <c r="C199" s="34" t="s">
        <v>422</v>
      </c>
      <c r="D199" s="34" t="s">
        <v>1242</v>
      </c>
      <c r="E199" s="34" t="s">
        <v>1243</v>
      </c>
      <c r="F199" s="34" t="s">
        <v>1244</v>
      </c>
      <c r="G199" s="34" t="s">
        <v>358</v>
      </c>
      <c r="H199" s="34" t="s">
        <v>1245</v>
      </c>
      <c r="I199" s="34" t="s">
        <v>1246</v>
      </c>
      <c r="J199" s="34" t="s">
        <v>1247</v>
      </c>
      <c r="K199" s="34" t="s">
        <v>1248</v>
      </c>
      <c r="L199" s="34" t="s">
        <v>422</v>
      </c>
      <c r="M199" s="34" t="s">
        <v>422</v>
      </c>
      <c r="N199" s="34" t="s">
        <v>422</v>
      </c>
    </row>
    <row r="201" spans="1:15">
      <c r="B201" s="15" t="s">
        <v>1249</v>
      </c>
      <c r="C201" s="15" t="s">
        <v>1250</v>
      </c>
      <c r="D201" s="15" t="s">
        <v>1251</v>
      </c>
      <c r="E201" s="15" t="s">
        <v>1252</v>
      </c>
      <c r="F201" s="15" t="s">
        <v>1253</v>
      </c>
      <c r="G201" s="15" t="s">
        <v>1254</v>
      </c>
      <c r="H201" s="15" t="s">
        <v>1255</v>
      </c>
      <c r="I201" s="15" t="s">
        <v>1256</v>
      </c>
      <c r="J201" s="15" t="s">
        <v>1257</v>
      </c>
      <c r="K201" s="15" t="s">
        <v>1258</v>
      </c>
      <c r="L201" s="15" t="s">
        <v>1259</v>
      </c>
      <c r="M201" s="15" t="s">
        <v>12</v>
      </c>
      <c r="N201" s="15" t="s">
        <v>1260</v>
      </c>
    </row>
    <row r="202" spans="1:15">
      <c r="A202" s="4" t="s">
        <v>1225</v>
      </c>
      <c r="B202" s="38">
        <f>B173</f>
        <v>0</v>
      </c>
      <c r="C202" s="10"/>
      <c r="D202" s="10"/>
      <c r="E202" s="10"/>
      <c r="F202" s="10"/>
      <c r="G202" s="37">
        <v>0</v>
      </c>
      <c r="H202" s="21">
        <f>F202*144+G202</f>
        <v>0</v>
      </c>
      <c r="I202" s="10"/>
      <c r="J202" s="10"/>
      <c r="K202" s="38">
        <f>B202</f>
        <v>0</v>
      </c>
      <c r="L202" s="38">
        <f>SUM(D$202:D$345)</f>
        <v>0</v>
      </c>
      <c r="M202" s="38">
        <f>SUM($E$202:$E$345)-'Revenue'!$C$66</f>
        <v>0</v>
      </c>
      <c r="N202" s="38">
        <f>IF(M$202&gt;0,K202,IF(M$346&gt;0,"",$B$159))</f>
        <v>0</v>
      </c>
      <c r="O202" s="17"/>
    </row>
    <row r="203" spans="1:15">
      <c r="A203" s="4" t="s">
        <v>1261</v>
      </c>
      <c r="B203" s="38">
        <f>B122</f>
        <v>0</v>
      </c>
      <c r="C203" s="38">
        <f>B79</f>
        <v>0</v>
      </c>
      <c r="D203" s="38">
        <f>IF(ISERROR(B203),C203,0)</f>
        <v>0</v>
      </c>
      <c r="E203" s="38">
        <f>MAX($B$173,B203)*C203</f>
        <v>0</v>
      </c>
      <c r="F203" s="21">
        <f>RANK(B203,B$203:B$346,1)</f>
        <v>0</v>
      </c>
      <c r="G203" s="37">
        <v>1</v>
      </c>
      <c r="H203" s="21">
        <f>F203*144+G203</f>
        <v>0</v>
      </c>
      <c r="I203" s="21">
        <f>RANK(H203,H$203:H$346,1)</f>
        <v>0</v>
      </c>
      <c r="J203" s="21">
        <f>MATCH(G203,I$203:I$346,0)</f>
        <v>0</v>
      </c>
      <c r="K203" s="38">
        <f>INDEX(B$203:B$346,J203,1)</f>
        <v>0</v>
      </c>
      <c r="L203" s="38">
        <f>L202+INDEX(C$203:C$346,J203,1)</f>
        <v>0</v>
      </c>
      <c r="M203" s="38">
        <f>M202+(K203-K202)*L202</f>
        <v>0</v>
      </c>
      <c r="N203" s="38">
        <f>IF((M202&gt;0)=(M203&gt;0),"",K203-M203/L202)</f>
        <v>0</v>
      </c>
      <c r="O203" s="17"/>
    </row>
    <row r="204" spans="1:15">
      <c r="A204" s="4" t="s">
        <v>1262</v>
      </c>
      <c r="B204" s="38">
        <f>B123</f>
        <v>0</v>
      </c>
      <c r="C204" s="38">
        <f>B80</f>
        <v>0</v>
      </c>
      <c r="D204" s="38">
        <f>IF(ISERROR(B204),C204,0)</f>
        <v>0</v>
      </c>
      <c r="E204" s="38">
        <f>MAX($B$173,B204)*C204</f>
        <v>0</v>
      </c>
      <c r="F204" s="21">
        <f>RANK(B204,B$203:B$346,1)</f>
        <v>0</v>
      </c>
      <c r="G204" s="37">
        <v>2</v>
      </c>
      <c r="H204" s="21">
        <f>F204*144+G204</f>
        <v>0</v>
      </c>
      <c r="I204" s="21">
        <f>RANK(H204,H$203:H$346,1)</f>
        <v>0</v>
      </c>
      <c r="J204" s="21">
        <f>MATCH(G204,I$203:I$346,0)</f>
        <v>0</v>
      </c>
      <c r="K204" s="38">
        <f>INDEX(B$203:B$346,J204,1)</f>
        <v>0</v>
      </c>
      <c r="L204" s="38">
        <f>L203+INDEX(C$203:C$346,J204,1)</f>
        <v>0</v>
      </c>
      <c r="M204" s="38">
        <f>M203+(K204-K203)*L203</f>
        <v>0</v>
      </c>
      <c r="N204" s="38">
        <f>IF((M203&gt;0)=(M204&gt;0),"",K204-M204/L203)</f>
        <v>0</v>
      </c>
      <c r="O204" s="17"/>
    </row>
    <row r="205" spans="1:15">
      <c r="A205" s="4" t="s">
        <v>1263</v>
      </c>
      <c r="B205" s="38">
        <f>B124</f>
        <v>0</v>
      </c>
      <c r="C205" s="38">
        <f>B81</f>
        <v>0</v>
      </c>
      <c r="D205" s="38">
        <f>IF(ISERROR(B205),C205,0)</f>
        <v>0</v>
      </c>
      <c r="E205" s="38">
        <f>MAX($B$173,B205)*C205</f>
        <v>0</v>
      </c>
      <c r="F205" s="21">
        <f>RANK(B205,B$203:B$346,1)</f>
        <v>0</v>
      </c>
      <c r="G205" s="37">
        <v>3</v>
      </c>
      <c r="H205" s="21">
        <f>F205*144+G205</f>
        <v>0</v>
      </c>
      <c r="I205" s="21">
        <f>RANK(H205,H$203:H$346,1)</f>
        <v>0</v>
      </c>
      <c r="J205" s="21">
        <f>MATCH(G205,I$203:I$346,0)</f>
        <v>0</v>
      </c>
      <c r="K205" s="38">
        <f>INDEX(B$203:B$346,J205,1)</f>
        <v>0</v>
      </c>
      <c r="L205" s="38">
        <f>L204+INDEX(C$203:C$346,J205,1)</f>
        <v>0</v>
      </c>
      <c r="M205" s="38">
        <f>M204+(K205-K204)*L204</f>
        <v>0</v>
      </c>
      <c r="N205" s="38">
        <f>IF((M204&gt;0)=(M205&gt;0),"",K205-M205/L204)</f>
        <v>0</v>
      </c>
      <c r="O205" s="17"/>
    </row>
    <row r="206" spans="1:15">
      <c r="A206" s="4" t="s">
        <v>1264</v>
      </c>
      <c r="B206" s="38">
        <f>B125</f>
        <v>0</v>
      </c>
      <c r="C206" s="38">
        <f>B82</f>
        <v>0</v>
      </c>
      <c r="D206" s="38">
        <f>IF(ISERROR(B206),C206,0)</f>
        <v>0</v>
      </c>
      <c r="E206" s="38">
        <f>MAX($B$173,B206)*C206</f>
        <v>0</v>
      </c>
      <c r="F206" s="21">
        <f>RANK(B206,B$203:B$346,1)</f>
        <v>0</v>
      </c>
      <c r="G206" s="37">
        <v>4</v>
      </c>
      <c r="H206" s="21">
        <f>F206*144+G206</f>
        <v>0</v>
      </c>
      <c r="I206" s="21">
        <f>RANK(H206,H$203:H$346,1)</f>
        <v>0</v>
      </c>
      <c r="J206" s="21">
        <f>MATCH(G206,I$203:I$346,0)</f>
        <v>0</v>
      </c>
      <c r="K206" s="38">
        <f>INDEX(B$203:B$346,J206,1)</f>
        <v>0</v>
      </c>
      <c r="L206" s="38">
        <f>L205+INDEX(C$203:C$346,J206,1)</f>
        <v>0</v>
      </c>
      <c r="M206" s="38">
        <f>M205+(K206-K205)*L205</f>
        <v>0</v>
      </c>
      <c r="N206" s="38">
        <f>IF((M205&gt;0)=(M206&gt;0),"",K206-M206/L205)</f>
        <v>0</v>
      </c>
      <c r="O206" s="17"/>
    </row>
    <row r="207" spans="1:15">
      <c r="A207" s="4" t="s">
        <v>1265</v>
      </c>
      <c r="B207" s="38">
        <f>B126</f>
        <v>0</v>
      </c>
      <c r="C207" s="38">
        <f>B83</f>
        <v>0</v>
      </c>
      <c r="D207" s="38">
        <f>IF(ISERROR(B207),C207,0)</f>
        <v>0</v>
      </c>
      <c r="E207" s="38">
        <f>MAX($B$173,B207)*C207</f>
        <v>0</v>
      </c>
      <c r="F207" s="21">
        <f>RANK(B207,B$203:B$346,1)</f>
        <v>0</v>
      </c>
      <c r="G207" s="37">
        <v>5</v>
      </c>
      <c r="H207" s="21">
        <f>F207*144+G207</f>
        <v>0</v>
      </c>
      <c r="I207" s="21">
        <f>RANK(H207,H$203:H$346,1)</f>
        <v>0</v>
      </c>
      <c r="J207" s="21">
        <f>MATCH(G207,I$203:I$346,0)</f>
        <v>0</v>
      </c>
      <c r="K207" s="38">
        <f>INDEX(B$203:B$346,J207,1)</f>
        <v>0</v>
      </c>
      <c r="L207" s="38">
        <f>L206+INDEX(C$203:C$346,J207,1)</f>
        <v>0</v>
      </c>
      <c r="M207" s="38">
        <f>M206+(K207-K206)*L206</f>
        <v>0</v>
      </c>
      <c r="N207" s="38">
        <f>IF((M206&gt;0)=(M207&gt;0),"",K207-M207/L206)</f>
        <v>0</v>
      </c>
      <c r="O207" s="17"/>
    </row>
    <row r="208" spans="1:15">
      <c r="A208" s="4" t="s">
        <v>1266</v>
      </c>
      <c r="B208" s="38">
        <f>B127</f>
        <v>0</v>
      </c>
      <c r="C208" s="38">
        <f>B84</f>
        <v>0</v>
      </c>
      <c r="D208" s="38">
        <f>IF(ISERROR(B208),C208,0)</f>
        <v>0</v>
      </c>
      <c r="E208" s="38">
        <f>MAX($B$173,B208)*C208</f>
        <v>0</v>
      </c>
      <c r="F208" s="21">
        <f>RANK(B208,B$203:B$346,1)</f>
        <v>0</v>
      </c>
      <c r="G208" s="37">
        <v>6</v>
      </c>
      <c r="H208" s="21">
        <f>F208*144+G208</f>
        <v>0</v>
      </c>
      <c r="I208" s="21">
        <f>RANK(H208,H$203:H$346,1)</f>
        <v>0</v>
      </c>
      <c r="J208" s="21">
        <f>MATCH(G208,I$203:I$346,0)</f>
        <v>0</v>
      </c>
      <c r="K208" s="38">
        <f>INDEX(B$203:B$346,J208,1)</f>
        <v>0</v>
      </c>
      <c r="L208" s="38">
        <f>L207+INDEX(C$203:C$346,J208,1)</f>
        <v>0</v>
      </c>
      <c r="M208" s="38">
        <f>M207+(K208-K207)*L207</f>
        <v>0</v>
      </c>
      <c r="N208" s="38">
        <f>IF((M207&gt;0)=(M208&gt;0),"",K208-M208/L207)</f>
        <v>0</v>
      </c>
      <c r="O208" s="17"/>
    </row>
    <row r="209" spans="1:15">
      <c r="A209" s="4" t="s">
        <v>1267</v>
      </c>
      <c r="B209" s="38">
        <f>B128</f>
        <v>0</v>
      </c>
      <c r="C209" s="38">
        <f>B85</f>
        <v>0</v>
      </c>
      <c r="D209" s="38">
        <f>IF(ISERROR(B209),C209,0)</f>
        <v>0</v>
      </c>
      <c r="E209" s="38">
        <f>MAX($B$173,B209)*C209</f>
        <v>0</v>
      </c>
      <c r="F209" s="21">
        <f>RANK(B209,B$203:B$346,1)</f>
        <v>0</v>
      </c>
      <c r="G209" s="37">
        <v>7</v>
      </c>
      <c r="H209" s="21">
        <f>F209*144+G209</f>
        <v>0</v>
      </c>
      <c r="I209" s="21">
        <f>RANK(H209,H$203:H$346,1)</f>
        <v>0</v>
      </c>
      <c r="J209" s="21">
        <f>MATCH(G209,I$203:I$346,0)</f>
        <v>0</v>
      </c>
      <c r="K209" s="38">
        <f>INDEX(B$203:B$346,J209,1)</f>
        <v>0</v>
      </c>
      <c r="L209" s="38">
        <f>L208+INDEX(C$203:C$346,J209,1)</f>
        <v>0</v>
      </c>
      <c r="M209" s="38">
        <f>M208+(K209-K208)*L208</f>
        <v>0</v>
      </c>
      <c r="N209" s="38">
        <f>IF((M208&gt;0)=(M209&gt;0),"",K209-M209/L208)</f>
        <v>0</v>
      </c>
      <c r="O209" s="17"/>
    </row>
    <row r="210" spans="1:15">
      <c r="A210" s="4" t="s">
        <v>1268</v>
      </c>
      <c r="B210" s="38">
        <f>B129</f>
        <v>0</v>
      </c>
      <c r="C210" s="38">
        <f>B86</f>
        <v>0</v>
      </c>
      <c r="D210" s="38">
        <f>IF(ISERROR(B210),C210,0)</f>
        <v>0</v>
      </c>
      <c r="E210" s="38">
        <f>MAX($B$173,B210)*C210</f>
        <v>0</v>
      </c>
      <c r="F210" s="21">
        <f>RANK(B210,B$203:B$346,1)</f>
        <v>0</v>
      </c>
      <c r="G210" s="37">
        <v>8</v>
      </c>
      <c r="H210" s="21">
        <f>F210*144+G210</f>
        <v>0</v>
      </c>
      <c r="I210" s="21">
        <f>RANK(H210,H$203:H$346,1)</f>
        <v>0</v>
      </c>
      <c r="J210" s="21">
        <f>MATCH(G210,I$203:I$346,0)</f>
        <v>0</v>
      </c>
      <c r="K210" s="38">
        <f>INDEX(B$203:B$346,J210,1)</f>
        <v>0</v>
      </c>
      <c r="L210" s="38">
        <f>L209+INDEX(C$203:C$346,J210,1)</f>
        <v>0</v>
      </c>
      <c r="M210" s="38">
        <f>M209+(K210-K209)*L209</f>
        <v>0</v>
      </c>
      <c r="N210" s="38">
        <f>IF((M209&gt;0)=(M210&gt;0),"",K210-M210/L209)</f>
        <v>0</v>
      </c>
      <c r="O210" s="17"/>
    </row>
    <row r="211" spans="1:15">
      <c r="A211" s="4" t="s">
        <v>1269</v>
      </c>
      <c r="B211" s="38">
        <f>B130</f>
        <v>0</v>
      </c>
      <c r="C211" s="38">
        <f>B87</f>
        <v>0</v>
      </c>
      <c r="D211" s="38">
        <f>IF(ISERROR(B211),C211,0)</f>
        <v>0</v>
      </c>
      <c r="E211" s="38">
        <f>MAX($B$173,B211)*C211</f>
        <v>0</v>
      </c>
      <c r="F211" s="21">
        <f>RANK(B211,B$203:B$346,1)</f>
        <v>0</v>
      </c>
      <c r="G211" s="37">
        <v>9</v>
      </c>
      <c r="H211" s="21">
        <f>F211*144+G211</f>
        <v>0</v>
      </c>
      <c r="I211" s="21">
        <f>RANK(H211,H$203:H$346,1)</f>
        <v>0</v>
      </c>
      <c r="J211" s="21">
        <f>MATCH(G211,I$203:I$346,0)</f>
        <v>0</v>
      </c>
      <c r="K211" s="38">
        <f>INDEX(B$203:B$346,J211,1)</f>
        <v>0</v>
      </c>
      <c r="L211" s="38">
        <f>L210+INDEX(C$203:C$346,J211,1)</f>
        <v>0</v>
      </c>
      <c r="M211" s="38">
        <f>M210+(K211-K210)*L210</f>
        <v>0</v>
      </c>
      <c r="N211" s="38">
        <f>IF((M210&gt;0)=(M211&gt;0),"",K211-M211/L210)</f>
        <v>0</v>
      </c>
      <c r="O211" s="17"/>
    </row>
    <row r="212" spans="1:15">
      <c r="A212" s="4" t="s">
        <v>1270</v>
      </c>
      <c r="B212" s="38">
        <f>B131</f>
        <v>0</v>
      </c>
      <c r="C212" s="38">
        <f>B88</f>
        <v>0</v>
      </c>
      <c r="D212" s="38">
        <f>IF(ISERROR(B212),C212,0)</f>
        <v>0</v>
      </c>
      <c r="E212" s="38">
        <f>MAX($B$173,B212)*C212</f>
        <v>0</v>
      </c>
      <c r="F212" s="21">
        <f>RANK(B212,B$203:B$346,1)</f>
        <v>0</v>
      </c>
      <c r="G212" s="37">
        <v>10</v>
      </c>
      <c r="H212" s="21">
        <f>F212*144+G212</f>
        <v>0</v>
      </c>
      <c r="I212" s="21">
        <f>RANK(H212,H$203:H$346,1)</f>
        <v>0</v>
      </c>
      <c r="J212" s="21">
        <f>MATCH(G212,I$203:I$346,0)</f>
        <v>0</v>
      </c>
      <c r="K212" s="38">
        <f>INDEX(B$203:B$346,J212,1)</f>
        <v>0</v>
      </c>
      <c r="L212" s="38">
        <f>L211+INDEX(C$203:C$346,J212,1)</f>
        <v>0</v>
      </c>
      <c r="M212" s="38">
        <f>M211+(K212-K211)*L211</f>
        <v>0</v>
      </c>
      <c r="N212" s="38">
        <f>IF((M211&gt;0)=(M212&gt;0),"",K212-M212/L211)</f>
        <v>0</v>
      </c>
      <c r="O212" s="17"/>
    </row>
    <row r="213" spans="1:15">
      <c r="A213" s="4" t="s">
        <v>1271</v>
      </c>
      <c r="B213" s="38">
        <f>B132</f>
        <v>0</v>
      </c>
      <c r="C213" s="38">
        <f>B89</f>
        <v>0</v>
      </c>
      <c r="D213" s="38">
        <f>IF(ISERROR(B213),C213,0)</f>
        <v>0</v>
      </c>
      <c r="E213" s="38">
        <f>MAX($B$173,B213)*C213</f>
        <v>0</v>
      </c>
      <c r="F213" s="21">
        <f>RANK(B213,B$203:B$346,1)</f>
        <v>0</v>
      </c>
      <c r="G213" s="37">
        <v>11</v>
      </c>
      <c r="H213" s="21">
        <f>F213*144+G213</f>
        <v>0</v>
      </c>
      <c r="I213" s="21">
        <f>RANK(H213,H$203:H$346,1)</f>
        <v>0</v>
      </c>
      <c r="J213" s="21">
        <f>MATCH(G213,I$203:I$346,0)</f>
        <v>0</v>
      </c>
      <c r="K213" s="38">
        <f>INDEX(B$203:B$346,J213,1)</f>
        <v>0</v>
      </c>
      <c r="L213" s="38">
        <f>L212+INDEX(C$203:C$346,J213,1)</f>
        <v>0</v>
      </c>
      <c r="M213" s="38">
        <f>M212+(K213-K212)*L212</f>
        <v>0</v>
      </c>
      <c r="N213" s="38">
        <f>IF((M212&gt;0)=(M213&gt;0),"",K213-M213/L212)</f>
        <v>0</v>
      </c>
      <c r="O213" s="17"/>
    </row>
    <row r="214" spans="1:15">
      <c r="A214" s="4" t="s">
        <v>1272</v>
      </c>
      <c r="B214" s="38">
        <f>B133</f>
        <v>0</v>
      </c>
      <c r="C214" s="38">
        <f>B90</f>
        <v>0</v>
      </c>
      <c r="D214" s="38">
        <f>IF(ISERROR(B214),C214,0)</f>
        <v>0</v>
      </c>
      <c r="E214" s="38">
        <f>MAX($B$173,B214)*C214</f>
        <v>0</v>
      </c>
      <c r="F214" s="21">
        <f>RANK(B214,B$203:B$346,1)</f>
        <v>0</v>
      </c>
      <c r="G214" s="37">
        <v>12</v>
      </c>
      <c r="H214" s="21">
        <f>F214*144+G214</f>
        <v>0</v>
      </c>
      <c r="I214" s="21">
        <f>RANK(H214,H$203:H$346,1)</f>
        <v>0</v>
      </c>
      <c r="J214" s="21">
        <f>MATCH(G214,I$203:I$346,0)</f>
        <v>0</v>
      </c>
      <c r="K214" s="38">
        <f>INDEX(B$203:B$346,J214,1)</f>
        <v>0</v>
      </c>
      <c r="L214" s="38">
        <f>L213+INDEX(C$203:C$346,J214,1)</f>
        <v>0</v>
      </c>
      <c r="M214" s="38">
        <f>M213+(K214-K213)*L213</f>
        <v>0</v>
      </c>
      <c r="N214" s="38">
        <f>IF((M213&gt;0)=(M214&gt;0),"",K214-M214/L213)</f>
        <v>0</v>
      </c>
      <c r="O214" s="17"/>
    </row>
    <row r="215" spans="1:15">
      <c r="A215" s="4" t="s">
        <v>1273</v>
      </c>
      <c r="B215" s="38">
        <f>B134</f>
        <v>0</v>
      </c>
      <c r="C215" s="38">
        <f>B91</f>
        <v>0</v>
      </c>
      <c r="D215" s="38">
        <f>IF(ISERROR(B215),C215,0)</f>
        <v>0</v>
      </c>
      <c r="E215" s="38">
        <f>MAX($B$173,B215)*C215</f>
        <v>0</v>
      </c>
      <c r="F215" s="21">
        <f>RANK(B215,B$203:B$346,1)</f>
        <v>0</v>
      </c>
      <c r="G215" s="37">
        <v>13</v>
      </c>
      <c r="H215" s="21">
        <f>F215*144+G215</f>
        <v>0</v>
      </c>
      <c r="I215" s="21">
        <f>RANK(H215,H$203:H$346,1)</f>
        <v>0</v>
      </c>
      <c r="J215" s="21">
        <f>MATCH(G215,I$203:I$346,0)</f>
        <v>0</v>
      </c>
      <c r="K215" s="38">
        <f>INDEX(B$203:B$346,J215,1)</f>
        <v>0</v>
      </c>
      <c r="L215" s="38">
        <f>L214+INDEX(C$203:C$346,J215,1)</f>
        <v>0</v>
      </c>
      <c r="M215" s="38">
        <f>M214+(K215-K214)*L214</f>
        <v>0</v>
      </c>
      <c r="N215" s="38">
        <f>IF((M214&gt;0)=(M215&gt;0),"",K215-M215/L214)</f>
        <v>0</v>
      </c>
      <c r="O215" s="17"/>
    </row>
    <row r="216" spans="1:15">
      <c r="A216" s="4" t="s">
        <v>1274</v>
      </c>
      <c r="B216" s="38">
        <f>B135</f>
        <v>0</v>
      </c>
      <c r="C216" s="38">
        <f>B92</f>
        <v>0</v>
      </c>
      <c r="D216" s="38">
        <f>IF(ISERROR(B216),C216,0)</f>
        <v>0</v>
      </c>
      <c r="E216" s="38">
        <f>MAX($B$173,B216)*C216</f>
        <v>0</v>
      </c>
      <c r="F216" s="21">
        <f>RANK(B216,B$203:B$346,1)</f>
        <v>0</v>
      </c>
      <c r="G216" s="37">
        <v>14</v>
      </c>
      <c r="H216" s="21">
        <f>F216*144+G216</f>
        <v>0</v>
      </c>
      <c r="I216" s="21">
        <f>RANK(H216,H$203:H$346,1)</f>
        <v>0</v>
      </c>
      <c r="J216" s="21">
        <f>MATCH(G216,I$203:I$346,0)</f>
        <v>0</v>
      </c>
      <c r="K216" s="38">
        <f>INDEX(B$203:B$346,J216,1)</f>
        <v>0</v>
      </c>
      <c r="L216" s="38">
        <f>L215+INDEX(C$203:C$346,J216,1)</f>
        <v>0</v>
      </c>
      <c r="M216" s="38">
        <f>M215+(K216-K215)*L215</f>
        <v>0</v>
      </c>
      <c r="N216" s="38">
        <f>IF((M215&gt;0)=(M216&gt;0),"",K216-M216/L215)</f>
        <v>0</v>
      </c>
      <c r="O216" s="17"/>
    </row>
    <row r="217" spans="1:15">
      <c r="A217" s="4" t="s">
        <v>1275</v>
      </c>
      <c r="B217" s="38">
        <f>B136</f>
        <v>0</v>
      </c>
      <c r="C217" s="38">
        <f>B93</f>
        <v>0</v>
      </c>
      <c r="D217" s="38">
        <f>IF(ISERROR(B217),C217,0)</f>
        <v>0</v>
      </c>
      <c r="E217" s="38">
        <f>MAX($B$173,B217)*C217</f>
        <v>0</v>
      </c>
      <c r="F217" s="21">
        <f>RANK(B217,B$203:B$346,1)</f>
        <v>0</v>
      </c>
      <c r="G217" s="37">
        <v>15</v>
      </c>
      <c r="H217" s="21">
        <f>F217*144+G217</f>
        <v>0</v>
      </c>
      <c r="I217" s="21">
        <f>RANK(H217,H$203:H$346,1)</f>
        <v>0</v>
      </c>
      <c r="J217" s="21">
        <f>MATCH(G217,I$203:I$346,0)</f>
        <v>0</v>
      </c>
      <c r="K217" s="38">
        <f>INDEX(B$203:B$346,J217,1)</f>
        <v>0</v>
      </c>
      <c r="L217" s="38">
        <f>L216+INDEX(C$203:C$346,J217,1)</f>
        <v>0</v>
      </c>
      <c r="M217" s="38">
        <f>M216+(K217-K216)*L216</f>
        <v>0</v>
      </c>
      <c r="N217" s="38">
        <f>IF((M216&gt;0)=(M217&gt;0),"",K217-M217/L216)</f>
        <v>0</v>
      </c>
      <c r="O217" s="17"/>
    </row>
    <row r="218" spans="1:15">
      <c r="A218" s="4" t="s">
        <v>1276</v>
      </c>
      <c r="B218" s="38">
        <f>B137</f>
        <v>0</v>
      </c>
      <c r="C218" s="38">
        <f>B94</f>
        <v>0</v>
      </c>
      <c r="D218" s="38">
        <f>IF(ISERROR(B218),C218,0)</f>
        <v>0</v>
      </c>
      <c r="E218" s="38">
        <f>MAX($B$173,B218)*C218</f>
        <v>0</v>
      </c>
      <c r="F218" s="21">
        <f>RANK(B218,B$203:B$346,1)</f>
        <v>0</v>
      </c>
      <c r="G218" s="37">
        <v>16</v>
      </c>
      <c r="H218" s="21">
        <f>F218*144+G218</f>
        <v>0</v>
      </c>
      <c r="I218" s="21">
        <f>RANK(H218,H$203:H$346,1)</f>
        <v>0</v>
      </c>
      <c r="J218" s="21">
        <f>MATCH(G218,I$203:I$346,0)</f>
        <v>0</v>
      </c>
      <c r="K218" s="38">
        <f>INDEX(B$203:B$346,J218,1)</f>
        <v>0</v>
      </c>
      <c r="L218" s="38">
        <f>L217+INDEX(C$203:C$346,J218,1)</f>
        <v>0</v>
      </c>
      <c r="M218" s="38">
        <f>M217+(K218-K217)*L217</f>
        <v>0</v>
      </c>
      <c r="N218" s="38">
        <f>IF((M217&gt;0)=(M218&gt;0),"",K218-M218/L217)</f>
        <v>0</v>
      </c>
      <c r="O218" s="17"/>
    </row>
    <row r="219" spans="1:15">
      <c r="A219" s="4" t="s">
        <v>1277</v>
      </c>
      <c r="B219" s="38">
        <f>B138</f>
        <v>0</v>
      </c>
      <c r="C219" s="38">
        <f>B95</f>
        <v>0</v>
      </c>
      <c r="D219" s="38">
        <f>IF(ISERROR(B219),C219,0)</f>
        <v>0</v>
      </c>
      <c r="E219" s="38">
        <f>MAX($B$173,B219)*C219</f>
        <v>0</v>
      </c>
      <c r="F219" s="21">
        <f>RANK(B219,B$203:B$346,1)</f>
        <v>0</v>
      </c>
      <c r="G219" s="37">
        <v>17</v>
      </c>
      <c r="H219" s="21">
        <f>F219*144+G219</f>
        <v>0</v>
      </c>
      <c r="I219" s="21">
        <f>RANK(H219,H$203:H$346,1)</f>
        <v>0</v>
      </c>
      <c r="J219" s="21">
        <f>MATCH(G219,I$203:I$346,0)</f>
        <v>0</v>
      </c>
      <c r="K219" s="38">
        <f>INDEX(B$203:B$346,J219,1)</f>
        <v>0</v>
      </c>
      <c r="L219" s="38">
        <f>L218+INDEX(C$203:C$346,J219,1)</f>
        <v>0</v>
      </c>
      <c r="M219" s="38">
        <f>M218+(K219-K218)*L218</f>
        <v>0</v>
      </c>
      <c r="N219" s="38">
        <f>IF((M218&gt;0)=(M219&gt;0),"",K219-M219/L218)</f>
        <v>0</v>
      </c>
      <c r="O219" s="17"/>
    </row>
    <row r="220" spans="1:15">
      <c r="A220" s="4" t="s">
        <v>1278</v>
      </c>
      <c r="B220" s="38">
        <f>B139</f>
        <v>0</v>
      </c>
      <c r="C220" s="38">
        <f>B96</f>
        <v>0</v>
      </c>
      <c r="D220" s="38">
        <f>IF(ISERROR(B220),C220,0)</f>
        <v>0</v>
      </c>
      <c r="E220" s="38">
        <f>MAX($B$173,B220)*C220</f>
        <v>0</v>
      </c>
      <c r="F220" s="21">
        <f>RANK(B220,B$203:B$346,1)</f>
        <v>0</v>
      </c>
      <c r="G220" s="37">
        <v>18</v>
      </c>
      <c r="H220" s="21">
        <f>F220*144+G220</f>
        <v>0</v>
      </c>
      <c r="I220" s="21">
        <f>RANK(H220,H$203:H$346,1)</f>
        <v>0</v>
      </c>
      <c r="J220" s="21">
        <f>MATCH(G220,I$203:I$346,0)</f>
        <v>0</v>
      </c>
      <c r="K220" s="38">
        <f>INDEX(B$203:B$346,J220,1)</f>
        <v>0</v>
      </c>
      <c r="L220" s="38">
        <f>L219+INDEX(C$203:C$346,J220,1)</f>
        <v>0</v>
      </c>
      <c r="M220" s="38">
        <f>M219+(K220-K219)*L219</f>
        <v>0</v>
      </c>
      <c r="N220" s="38">
        <f>IF((M219&gt;0)=(M220&gt;0),"",K220-M220/L219)</f>
        <v>0</v>
      </c>
      <c r="O220" s="17"/>
    </row>
    <row r="221" spans="1:15">
      <c r="A221" s="4" t="s">
        <v>1279</v>
      </c>
      <c r="B221" s="38">
        <f>B140</f>
        <v>0</v>
      </c>
      <c r="C221" s="38">
        <f>B97</f>
        <v>0</v>
      </c>
      <c r="D221" s="38">
        <f>IF(ISERROR(B221),C221,0)</f>
        <v>0</v>
      </c>
      <c r="E221" s="38">
        <f>MAX($B$173,B221)*C221</f>
        <v>0</v>
      </c>
      <c r="F221" s="21">
        <f>RANK(B221,B$203:B$346,1)</f>
        <v>0</v>
      </c>
      <c r="G221" s="37">
        <v>19</v>
      </c>
      <c r="H221" s="21">
        <f>F221*144+G221</f>
        <v>0</v>
      </c>
      <c r="I221" s="21">
        <f>RANK(H221,H$203:H$346,1)</f>
        <v>0</v>
      </c>
      <c r="J221" s="21">
        <f>MATCH(G221,I$203:I$346,0)</f>
        <v>0</v>
      </c>
      <c r="K221" s="38">
        <f>INDEX(B$203:B$346,J221,1)</f>
        <v>0</v>
      </c>
      <c r="L221" s="38">
        <f>L220+INDEX(C$203:C$346,J221,1)</f>
        <v>0</v>
      </c>
      <c r="M221" s="38">
        <f>M220+(K221-K220)*L220</f>
        <v>0</v>
      </c>
      <c r="N221" s="38">
        <f>IF((M220&gt;0)=(M221&gt;0),"",K221-M221/L220)</f>
        <v>0</v>
      </c>
      <c r="O221" s="17"/>
    </row>
    <row r="222" spans="1:15">
      <c r="A222" s="4" t="s">
        <v>1280</v>
      </c>
      <c r="B222" s="38">
        <f>B141</f>
        <v>0</v>
      </c>
      <c r="C222" s="38">
        <f>B98</f>
        <v>0</v>
      </c>
      <c r="D222" s="38">
        <f>IF(ISERROR(B222),C222,0)</f>
        <v>0</v>
      </c>
      <c r="E222" s="38">
        <f>MAX($B$173,B222)*C222</f>
        <v>0</v>
      </c>
      <c r="F222" s="21">
        <f>RANK(B222,B$203:B$346,1)</f>
        <v>0</v>
      </c>
      <c r="G222" s="37">
        <v>20</v>
      </c>
      <c r="H222" s="21">
        <f>F222*144+G222</f>
        <v>0</v>
      </c>
      <c r="I222" s="21">
        <f>RANK(H222,H$203:H$346,1)</f>
        <v>0</v>
      </c>
      <c r="J222" s="21">
        <f>MATCH(G222,I$203:I$346,0)</f>
        <v>0</v>
      </c>
      <c r="K222" s="38">
        <f>INDEX(B$203:B$346,J222,1)</f>
        <v>0</v>
      </c>
      <c r="L222" s="38">
        <f>L221+INDEX(C$203:C$346,J222,1)</f>
        <v>0</v>
      </c>
      <c r="M222" s="38">
        <f>M221+(K222-K221)*L221</f>
        <v>0</v>
      </c>
      <c r="N222" s="38">
        <f>IF((M221&gt;0)=(M222&gt;0),"",K222-M222/L221)</f>
        <v>0</v>
      </c>
      <c r="O222" s="17"/>
    </row>
    <row r="223" spans="1:15">
      <c r="A223" s="4" t="s">
        <v>1281</v>
      </c>
      <c r="B223" s="38">
        <f>B142</f>
        <v>0</v>
      </c>
      <c r="C223" s="38">
        <f>B99</f>
        <v>0</v>
      </c>
      <c r="D223" s="38">
        <f>IF(ISERROR(B223),C223,0)</f>
        <v>0</v>
      </c>
      <c r="E223" s="38">
        <f>MAX($B$173,B223)*C223</f>
        <v>0</v>
      </c>
      <c r="F223" s="21">
        <f>RANK(B223,B$203:B$346,1)</f>
        <v>0</v>
      </c>
      <c r="G223" s="37">
        <v>21</v>
      </c>
      <c r="H223" s="21">
        <f>F223*144+G223</f>
        <v>0</v>
      </c>
      <c r="I223" s="21">
        <f>RANK(H223,H$203:H$346,1)</f>
        <v>0</v>
      </c>
      <c r="J223" s="21">
        <f>MATCH(G223,I$203:I$346,0)</f>
        <v>0</v>
      </c>
      <c r="K223" s="38">
        <f>INDEX(B$203:B$346,J223,1)</f>
        <v>0</v>
      </c>
      <c r="L223" s="38">
        <f>L222+INDEX(C$203:C$346,J223,1)</f>
        <v>0</v>
      </c>
      <c r="M223" s="38">
        <f>M222+(K223-K222)*L222</f>
        <v>0</v>
      </c>
      <c r="N223" s="38">
        <f>IF((M222&gt;0)=(M223&gt;0),"",K223-M223/L222)</f>
        <v>0</v>
      </c>
      <c r="O223" s="17"/>
    </row>
    <row r="224" spans="1:15">
      <c r="A224" s="4" t="s">
        <v>1282</v>
      </c>
      <c r="B224" s="38">
        <f>B143</f>
        <v>0</v>
      </c>
      <c r="C224" s="38">
        <f>B100</f>
        <v>0</v>
      </c>
      <c r="D224" s="38">
        <f>IF(ISERROR(B224),C224,0)</f>
        <v>0</v>
      </c>
      <c r="E224" s="38">
        <f>MAX($B$173,B224)*C224</f>
        <v>0</v>
      </c>
      <c r="F224" s="21">
        <f>RANK(B224,B$203:B$346,1)</f>
        <v>0</v>
      </c>
      <c r="G224" s="37">
        <v>22</v>
      </c>
      <c r="H224" s="21">
        <f>F224*144+G224</f>
        <v>0</v>
      </c>
      <c r="I224" s="21">
        <f>RANK(H224,H$203:H$346,1)</f>
        <v>0</v>
      </c>
      <c r="J224" s="21">
        <f>MATCH(G224,I$203:I$346,0)</f>
        <v>0</v>
      </c>
      <c r="K224" s="38">
        <f>INDEX(B$203:B$346,J224,1)</f>
        <v>0</v>
      </c>
      <c r="L224" s="38">
        <f>L223+INDEX(C$203:C$346,J224,1)</f>
        <v>0</v>
      </c>
      <c r="M224" s="38">
        <f>M223+(K224-K223)*L223</f>
        <v>0</v>
      </c>
      <c r="N224" s="38">
        <f>IF((M223&gt;0)=(M224&gt;0),"",K224-M224/L223)</f>
        <v>0</v>
      </c>
      <c r="O224" s="17"/>
    </row>
    <row r="225" spans="1:15">
      <c r="A225" s="4" t="s">
        <v>1283</v>
      </c>
      <c r="B225" s="38">
        <f>B144</f>
        <v>0</v>
      </c>
      <c r="C225" s="38">
        <f>B101</f>
        <v>0</v>
      </c>
      <c r="D225" s="38">
        <f>IF(ISERROR(B225),C225,0)</f>
        <v>0</v>
      </c>
      <c r="E225" s="38">
        <f>MAX($B$173,B225)*C225</f>
        <v>0</v>
      </c>
      <c r="F225" s="21">
        <f>RANK(B225,B$203:B$346,1)</f>
        <v>0</v>
      </c>
      <c r="G225" s="37">
        <v>23</v>
      </c>
      <c r="H225" s="21">
        <f>F225*144+G225</f>
        <v>0</v>
      </c>
      <c r="I225" s="21">
        <f>RANK(H225,H$203:H$346,1)</f>
        <v>0</v>
      </c>
      <c r="J225" s="21">
        <f>MATCH(G225,I$203:I$346,0)</f>
        <v>0</v>
      </c>
      <c r="K225" s="38">
        <f>INDEX(B$203:B$346,J225,1)</f>
        <v>0</v>
      </c>
      <c r="L225" s="38">
        <f>L224+INDEX(C$203:C$346,J225,1)</f>
        <v>0</v>
      </c>
      <c r="M225" s="38">
        <f>M224+(K225-K224)*L224</f>
        <v>0</v>
      </c>
      <c r="N225" s="38">
        <f>IF((M224&gt;0)=(M225&gt;0),"",K225-M225/L224)</f>
        <v>0</v>
      </c>
      <c r="O225" s="17"/>
    </row>
    <row r="226" spans="1:15">
      <c r="A226" s="4" t="s">
        <v>1284</v>
      </c>
      <c r="B226" s="38">
        <f>B145</f>
        <v>0</v>
      </c>
      <c r="C226" s="38">
        <f>B102</f>
        <v>0</v>
      </c>
      <c r="D226" s="38">
        <f>IF(ISERROR(B226),C226,0)</f>
        <v>0</v>
      </c>
      <c r="E226" s="38">
        <f>MAX($B$173,B226)*C226</f>
        <v>0</v>
      </c>
      <c r="F226" s="21">
        <f>RANK(B226,B$203:B$346,1)</f>
        <v>0</v>
      </c>
      <c r="G226" s="37">
        <v>24</v>
      </c>
      <c r="H226" s="21">
        <f>F226*144+G226</f>
        <v>0</v>
      </c>
      <c r="I226" s="21">
        <f>RANK(H226,H$203:H$346,1)</f>
        <v>0</v>
      </c>
      <c r="J226" s="21">
        <f>MATCH(G226,I$203:I$346,0)</f>
        <v>0</v>
      </c>
      <c r="K226" s="38">
        <f>INDEX(B$203:B$346,J226,1)</f>
        <v>0</v>
      </c>
      <c r="L226" s="38">
        <f>L225+INDEX(C$203:C$346,J226,1)</f>
        <v>0</v>
      </c>
      <c r="M226" s="38">
        <f>M225+(K226-K225)*L225</f>
        <v>0</v>
      </c>
      <c r="N226" s="38">
        <f>IF((M225&gt;0)=(M226&gt;0),"",K226-M226/L225)</f>
        <v>0</v>
      </c>
      <c r="O226" s="17"/>
    </row>
    <row r="227" spans="1:15">
      <c r="A227" s="4" t="s">
        <v>1285</v>
      </c>
      <c r="B227" s="38">
        <f>C122</f>
        <v>0</v>
      </c>
      <c r="C227" s="38">
        <f>C79</f>
        <v>0</v>
      </c>
      <c r="D227" s="38">
        <f>IF(ISERROR(B227),C227,0)</f>
        <v>0</v>
      </c>
      <c r="E227" s="38">
        <f>MAX($B$173,B227)*C227</f>
        <v>0</v>
      </c>
      <c r="F227" s="21">
        <f>RANK(B227,B$203:B$346,1)</f>
        <v>0</v>
      </c>
      <c r="G227" s="37">
        <v>25</v>
      </c>
      <c r="H227" s="21">
        <f>F227*144+G227</f>
        <v>0</v>
      </c>
      <c r="I227" s="21">
        <f>RANK(H227,H$203:H$346,1)</f>
        <v>0</v>
      </c>
      <c r="J227" s="21">
        <f>MATCH(G227,I$203:I$346,0)</f>
        <v>0</v>
      </c>
      <c r="K227" s="38">
        <f>INDEX(B$203:B$346,J227,1)</f>
        <v>0</v>
      </c>
      <c r="L227" s="38">
        <f>L226+INDEX(C$203:C$346,J227,1)</f>
        <v>0</v>
      </c>
      <c r="M227" s="38">
        <f>M226+(K227-K226)*L226</f>
        <v>0</v>
      </c>
      <c r="N227" s="38">
        <f>IF((M226&gt;0)=(M227&gt;0),"",K227-M227/L226)</f>
        <v>0</v>
      </c>
      <c r="O227" s="17"/>
    </row>
    <row r="228" spans="1:15">
      <c r="A228" s="4" t="s">
        <v>1286</v>
      </c>
      <c r="B228" s="38">
        <f>C123</f>
        <v>0</v>
      </c>
      <c r="C228" s="38">
        <f>C80</f>
        <v>0</v>
      </c>
      <c r="D228" s="38">
        <f>IF(ISERROR(B228),C228,0)</f>
        <v>0</v>
      </c>
      <c r="E228" s="38">
        <f>MAX($B$173,B228)*C228</f>
        <v>0</v>
      </c>
      <c r="F228" s="21">
        <f>RANK(B228,B$203:B$346,1)</f>
        <v>0</v>
      </c>
      <c r="G228" s="37">
        <v>26</v>
      </c>
      <c r="H228" s="21">
        <f>F228*144+G228</f>
        <v>0</v>
      </c>
      <c r="I228" s="21">
        <f>RANK(H228,H$203:H$346,1)</f>
        <v>0</v>
      </c>
      <c r="J228" s="21">
        <f>MATCH(G228,I$203:I$346,0)</f>
        <v>0</v>
      </c>
      <c r="K228" s="38">
        <f>INDEX(B$203:B$346,J228,1)</f>
        <v>0</v>
      </c>
      <c r="L228" s="38">
        <f>L227+INDEX(C$203:C$346,J228,1)</f>
        <v>0</v>
      </c>
      <c r="M228" s="38">
        <f>M227+(K228-K227)*L227</f>
        <v>0</v>
      </c>
      <c r="N228" s="38">
        <f>IF((M227&gt;0)=(M228&gt;0),"",K228-M228/L227)</f>
        <v>0</v>
      </c>
      <c r="O228" s="17"/>
    </row>
    <row r="229" spans="1:15">
      <c r="A229" s="4" t="s">
        <v>1287</v>
      </c>
      <c r="B229" s="38">
        <f>C124</f>
        <v>0</v>
      </c>
      <c r="C229" s="38">
        <f>C81</f>
        <v>0</v>
      </c>
      <c r="D229" s="38">
        <f>IF(ISERROR(B229),C229,0)</f>
        <v>0</v>
      </c>
      <c r="E229" s="38">
        <f>MAX($B$173,B229)*C229</f>
        <v>0</v>
      </c>
      <c r="F229" s="21">
        <f>RANK(B229,B$203:B$346,1)</f>
        <v>0</v>
      </c>
      <c r="G229" s="37">
        <v>27</v>
      </c>
      <c r="H229" s="21">
        <f>F229*144+G229</f>
        <v>0</v>
      </c>
      <c r="I229" s="21">
        <f>RANK(H229,H$203:H$346,1)</f>
        <v>0</v>
      </c>
      <c r="J229" s="21">
        <f>MATCH(G229,I$203:I$346,0)</f>
        <v>0</v>
      </c>
      <c r="K229" s="38">
        <f>INDEX(B$203:B$346,J229,1)</f>
        <v>0</v>
      </c>
      <c r="L229" s="38">
        <f>L228+INDEX(C$203:C$346,J229,1)</f>
        <v>0</v>
      </c>
      <c r="M229" s="38">
        <f>M228+(K229-K228)*L228</f>
        <v>0</v>
      </c>
      <c r="N229" s="38">
        <f>IF((M228&gt;0)=(M229&gt;0),"",K229-M229/L228)</f>
        <v>0</v>
      </c>
      <c r="O229" s="17"/>
    </row>
    <row r="230" spans="1:15">
      <c r="A230" s="4" t="s">
        <v>1288</v>
      </c>
      <c r="B230" s="38">
        <f>C125</f>
        <v>0</v>
      </c>
      <c r="C230" s="38">
        <f>C82</f>
        <v>0</v>
      </c>
      <c r="D230" s="38">
        <f>IF(ISERROR(B230),C230,0)</f>
        <v>0</v>
      </c>
      <c r="E230" s="38">
        <f>MAX($B$173,B230)*C230</f>
        <v>0</v>
      </c>
      <c r="F230" s="21">
        <f>RANK(B230,B$203:B$346,1)</f>
        <v>0</v>
      </c>
      <c r="G230" s="37">
        <v>28</v>
      </c>
      <c r="H230" s="21">
        <f>F230*144+G230</f>
        <v>0</v>
      </c>
      <c r="I230" s="21">
        <f>RANK(H230,H$203:H$346,1)</f>
        <v>0</v>
      </c>
      <c r="J230" s="21">
        <f>MATCH(G230,I$203:I$346,0)</f>
        <v>0</v>
      </c>
      <c r="K230" s="38">
        <f>INDEX(B$203:B$346,J230,1)</f>
        <v>0</v>
      </c>
      <c r="L230" s="38">
        <f>L229+INDEX(C$203:C$346,J230,1)</f>
        <v>0</v>
      </c>
      <c r="M230" s="38">
        <f>M229+(K230-K229)*L229</f>
        <v>0</v>
      </c>
      <c r="N230" s="38">
        <f>IF((M229&gt;0)=(M230&gt;0),"",K230-M230/L229)</f>
        <v>0</v>
      </c>
      <c r="O230" s="17"/>
    </row>
    <row r="231" spans="1:15">
      <c r="A231" s="4" t="s">
        <v>1289</v>
      </c>
      <c r="B231" s="38">
        <f>C126</f>
        <v>0</v>
      </c>
      <c r="C231" s="38">
        <f>C83</f>
        <v>0</v>
      </c>
      <c r="D231" s="38">
        <f>IF(ISERROR(B231),C231,0)</f>
        <v>0</v>
      </c>
      <c r="E231" s="38">
        <f>MAX($B$173,B231)*C231</f>
        <v>0</v>
      </c>
      <c r="F231" s="21">
        <f>RANK(B231,B$203:B$346,1)</f>
        <v>0</v>
      </c>
      <c r="G231" s="37">
        <v>29</v>
      </c>
      <c r="H231" s="21">
        <f>F231*144+G231</f>
        <v>0</v>
      </c>
      <c r="I231" s="21">
        <f>RANK(H231,H$203:H$346,1)</f>
        <v>0</v>
      </c>
      <c r="J231" s="21">
        <f>MATCH(G231,I$203:I$346,0)</f>
        <v>0</v>
      </c>
      <c r="K231" s="38">
        <f>INDEX(B$203:B$346,J231,1)</f>
        <v>0</v>
      </c>
      <c r="L231" s="38">
        <f>L230+INDEX(C$203:C$346,J231,1)</f>
        <v>0</v>
      </c>
      <c r="M231" s="38">
        <f>M230+(K231-K230)*L230</f>
        <v>0</v>
      </c>
      <c r="N231" s="38">
        <f>IF((M230&gt;0)=(M231&gt;0),"",K231-M231/L230)</f>
        <v>0</v>
      </c>
      <c r="O231" s="17"/>
    </row>
    <row r="232" spans="1:15">
      <c r="A232" s="4" t="s">
        <v>1290</v>
      </c>
      <c r="B232" s="38">
        <f>C127</f>
        <v>0</v>
      </c>
      <c r="C232" s="38">
        <f>C84</f>
        <v>0</v>
      </c>
      <c r="D232" s="38">
        <f>IF(ISERROR(B232),C232,0)</f>
        <v>0</v>
      </c>
      <c r="E232" s="38">
        <f>MAX($B$173,B232)*C232</f>
        <v>0</v>
      </c>
      <c r="F232" s="21">
        <f>RANK(B232,B$203:B$346,1)</f>
        <v>0</v>
      </c>
      <c r="G232" s="37">
        <v>30</v>
      </c>
      <c r="H232" s="21">
        <f>F232*144+G232</f>
        <v>0</v>
      </c>
      <c r="I232" s="21">
        <f>RANK(H232,H$203:H$346,1)</f>
        <v>0</v>
      </c>
      <c r="J232" s="21">
        <f>MATCH(G232,I$203:I$346,0)</f>
        <v>0</v>
      </c>
      <c r="K232" s="38">
        <f>INDEX(B$203:B$346,J232,1)</f>
        <v>0</v>
      </c>
      <c r="L232" s="38">
        <f>L231+INDEX(C$203:C$346,J232,1)</f>
        <v>0</v>
      </c>
      <c r="M232" s="38">
        <f>M231+(K232-K231)*L231</f>
        <v>0</v>
      </c>
      <c r="N232" s="38">
        <f>IF((M231&gt;0)=(M232&gt;0),"",K232-M232/L231)</f>
        <v>0</v>
      </c>
      <c r="O232" s="17"/>
    </row>
    <row r="233" spans="1:15">
      <c r="A233" s="4" t="s">
        <v>1291</v>
      </c>
      <c r="B233" s="38">
        <f>C128</f>
        <v>0</v>
      </c>
      <c r="C233" s="38">
        <f>C85</f>
        <v>0</v>
      </c>
      <c r="D233" s="38">
        <f>IF(ISERROR(B233),C233,0)</f>
        <v>0</v>
      </c>
      <c r="E233" s="38">
        <f>MAX($B$173,B233)*C233</f>
        <v>0</v>
      </c>
      <c r="F233" s="21">
        <f>RANK(B233,B$203:B$346,1)</f>
        <v>0</v>
      </c>
      <c r="G233" s="37">
        <v>31</v>
      </c>
      <c r="H233" s="21">
        <f>F233*144+G233</f>
        <v>0</v>
      </c>
      <c r="I233" s="21">
        <f>RANK(H233,H$203:H$346,1)</f>
        <v>0</v>
      </c>
      <c r="J233" s="21">
        <f>MATCH(G233,I$203:I$346,0)</f>
        <v>0</v>
      </c>
      <c r="K233" s="38">
        <f>INDEX(B$203:B$346,J233,1)</f>
        <v>0</v>
      </c>
      <c r="L233" s="38">
        <f>L232+INDEX(C$203:C$346,J233,1)</f>
        <v>0</v>
      </c>
      <c r="M233" s="38">
        <f>M232+(K233-K232)*L232</f>
        <v>0</v>
      </c>
      <c r="N233" s="38">
        <f>IF((M232&gt;0)=(M233&gt;0),"",K233-M233/L232)</f>
        <v>0</v>
      </c>
      <c r="O233" s="17"/>
    </row>
    <row r="234" spans="1:15">
      <c r="A234" s="4" t="s">
        <v>1292</v>
      </c>
      <c r="B234" s="38">
        <f>C129</f>
        <v>0</v>
      </c>
      <c r="C234" s="38">
        <f>C86</f>
        <v>0</v>
      </c>
      <c r="D234" s="38">
        <f>IF(ISERROR(B234),C234,0)</f>
        <v>0</v>
      </c>
      <c r="E234" s="38">
        <f>MAX($B$173,B234)*C234</f>
        <v>0</v>
      </c>
      <c r="F234" s="21">
        <f>RANK(B234,B$203:B$346,1)</f>
        <v>0</v>
      </c>
      <c r="G234" s="37">
        <v>32</v>
      </c>
      <c r="H234" s="21">
        <f>F234*144+G234</f>
        <v>0</v>
      </c>
      <c r="I234" s="21">
        <f>RANK(H234,H$203:H$346,1)</f>
        <v>0</v>
      </c>
      <c r="J234" s="21">
        <f>MATCH(G234,I$203:I$346,0)</f>
        <v>0</v>
      </c>
      <c r="K234" s="38">
        <f>INDEX(B$203:B$346,J234,1)</f>
        <v>0</v>
      </c>
      <c r="L234" s="38">
        <f>L233+INDEX(C$203:C$346,J234,1)</f>
        <v>0</v>
      </c>
      <c r="M234" s="38">
        <f>M233+(K234-K233)*L233</f>
        <v>0</v>
      </c>
      <c r="N234" s="38">
        <f>IF((M233&gt;0)=(M234&gt;0),"",K234-M234/L233)</f>
        <v>0</v>
      </c>
      <c r="O234" s="17"/>
    </row>
    <row r="235" spans="1:15">
      <c r="A235" s="4" t="s">
        <v>1293</v>
      </c>
      <c r="B235" s="38">
        <f>C130</f>
        <v>0</v>
      </c>
      <c r="C235" s="38">
        <f>C87</f>
        <v>0</v>
      </c>
      <c r="D235" s="38">
        <f>IF(ISERROR(B235),C235,0)</f>
        <v>0</v>
      </c>
      <c r="E235" s="38">
        <f>MAX($B$173,B235)*C235</f>
        <v>0</v>
      </c>
      <c r="F235" s="21">
        <f>RANK(B235,B$203:B$346,1)</f>
        <v>0</v>
      </c>
      <c r="G235" s="37">
        <v>33</v>
      </c>
      <c r="H235" s="21">
        <f>F235*144+G235</f>
        <v>0</v>
      </c>
      <c r="I235" s="21">
        <f>RANK(H235,H$203:H$346,1)</f>
        <v>0</v>
      </c>
      <c r="J235" s="21">
        <f>MATCH(G235,I$203:I$346,0)</f>
        <v>0</v>
      </c>
      <c r="K235" s="38">
        <f>INDEX(B$203:B$346,J235,1)</f>
        <v>0</v>
      </c>
      <c r="L235" s="38">
        <f>L234+INDEX(C$203:C$346,J235,1)</f>
        <v>0</v>
      </c>
      <c r="M235" s="38">
        <f>M234+(K235-K234)*L234</f>
        <v>0</v>
      </c>
      <c r="N235" s="38">
        <f>IF((M234&gt;0)=(M235&gt;0),"",K235-M235/L234)</f>
        <v>0</v>
      </c>
      <c r="O235" s="17"/>
    </row>
    <row r="236" spans="1:15">
      <c r="A236" s="4" t="s">
        <v>1294</v>
      </c>
      <c r="B236" s="38">
        <f>C131</f>
        <v>0</v>
      </c>
      <c r="C236" s="38">
        <f>C88</f>
        <v>0</v>
      </c>
      <c r="D236" s="38">
        <f>IF(ISERROR(B236),C236,0)</f>
        <v>0</v>
      </c>
      <c r="E236" s="38">
        <f>MAX($B$173,B236)*C236</f>
        <v>0</v>
      </c>
      <c r="F236" s="21">
        <f>RANK(B236,B$203:B$346,1)</f>
        <v>0</v>
      </c>
      <c r="G236" s="37">
        <v>34</v>
      </c>
      <c r="H236" s="21">
        <f>F236*144+G236</f>
        <v>0</v>
      </c>
      <c r="I236" s="21">
        <f>RANK(H236,H$203:H$346,1)</f>
        <v>0</v>
      </c>
      <c r="J236" s="21">
        <f>MATCH(G236,I$203:I$346,0)</f>
        <v>0</v>
      </c>
      <c r="K236" s="38">
        <f>INDEX(B$203:B$346,J236,1)</f>
        <v>0</v>
      </c>
      <c r="L236" s="38">
        <f>L235+INDEX(C$203:C$346,J236,1)</f>
        <v>0</v>
      </c>
      <c r="M236" s="38">
        <f>M235+(K236-K235)*L235</f>
        <v>0</v>
      </c>
      <c r="N236" s="38">
        <f>IF((M235&gt;0)=(M236&gt;0),"",K236-M236/L235)</f>
        <v>0</v>
      </c>
      <c r="O236" s="17"/>
    </row>
    <row r="237" spans="1:15">
      <c r="A237" s="4" t="s">
        <v>1295</v>
      </c>
      <c r="B237" s="38">
        <f>C132</f>
        <v>0</v>
      </c>
      <c r="C237" s="38">
        <f>C89</f>
        <v>0</v>
      </c>
      <c r="D237" s="38">
        <f>IF(ISERROR(B237),C237,0)</f>
        <v>0</v>
      </c>
      <c r="E237" s="38">
        <f>MAX($B$173,B237)*C237</f>
        <v>0</v>
      </c>
      <c r="F237" s="21">
        <f>RANK(B237,B$203:B$346,1)</f>
        <v>0</v>
      </c>
      <c r="G237" s="37">
        <v>35</v>
      </c>
      <c r="H237" s="21">
        <f>F237*144+G237</f>
        <v>0</v>
      </c>
      <c r="I237" s="21">
        <f>RANK(H237,H$203:H$346,1)</f>
        <v>0</v>
      </c>
      <c r="J237" s="21">
        <f>MATCH(G237,I$203:I$346,0)</f>
        <v>0</v>
      </c>
      <c r="K237" s="38">
        <f>INDEX(B$203:B$346,J237,1)</f>
        <v>0</v>
      </c>
      <c r="L237" s="38">
        <f>L236+INDEX(C$203:C$346,J237,1)</f>
        <v>0</v>
      </c>
      <c r="M237" s="38">
        <f>M236+(K237-K236)*L236</f>
        <v>0</v>
      </c>
      <c r="N237" s="38">
        <f>IF((M236&gt;0)=(M237&gt;0),"",K237-M237/L236)</f>
        <v>0</v>
      </c>
      <c r="O237" s="17"/>
    </row>
    <row r="238" spans="1:15">
      <c r="A238" s="4" t="s">
        <v>1296</v>
      </c>
      <c r="B238" s="38">
        <f>C133</f>
        <v>0</v>
      </c>
      <c r="C238" s="38">
        <f>C90</f>
        <v>0</v>
      </c>
      <c r="D238" s="38">
        <f>IF(ISERROR(B238),C238,0)</f>
        <v>0</v>
      </c>
      <c r="E238" s="38">
        <f>MAX($B$173,B238)*C238</f>
        <v>0</v>
      </c>
      <c r="F238" s="21">
        <f>RANK(B238,B$203:B$346,1)</f>
        <v>0</v>
      </c>
      <c r="G238" s="37">
        <v>36</v>
      </c>
      <c r="H238" s="21">
        <f>F238*144+G238</f>
        <v>0</v>
      </c>
      <c r="I238" s="21">
        <f>RANK(H238,H$203:H$346,1)</f>
        <v>0</v>
      </c>
      <c r="J238" s="21">
        <f>MATCH(G238,I$203:I$346,0)</f>
        <v>0</v>
      </c>
      <c r="K238" s="38">
        <f>INDEX(B$203:B$346,J238,1)</f>
        <v>0</v>
      </c>
      <c r="L238" s="38">
        <f>L237+INDEX(C$203:C$346,J238,1)</f>
        <v>0</v>
      </c>
      <c r="M238" s="38">
        <f>M237+(K238-K237)*L237</f>
        <v>0</v>
      </c>
      <c r="N238" s="38">
        <f>IF((M237&gt;0)=(M238&gt;0),"",K238-M238/L237)</f>
        <v>0</v>
      </c>
      <c r="O238" s="17"/>
    </row>
    <row r="239" spans="1:15">
      <c r="A239" s="4" t="s">
        <v>1297</v>
      </c>
      <c r="B239" s="38">
        <f>C134</f>
        <v>0</v>
      </c>
      <c r="C239" s="38">
        <f>C91</f>
        <v>0</v>
      </c>
      <c r="D239" s="38">
        <f>IF(ISERROR(B239),C239,0)</f>
        <v>0</v>
      </c>
      <c r="E239" s="38">
        <f>MAX($B$173,B239)*C239</f>
        <v>0</v>
      </c>
      <c r="F239" s="21">
        <f>RANK(B239,B$203:B$346,1)</f>
        <v>0</v>
      </c>
      <c r="G239" s="37">
        <v>37</v>
      </c>
      <c r="H239" s="21">
        <f>F239*144+G239</f>
        <v>0</v>
      </c>
      <c r="I239" s="21">
        <f>RANK(H239,H$203:H$346,1)</f>
        <v>0</v>
      </c>
      <c r="J239" s="21">
        <f>MATCH(G239,I$203:I$346,0)</f>
        <v>0</v>
      </c>
      <c r="K239" s="38">
        <f>INDEX(B$203:B$346,J239,1)</f>
        <v>0</v>
      </c>
      <c r="L239" s="38">
        <f>L238+INDEX(C$203:C$346,J239,1)</f>
        <v>0</v>
      </c>
      <c r="M239" s="38">
        <f>M238+(K239-K238)*L238</f>
        <v>0</v>
      </c>
      <c r="N239" s="38">
        <f>IF((M238&gt;0)=(M239&gt;0),"",K239-M239/L238)</f>
        <v>0</v>
      </c>
      <c r="O239" s="17"/>
    </row>
    <row r="240" spans="1:15">
      <c r="A240" s="4" t="s">
        <v>1298</v>
      </c>
      <c r="B240" s="38">
        <f>C135</f>
        <v>0</v>
      </c>
      <c r="C240" s="38">
        <f>C92</f>
        <v>0</v>
      </c>
      <c r="D240" s="38">
        <f>IF(ISERROR(B240),C240,0)</f>
        <v>0</v>
      </c>
      <c r="E240" s="38">
        <f>MAX($B$173,B240)*C240</f>
        <v>0</v>
      </c>
      <c r="F240" s="21">
        <f>RANK(B240,B$203:B$346,1)</f>
        <v>0</v>
      </c>
      <c r="G240" s="37">
        <v>38</v>
      </c>
      <c r="H240" s="21">
        <f>F240*144+G240</f>
        <v>0</v>
      </c>
      <c r="I240" s="21">
        <f>RANK(H240,H$203:H$346,1)</f>
        <v>0</v>
      </c>
      <c r="J240" s="21">
        <f>MATCH(G240,I$203:I$346,0)</f>
        <v>0</v>
      </c>
      <c r="K240" s="38">
        <f>INDEX(B$203:B$346,J240,1)</f>
        <v>0</v>
      </c>
      <c r="L240" s="38">
        <f>L239+INDEX(C$203:C$346,J240,1)</f>
        <v>0</v>
      </c>
      <c r="M240" s="38">
        <f>M239+(K240-K239)*L239</f>
        <v>0</v>
      </c>
      <c r="N240" s="38">
        <f>IF((M239&gt;0)=(M240&gt;0),"",K240-M240/L239)</f>
        <v>0</v>
      </c>
      <c r="O240" s="17"/>
    </row>
    <row r="241" spans="1:15">
      <c r="A241" s="4" t="s">
        <v>1299</v>
      </c>
      <c r="B241" s="38">
        <f>C136</f>
        <v>0</v>
      </c>
      <c r="C241" s="38">
        <f>C93</f>
        <v>0</v>
      </c>
      <c r="D241" s="38">
        <f>IF(ISERROR(B241),C241,0)</f>
        <v>0</v>
      </c>
      <c r="E241" s="38">
        <f>MAX($B$173,B241)*C241</f>
        <v>0</v>
      </c>
      <c r="F241" s="21">
        <f>RANK(B241,B$203:B$346,1)</f>
        <v>0</v>
      </c>
      <c r="G241" s="37">
        <v>39</v>
      </c>
      <c r="H241" s="21">
        <f>F241*144+G241</f>
        <v>0</v>
      </c>
      <c r="I241" s="21">
        <f>RANK(H241,H$203:H$346,1)</f>
        <v>0</v>
      </c>
      <c r="J241" s="21">
        <f>MATCH(G241,I$203:I$346,0)</f>
        <v>0</v>
      </c>
      <c r="K241" s="38">
        <f>INDEX(B$203:B$346,J241,1)</f>
        <v>0</v>
      </c>
      <c r="L241" s="38">
        <f>L240+INDEX(C$203:C$346,J241,1)</f>
        <v>0</v>
      </c>
      <c r="M241" s="38">
        <f>M240+(K241-K240)*L240</f>
        <v>0</v>
      </c>
      <c r="N241" s="38">
        <f>IF((M240&gt;0)=(M241&gt;0),"",K241-M241/L240)</f>
        <v>0</v>
      </c>
      <c r="O241" s="17"/>
    </row>
    <row r="242" spans="1:15">
      <c r="A242" s="4" t="s">
        <v>1300</v>
      </c>
      <c r="B242" s="38">
        <f>C137</f>
        <v>0</v>
      </c>
      <c r="C242" s="38">
        <f>C94</f>
        <v>0</v>
      </c>
      <c r="D242" s="38">
        <f>IF(ISERROR(B242),C242,0)</f>
        <v>0</v>
      </c>
      <c r="E242" s="38">
        <f>MAX($B$173,B242)*C242</f>
        <v>0</v>
      </c>
      <c r="F242" s="21">
        <f>RANK(B242,B$203:B$346,1)</f>
        <v>0</v>
      </c>
      <c r="G242" s="37">
        <v>40</v>
      </c>
      <c r="H242" s="21">
        <f>F242*144+G242</f>
        <v>0</v>
      </c>
      <c r="I242" s="21">
        <f>RANK(H242,H$203:H$346,1)</f>
        <v>0</v>
      </c>
      <c r="J242" s="21">
        <f>MATCH(G242,I$203:I$346,0)</f>
        <v>0</v>
      </c>
      <c r="K242" s="38">
        <f>INDEX(B$203:B$346,J242,1)</f>
        <v>0</v>
      </c>
      <c r="L242" s="38">
        <f>L241+INDEX(C$203:C$346,J242,1)</f>
        <v>0</v>
      </c>
      <c r="M242" s="38">
        <f>M241+(K242-K241)*L241</f>
        <v>0</v>
      </c>
      <c r="N242" s="38">
        <f>IF((M241&gt;0)=(M242&gt;0),"",K242-M242/L241)</f>
        <v>0</v>
      </c>
      <c r="O242" s="17"/>
    </row>
    <row r="243" spans="1:15">
      <c r="A243" s="4" t="s">
        <v>1301</v>
      </c>
      <c r="B243" s="38">
        <f>C138</f>
        <v>0</v>
      </c>
      <c r="C243" s="38">
        <f>C95</f>
        <v>0</v>
      </c>
      <c r="D243" s="38">
        <f>IF(ISERROR(B243),C243,0)</f>
        <v>0</v>
      </c>
      <c r="E243" s="38">
        <f>MAX($B$173,B243)*C243</f>
        <v>0</v>
      </c>
      <c r="F243" s="21">
        <f>RANK(B243,B$203:B$346,1)</f>
        <v>0</v>
      </c>
      <c r="G243" s="37">
        <v>41</v>
      </c>
      <c r="H243" s="21">
        <f>F243*144+G243</f>
        <v>0</v>
      </c>
      <c r="I243" s="21">
        <f>RANK(H243,H$203:H$346,1)</f>
        <v>0</v>
      </c>
      <c r="J243" s="21">
        <f>MATCH(G243,I$203:I$346,0)</f>
        <v>0</v>
      </c>
      <c r="K243" s="38">
        <f>INDEX(B$203:B$346,J243,1)</f>
        <v>0</v>
      </c>
      <c r="L243" s="38">
        <f>L242+INDEX(C$203:C$346,J243,1)</f>
        <v>0</v>
      </c>
      <c r="M243" s="38">
        <f>M242+(K243-K242)*L242</f>
        <v>0</v>
      </c>
      <c r="N243" s="38">
        <f>IF((M242&gt;0)=(M243&gt;0),"",K243-M243/L242)</f>
        <v>0</v>
      </c>
      <c r="O243" s="17"/>
    </row>
    <row r="244" spans="1:15">
      <c r="A244" s="4" t="s">
        <v>1302</v>
      </c>
      <c r="B244" s="38">
        <f>C139</f>
        <v>0</v>
      </c>
      <c r="C244" s="38">
        <f>C96</f>
        <v>0</v>
      </c>
      <c r="D244" s="38">
        <f>IF(ISERROR(B244),C244,0)</f>
        <v>0</v>
      </c>
      <c r="E244" s="38">
        <f>MAX($B$173,B244)*C244</f>
        <v>0</v>
      </c>
      <c r="F244" s="21">
        <f>RANK(B244,B$203:B$346,1)</f>
        <v>0</v>
      </c>
      <c r="G244" s="37">
        <v>42</v>
      </c>
      <c r="H244" s="21">
        <f>F244*144+G244</f>
        <v>0</v>
      </c>
      <c r="I244" s="21">
        <f>RANK(H244,H$203:H$346,1)</f>
        <v>0</v>
      </c>
      <c r="J244" s="21">
        <f>MATCH(G244,I$203:I$346,0)</f>
        <v>0</v>
      </c>
      <c r="K244" s="38">
        <f>INDEX(B$203:B$346,J244,1)</f>
        <v>0</v>
      </c>
      <c r="L244" s="38">
        <f>L243+INDEX(C$203:C$346,J244,1)</f>
        <v>0</v>
      </c>
      <c r="M244" s="38">
        <f>M243+(K244-K243)*L243</f>
        <v>0</v>
      </c>
      <c r="N244" s="38">
        <f>IF((M243&gt;0)=(M244&gt;0),"",K244-M244/L243)</f>
        <v>0</v>
      </c>
      <c r="O244" s="17"/>
    </row>
    <row r="245" spans="1:15">
      <c r="A245" s="4" t="s">
        <v>1303</v>
      </c>
      <c r="B245" s="38">
        <f>C140</f>
        <v>0</v>
      </c>
      <c r="C245" s="38">
        <f>C97</f>
        <v>0</v>
      </c>
      <c r="D245" s="38">
        <f>IF(ISERROR(B245),C245,0)</f>
        <v>0</v>
      </c>
      <c r="E245" s="38">
        <f>MAX($B$173,B245)*C245</f>
        <v>0</v>
      </c>
      <c r="F245" s="21">
        <f>RANK(B245,B$203:B$346,1)</f>
        <v>0</v>
      </c>
      <c r="G245" s="37">
        <v>43</v>
      </c>
      <c r="H245" s="21">
        <f>F245*144+G245</f>
        <v>0</v>
      </c>
      <c r="I245" s="21">
        <f>RANK(H245,H$203:H$346,1)</f>
        <v>0</v>
      </c>
      <c r="J245" s="21">
        <f>MATCH(G245,I$203:I$346,0)</f>
        <v>0</v>
      </c>
      <c r="K245" s="38">
        <f>INDEX(B$203:B$346,J245,1)</f>
        <v>0</v>
      </c>
      <c r="L245" s="38">
        <f>L244+INDEX(C$203:C$346,J245,1)</f>
        <v>0</v>
      </c>
      <c r="M245" s="38">
        <f>M244+(K245-K244)*L244</f>
        <v>0</v>
      </c>
      <c r="N245" s="38">
        <f>IF((M244&gt;0)=(M245&gt;0),"",K245-M245/L244)</f>
        <v>0</v>
      </c>
      <c r="O245" s="17"/>
    </row>
    <row r="246" spans="1:15">
      <c r="A246" s="4" t="s">
        <v>1304</v>
      </c>
      <c r="B246" s="38">
        <f>C141</f>
        <v>0</v>
      </c>
      <c r="C246" s="38">
        <f>C98</f>
        <v>0</v>
      </c>
      <c r="D246" s="38">
        <f>IF(ISERROR(B246),C246,0)</f>
        <v>0</v>
      </c>
      <c r="E246" s="38">
        <f>MAX($B$173,B246)*C246</f>
        <v>0</v>
      </c>
      <c r="F246" s="21">
        <f>RANK(B246,B$203:B$346,1)</f>
        <v>0</v>
      </c>
      <c r="G246" s="37">
        <v>44</v>
      </c>
      <c r="H246" s="21">
        <f>F246*144+G246</f>
        <v>0</v>
      </c>
      <c r="I246" s="21">
        <f>RANK(H246,H$203:H$346,1)</f>
        <v>0</v>
      </c>
      <c r="J246" s="21">
        <f>MATCH(G246,I$203:I$346,0)</f>
        <v>0</v>
      </c>
      <c r="K246" s="38">
        <f>INDEX(B$203:B$346,J246,1)</f>
        <v>0</v>
      </c>
      <c r="L246" s="38">
        <f>L245+INDEX(C$203:C$346,J246,1)</f>
        <v>0</v>
      </c>
      <c r="M246" s="38">
        <f>M245+(K246-K245)*L245</f>
        <v>0</v>
      </c>
      <c r="N246" s="38">
        <f>IF((M245&gt;0)=(M246&gt;0),"",K246-M246/L245)</f>
        <v>0</v>
      </c>
      <c r="O246" s="17"/>
    </row>
    <row r="247" spans="1:15">
      <c r="A247" s="4" t="s">
        <v>1305</v>
      </c>
      <c r="B247" s="38">
        <f>C142</f>
        <v>0</v>
      </c>
      <c r="C247" s="38">
        <f>C99</f>
        <v>0</v>
      </c>
      <c r="D247" s="38">
        <f>IF(ISERROR(B247),C247,0)</f>
        <v>0</v>
      </c>
      <c r="E247" s="38">
        <f>MAX($B$173,B247)*C247</f>
        <v>0</v>
      </c>
      <c r="F247" s="21">
        <f>RANK(B247,B$203:B$346,1)</f>
        <v>0</v>
      </c>
      <c r="G247" s="37">
        <v>45</v>
      </c>
      <c r="H247" s="21">
        <f>F247*144+G247</f>
        <v>0</v>
      </c>
      <c r="I247" s="21">
        <f>RANK(H247,H$203:H$346,1)</f>
        <v>0</v>
      </c>
      <c r="J247" s="21">
        <f>MATCH(G247,I$203:I$346,0)</f>
        <v>0</v>
      </c>
      <c r="K247" s="38">
        <f>INDEX(B$203:B$346,J247,1)</f>
        <v>0</v>
      </c>
      <c r="L247" s="38">
        <f>L246+INDEX(C$203:C$346,J247,1)</f>
        <v>0</v>
      </c>
      <c r="M247" s="38">
        <f>M246+(K247-K246)*L246</f>
        <v>0</v>
      </c>
      <c r="N247" s="38">
        <f>IF((M246&gt;0)=(M247&gt;0),"",K247-M247/L246)</f>
        <v>0</v>
      </c>
      <c r="O247" s="17"/>
    </row>
    <row r="248" spans="1:15">
      <c r="A248" s="4" t="s">
        <v>1306</v>
      </c>
      <c r="B248" s="38">
        <f>C143</f>
        <v>0</v>
      </c>
      <c r="C248" s="38">
        <f>C100</f>
        <v>0</v>
      </c>
      <c r="D248" s="38">
        <f>IF(ISERROR(B248),C248,0)</f>
        <v>0</v>
      </c>
      <c r="E248" s="38">
        <f>MAX($B$173,B248)*C248</f>
        <v>0</v>
      </c>
      <c r="F248" s="21">
        <f>RANK(B248,B$203:B$346,1)</f>
        <v>0</v>
      </c>
      <c r="G248" s="37">
        <v>46</v>
      </c>
      <c r="H248" s="21">
        <f>F248*144+G248</f>
        <v>0</v>
      </c>
      <c r="I248" s="21">
        <f>RANK(H248,H$203:H$346,1)</f>
        <v>0</v>
      </c>
      <c r="J248" s="21">
        <f>MATCH(G248,I$203:I$346,0)</f>
        <v>0</v>
      </c>
      <c r="K248" s="38">
        <f>INDEX(B$203:B$346,J248,1)</f>
        <v>0</v>
      </c>
      <c r="L248" s="38">
        <f>L247+INDEX(C$203:C$346,J248,1)</f>
        <v>0</v>
      </c>
      <c r="M248" s="38">
        <f>M247+(K248-K247)*L247</f>
        <v>0</v>
      </c>
      <c r="N248" s="38">
        <f>IF((M247&gt;0)=(M248&gt;0),"",K248-M248/L247)</f>
        <v>0</v>
      </c>
      <c r="O248" s="17"/>
    </row>
    <row r="249" spans="1:15">
      <c r="A249" s="4" t="s">
        <v>1307</v>
      </c>
      <c r="B249" s="38">
        <f>C144</f>
        <v>0</v>
      </c>
      <c r="C249" s="38">
        <f>C101</f>
        <v>0</v>
      </c>
      <c r="D249" s="38">
        <f>IF(ISERROR(B249),C249,0)</f>
        <v>0</v>
      </c>
      <c r="E249" s="38">
        <f>MAX($B$173,B249)*C249</f>
        <v>0</v>
      </c>
      <c r="F249" s="21">
        <f>RANK(B249,B$203:B$346,1)</f>
        <v>0</v>
      </c>
      <c r="G249" s="37">
        <v>47</v>
      </c>
      <c r="H249" s="21">
        <f>F249*144+G249</f>
        <v>0</v>
      </c>
      <c r="I249" s="21">
        <f>RANK(H249,H$203:H$346,1)</f>
        <v>0</v>
      </c>
      <c r="J249" s="21">
        <f>MATCH(G249,I$203:I$346,0)</f>
        <v>0</v>
      </c>
      <c r="K249" s="38">
        <f>INDEX(B$203:B$346,J249,1)</f>
        <v>0</v>
      </c>
      <c r="L249" s="38">
        <f>L248+INDEX(C$203:C$346,J249,1)</f>
        <v>0</v>
      </c>
      <c r="M249" s="38">
        <f>M248+(K249-K248)*L248</f>
        <v>0</v>
      </c>
      <c r="N249" s="38">
        <f>IF((M248&gt;0)=(M249&gt;0),"",K249-M249/L248)</f>
        <v>0</v>
      </c>
      <c r="O249" s="17"/>
    </row>
    <row r="250" spans="1:15">
      <c r="A250" s="4" t="s">
        <v>1308</v>
      </c>
      <c r="B250" s="38">
        <f>C145</f>
        <v>0</v>
      </c>
      <c r="C250" s="38">
        <f>C102</f>
        <v>0</v>
      </c>
      <c r="D250" s="38">
        <f>IF(ISERROR(B250),C250,0)</f>
        <v>0</v>
      </c>
      <c r="E250" s="38">
        <f>MAX($B$173,B250)*C250</f>
        <v>0</v>
      </c>
      <c r="F250" s="21">
        <f>RANK(B250,B$203:B$346,1)</f>
        <v>0</v>
      </c>
      <c r="G250" s="37">
        <v>48</v>
      </c>
      <c r="H250" s="21">
        <f>F250*144+G250</f>
        <v>0</v>
      </c>
      <c r="I250" s="21">
        <f>RANK(H250,H$203:H$346,1)</f>
        <v>0</v>
      </c>
      <c r="J250" s="21">
        <f>MATCH(G250,I$203:I$346,0)</f>
        <v>0</v>
      </c>
      <c r="K250" s="38">
        <f>INDEX(B$203:B$346,J250,1)</f>
        <v>0</v>
      </c>
      <c r="L250" s="38">
        <f>L249+INDEX(C$203:C$346,J250,1)</f>
        <v>0</v>
      </c>
      <c r="M250" s="38">
        <f>M249+(K250-K249)*L249</f>
        <v>0</v>
      </c>
      <c r="N250" s="38">
        <f>IF((M249&gt;0)=(M250&gt;0),"",K250-M250/L249)</f>
        <v>0</v>
      </c>
      <c r="O250" s="17"/>
    </row>
    <row r="251" spans="1:15">
      <c r="A251" s="4" t="s">
        <v>1309</v>
      </c>
      <c r="B251" s="38">
        <f>D122</f>
        <v>0</v>
      </c>
      <c r="C251" s="38">
        <f>D79</f>
        <v>0</v>
      </c>
      <c r="D251" s="38">
        <f>IF(ISERROR(B251),C251,0)</f>
        <v>0</v>
      </c>
      <c r="E251" s="38">
        <f>MAX($B$173,B251)*C251</f>
        <v>0</v>
      </c>
      <c r="F251" s="21">
        <f>RANK(B251,B$203:B$346,1)</f>
        <v>0</v>
      </c>
      <c r="G251" s="37">
        <v>49</v>
      </c>
      <c r="H251" s="21">
        <f>F251*144+G251</f>
        <v>0</v>
      </c>
      <c r="I251" s="21">
        <f>RANK(H251,H$203:H$346,1)</f>
        <v>0</v>
      </c>
      <c r="J251" s="21">
        <f>MATCH(G251,I$203:I$346,0)</f>
        <v>0</v>
      </c>
      <c r="K251" s="38">
        <f>INDEX(B$203:B$346,J251,1)</f>
        <v>0</v>
      </c>
      <c r="L251" s="38">
        <f>L250+INDEX(C$203:C$346,J251,1)</f>
        <v>0</v>
      </c>
      <c r="M251" s="38">
        <f>M250+(K251-K250)*L250</f>
        <v>0</v>
      </c>
      <c r="N251" s="38">
        <f>IF((M250&gt;0)=(M251&gt;0),"",K251-M251/L250)</f>
        <v>0</v>
      </c>
      <c r="O251" s="17"/>
    </row>
    <row r="252" spans="1:15">
      <c r="A252" s="4" t="s">
        <v>1310</v>
      </c>
      <c r="B252" s="38">
        <f>D123</f>
        <v>0</v>
      </c>
      <c r="C252" s="38">
        <f>D80</f>
        <v>0</v>
      </c>
      <c r="D252" s="38">
        <f>IF(ISERROR(B252),C252,0)</f>
        <v>0</v>
      </c>
      <c r="E252" s="38">
        <f>MAX($B$173,B252)*C252</f>
        <v>0</v>
      </c>
      <c r="F252" s="21">
        <f>RANK(B252,B$203:B$346,1)</f>
        <v>0</v>
      </c>
      <c r="G252" s="37">
        <v>50</v>
      </c>
      <c r="H252" s="21">
        <f>F252*144+G252</f>
        <v>0</v>
      </c>
      <c r="I252" s="21">
        <f>RANK(H252,H$203:H$346,1)</f>
        <v>0</v>
      </c>
      <c r="J252" s="21">
        <f>MATCH(G252,I$203:I$346,0)</f>
        <v>0</v>
      </c>
      <c r="K252" s="38">
        <f>INDEX(B$203:B$346,J252,1)</f>
        <v>0</v>
      </c>
      <c r="L252" s="38">
        <f>L251+INDEX(C$203:C$346,J252,1)</f>
        <v>0</v>
      </c>
      <c r="M252" s="38">
        <f>M251+(K252-K251)*L251</f>
        <v>0</v>
      </c>
      <c r="N252" s="38">
        <f>IF((M251&gt;0)=(M252&gt;0),"",K252-M252/L251)</f>
        <v>0</v>
      </c>
      <c r="O252" s="17"/>
    </row>
    <row r="253" spans="1:15">
      <c r="A253" s="4" t="s">
        <v>1311</v>
      </c>
      <c r="B253" s="38">
        <f>D124</f>
        <v>0</v>
      </c>
      <c r="C253" s="38">
        <f>D81</f>
        <v>0</v>
      </c>
      <c r="D253" s="38">
        <f>IF(ISERROR(B253),C253,0)</f>
        <v>0</v>
      </c>
      <c r="E253" s="38">
        <f>MAX($B$173,B253)*C253</f>
        <v>0</v>
      </c>
      <c r="F253" s="21">
        <f>RANK(B253,B$203:B$346,1)</f>
        <v>0</v>
      </c>
      <c r="G253" s="37">
        <v>51</v>
      </c>
      <c r="H253" s="21">
        <f>F253*144+G253</f>
        <v>0</v>
      </c>
      <c r="I253" s="21">
        <f>RANK(H253,H$203:H$346,1)</f>
        <v>0</v>
      </c>
      <c r="J253" s="21">
        <f>MATCH(G253,I$203:I$346,0)</f>
        <v>0</v>
      </c>
      <c r="K253" s="38">
        <f>INDEX(B$203:B$346,J253,1)</f>
        <v>0</v>
      </c>
      <c r="L253" s="38">
        <f>L252+INDEX(C$203:C$346,J253,1)</f>
        <v>0</v>
      </c>
      <c r="M253" s="38">
        <f>M252+(K253-K252)*L252</f>
        <v>0</v>
      </c>
      <c r="N253" s="38">
        <f>IF((M252&gt;0)=(M253&gt;0),"",K253-M253/L252)</f>
        <v>0</v>
      </c>
      <c r="O253" s="17"/>
    </row>
    <row r="254" spans="1:15">
      <c r="A254" s="4" t="s">
        <v>1312</v>
      </c>
      <c r="B254" s="38">
        <f>D125</f>
        <v>0</v>
      </c>
      <c r="C254" s="38">
        <f>D82</f>
        <v>0</v>
      </c>
      <c r="D254" s="38">
        <f>IF(ISERROR(B254),C254,0)</f>
        <v>0</v>
      </c>
      <c r="E254" s="38">
        <f>MAX($B$173,B254)*C254</f>
        <v>0</v>
      </c>
      <c r="F254" s="21">
        <f>RANK(B254,B$203:B$346,1)</f>
        <v>0</v>
      </c>
      <c r="G254" s="37">
        <v>52</v>
      </c>
      <c r="H254" s="21">
        <f>F254*144+G254</f>
        <v>0</v>
      </c>
      <c r="I254" s="21">
        <f>RANK(H254,H$203:H$346,1)</f>
        <v>0</v>
      </c>
      <c r="J254" s="21">
        <f>MATCH(G254,I$203:I$346,0)</f>
        <v>0</v>
      </c>
      <c r="K254" s="38">
        <f>INDEX(B$203:B$346,J254,1)</f>
        <v>0</v>
      </c>
      <c r="L254" s="38">
        <f>L253+INDEX(C$203:C$346,J254,1)</f>
        <v>0</v>
      </c>
      <c r="M254" s="38">
        <f>M253+(K254-K253)*L253</f>
        <v>0</v>
      </c>
      <c r="N254" s="38">
        <f>IF((M253&gt;0)=(M254&gt;0),"",K254-M254/L253)</f>
        <v>0</v>
      </c>
      <c r="O254" s="17"/>
    </row>
    <row r="255" spans="1:15">
      <c r="A255" s="4" t="s">
        <v>1313</v>
      </c>
      <c r="B255" s="38">
        <f>D126</f>
        <v>0</v>
      </c>
      <c r="C255" s="38">
        <f>D83</f>
        <v>0</v>
      </c>
      <c r="D255" s="38">
        <f>IF(ISERROR(B255),C255,0)</f>
        <v>0</v>
      </c>
      <c r="E255" s="38">
        <f>MAX($B$173,B255)*C255</f>
        <v>0</v>
      </c>
      <c r="F255" s="21">
        <f>RANK(B255,B$203:B$346,1)</f>
        <v>0</v>
      </c>
      <c r="G255" s="37">
        <v>53</v>
      </c>
      <c r="H255" s="21">
        <f>F255*144+G255</f>
        <v>0</v>
      </c>
      <c r="I255" s="21">
        <f>RANK(H255,H$203:H$346,1)</f>
        <v>0</v>
      </c>
      <c r="J255" s="21">
        <f>MATCH(G255,I$203:I$346,0)</f>
        <v>0</v>
      </c>
      <c r="K255" s="38">
        <f>INDEX(B$203:B$346,J255,1)</f>
        <v>0</v>
      </c>
      <c r="L255" s="38">
        <f>L254+INDEX(C$203:C$346,J255,1)</f>
        <v>0</v>
      </c>
      <c r="M255" s="38">
        <f>M254+(K255-K254)*L254</f>
        <v>0</v>
      </c>
      <c r="N255" s="38">
        <f>IF((M254&gt;0)=(M255&gt;0),"",K255-M255/L254)</f>
        <v>0</v>
      </c>
      <c r="O255" s="17"/>
    </row>
    <row r="256" spans="1:15">
      <c r="A256" s="4" t="s">
        <v>1314</v>
      </c>
      <c r="B256" s="38">
        <f>D127</f>
        <v>0</v>
      </c>
      <c r="C256" s="38">
        <f>D84</f>
        <v>0</v>
      </c>
      <c r="D256" s="38">
        <f>IF(ISERROR(B256),C256,0)</f>
        <v>0</v>
      </c>
      <c r="E256" s="38">
        <f>MAX($B$173,B256)*C256</f>
        <v>0</v>
      </c>
      <c r="F256" s="21">
        <f>RANK(B256,B$203:B$346,1)</f>
        <v>0</v>
      </c>
      <c r="G256" s="37">
        <v>54</v>
      </c>
      <c r="H256" s="21">
        <f>F256*144+G256</f>
        <v>0</v>
      </c>
      <c r="I256" s="21">
        <f>RANK(H256,H$203:H$346,1)</f>
        <v>0</v>
      </c>
      <c r="J256" s="21">
        <f>MATCH(G256,I$203:I$346,0)</f>
        <v>0</v>
      </c>
      <c r="K256" s="38">
        <f>INDEX(B$203:B$346,J256,1)</f>
        <v>0</v>
      </c>
      <c r="L256" s="38">
        <f>L255+INDEX(C$203:C$346,J256,1)</f>
        <v>0</v>
      </c>
      <c r="M256" s="38">
        <f>M255+(K256-K255)*L255</f>
        <v>0</v>
      </c>
      <c r="N256" s="38">
        <f>IF((M255&gt;0)=(M256&gt;0),"",K256-M256/L255)</f>
        <v>0</v>
      </c>
      <c r="O256" s="17"/>
    </row>
    <row r="257" spans="1:15">
      <c r="A257" s="4" t="s">
        <v>1315</v>
      </c>
      <c r="B257" s="38">
        <f>D128</f>
        <v>0</v>
      </c>
      <c r="C257" s="38">
        <f>D85</f>
        <v>0</v>
      </c>
      <c r="D257" s="38">
        <f>IF(ISERROR(B257),C257,0)</f>
        <v>0</v>
      </c>
      <c r="E257" s="38">
        <f>MAX($B$173,B257)*C257</f>
        <v>0</v>
      </c>
      <c r="F257" s="21">
        <f>RANK(B257,B$203:B$346,1)</f>
        <v>0</v>
      </c>
      <c r="G257" s="37">
        <v>55</v>
      </c>
      <c r="H257" s="21">
        <f>F257*144+G257</f>
        <v>0</v>
      </c>
      <c r="I257" s="21">
        <f>RANK(H257,H$203:H$346,1)</f>
        <v>0</v>
      </c>
      <c r="J257" s="21">
        <f>MATCH(G257,I$203:I$346,0)</f>
        <v>0</v>
      </c>
      <c r="K257" s="38">
        <f>INDEX(B$203:B$346,J257,1)</f>
        <v>0</v>
      </c>
      <c r="L257" s="38">
        <f>L256+INDEX(C$203:C$346,J257,1)</f>
        <v>0</v>
      </c>
      <c r="M257" s="38">
        <f>M256+(K257-K256)*L256</f>
        <v>0</v>
      </c>
      <c r="N257" s="38">
        <f>IF((M256&gt;0)=(M257&gt;0),"",K257-M257/L256)</f>
        <v>0</v>
      </c>
      <c r="O257" s="17"/>
    </row>
    <row r="258" spans="1:15">
      <c r="A258" s="4" t="s">
        <v>1316</v>
      </c>
      <c r="B258" s="38">
        <f>D129</f>
        <v>0</v>
      </c>
      <c r="C258" s="38">
        <f>D86</f>
        <v>0</v>
      </c>
      <c r="D258" s="38">
        <f>IF(ISERROR(B258),C258,0)</f>
        <v>0</v>
      </c>
      <c r="E258" s="38">
        <f>MAX($B$173,B258)*C258</f>
        <v>0</v>
      </c>
      <c r="F258" s="21">
        <f>RANK(B258,B$203:B$346,1)</f>
        <v>0</v>
      </c>
      <c r="G258" s="37">
        <v>56</v>
      </c>
      <c r="H258" s="21">
        <f>F258*144+G258</f>
        <v>0</v>
      </c>
      <c r="I258" s="21">
        <f>RANK(H258,H$203:H$346,1)</f>
        <v>0</v>
      </c>
      <c r="J258" s="21">
        <f>MATCH(G258,I$203:I$346,0)</f>
        <v>0</v>
      </c>
      <c r="K258" s="38">
        <f>INDEX(B$203:B$346,J258,1)</f>
        <v>0</v>
      </c>
      <c r="L258" s="38">
        <f>L257+INDEX(C$203:C$346,J258,1)</f>
        <v>0</v>
      </c>
      <c r="M258" s="38">
        <f>M257+(K258-K257)*L257</f>
        <v>0</v>
      </c>
      <c r="N258" s="38">
        <f>IF((M257&gt;0)=(M258&gt;0),"",K258-M258/L257)</f>
        <v>0</v>
      </c>
      <c r="O258" s="17"/>
    </row>
    <row r="259" spans="1:15">
      <c r="A259" s="4" t="s">
        <v>1317</v>
      </c>
      <c r="B259" s="38">
        <f>D130</f>
        <v>0</v>
      </c>
      <c r="C259" s="38">
        <f>D87</f>
        <v>0</v>
      </c>
      <c r="D259" s="38">
        <f>IF(ISERROR(B259),C259,0)</f>
        <v>0</v>
      </c>
      <c r="E259" s="38">
        <f>MAX($B$173,B259)*C259</f>
        <v>0</v>
      </c>
      <c r="F259" s="21">
        <f>RANK(B259,B$203:B$346,1)</f>
        <v>0</v>
      </c>
      <c r="G259" s="37">
        <v>57</v>
      </c>
      <c r="H259" s="21">
        <f>F259*144+G259</f>
        <v>0</v>
      </c>
      <c r="I259" s="21">
        <f>RANK(H259,H$203:H$346,1)</f>
        <v>0</v>
      </c>
      <c r="J259" s="21">
        <f>MATCH(G259,I$203:I$346,0)</f>
        <v>0</v>
      </c>
      <c r="K259" s="38">
        <f>INDEX(B$203:B$346,J259,1)</f>
        <v>0</v>
      </c>
      <c r="L259" s="38">
        <f>L258+INDEX(C$203:C$346,J259,1)</f>
        <v>0</v>
      </c>
      <c r="M259" s="38">
        <f>M258+(K259-K258)*L258</f>
        <v>0</v>
      </c>
      <c r="N259" s="38">
        <f>IF((M258&gt;0)=(M259&gt;0),"",K259-M259/L258)</f>
        <v>0</v>
      </c>
      <c r="O259" s="17"/>
    </row>
    <row r="260" spans="1:15">
      <c r="A260" s="4" t="s">
        <v>1318</v>
      </c>
      <c r="B260" s="38">
        <f>D131</f>
        <v>0</v>
      </c>
      <c r="C260" s="38">
        <f>D88</f>
        <v>0</v>
      </c>
      <c r="D260" s="38">
        <f>IF(ISERROR(B260),C260,0)</f>
        <v>0</v>
      </c>
      <c r="E260" s="38">
        <f>MAX($B$173,B260)*C260</f>
        <v>0</v>
      </c>
      <c r="F260" s="21">
        <f>RANK(B260,B$203:B$346,1)</f>
        <v>0</v>
      </c>
      <c r="G260" s="37">
        <v>58</v>
      </c>
      <c r="H260" s="21">
        <f>F260*144+G260</f>
        <v>0</v>
      </c>
      <c r="I260" s="21">
        <f>RANK(H260,H$203:H$346,1)</f>
        <v>0</v>
      </c>
      <c r="J260" s="21">
        <f>MATCH(G260,I$203:I$346,0)</f>
        <v>0</v>
      </c>
      <c r="K260" s="38">
        <f>INDEX(B$203:B$346,J260,1)</f>
        <v>0</v>
      </c>
      <c r="L260" s="38">
        <f>L259+INDEX(C$203:C$346,J260,1)</f>
        <v>0</v>
      </c>
      <c r="M260" s="38">
        <f>M259+(K260-K259)*L259</f>
        <v>0</v>
      </c>
      <c r="N260" s="38">
        <f>IF((M259&gt;0)=(M260&gt;0),"",K260-M260/L259)</f>
        <v>0</v>
      </c>
      <c r="O260" s="17"/>
    </row>
    <row r="261" spans="1:15">
      <c r="A261" s="4" t="s">
        <v>1319</v>
      </c>
      <c r="B261" s="38">
        <f>D132</f>
        <v>0</v>
      </c>
      <c r="C261" s="38">
        <f>D89</f>
        <v>0</v>
      </c>
      <c r="D261" s="38">
        <f>IF(ISERROR(B261),C261,0)</f>
        <v>0</v>
      </c>
      <c r="E261" s="38">
        <f>MAX($B$173,B261)*C261</f>
        <v>0</v>
      </c>
      <c r="F261" s="21">
        <f>RANK(B261,B$203:B$346,1)</f>
        <v>0</v>
      </c>
      <c r="G261" s="37">
        <v>59</v>
      </c>
      <c r="H261" s="21">
        <f>F261*144+G261</f>
        <v>0</v>
      </c>
      <c r="I261" s="21">
        <f>RANK(H261,H$203:H$346,1)</f>
        <v>0</v>
      </c>
      <c r="J261" s="21">
        <f>MATCH(G261,I$203:I$346,0)</f>
        <v>0</v>
      </c>
      <c r="K261" s="38">
        <f>INDEX(B$203:B$346,J261,1)</f>
        <v>0</v>
      </c>
      <c r="L261" s="38">
        <f>L260+INDEX(C$203:C$346,J261,1)</f>
        <v>0</v>
      </c>
      <c r="M261" s="38">
        <f>M260+(K261-K260)*L260</f>
        <v>0</v>
      </c>
      <c r="N261" s="38">
        <f>IF((M260&gt;0)=(M261&gt;0),"",K261-M261/L260)</f>
        <v>0</v>
      </c>
      <c r="O261" s="17"/>
    </row>
    <row r="262" spans="1:15">
      <c r="A262" s="4" t="s">
        <v>1320</v>
      </c>
      <c r="B262" s="38">
        <f>D133</f>
        <v>0</v>
      </c>
      <c r="C262" s="38">
        <f>D90</f>
        <v>0</v>
      </c>
      <c r="D262" s="38">
        <f>IF(ISERROR(B262),C262,0)</f>
        <v>0</v>
      </c>
      <c r="E262" s="38">
        <f>MAX($B$173,B262)*C262</f>
        <v>0</v>
      </c>
      <c r="F262" s="21">
        <f>RANK(B262,B$203:B$346,1)</f>
        <v>0</v>
      </c>
      <c r="G262" s="37">
        <v>60</v>
      </c>
      <c r="H262" s="21">
        <f>F262*144+G262</f>
        <v>0</v>
      </c>
      <c r="I262" s="21">
        <f>RANK(H262,H$203:H$346,1)</f>
        <v>0</v>
      </c>
      <c r="J262" s="21">
        <f>MATCH(G262,I$203:I$346,0)</f>
        <v>0</v>
      </c>
      <c r="K262" s="38">
        <f>INDEX(B$203:B$346,J262,1)</f>
        <v>0</v>
      </c>
      <c r="L262" s="38">
        <f>L261+INDEX(C$203:C$346,J262,1)</f>
        <v>0</v>
      </c>
      <c r="M262" s="38">
        <f>M261+(K262-K261)*L261</f>
        <v>0</v>
      </c>
      <c r="N262" s="38">
        <f>IF((M261&gt;0)=(M262&gt;0),"",K262-M262/L261)</f>
        <v>0</v>
      </c>
      <c r="O262" s="17"/>
    </row>
    <row r="263" spans="1:15">
      <c r="A263" s="4" t="s">
        <v>1321</v>
      </c>
      <c r="B263" s="38">
        <f>D134</f>
        <v>0</v>
      </c>
      <c r="C263" s="38">
        <f>D91</f>
        <v>0</v>
      </c>
      <c r="D263" s="38">
        <f>IF(ISERROR(B263),C263,0)</f>
        <v>0</v>
      </c>
      <c r="E263" s="38">
        <f>MAX($B$173,B263)*C263</f>
        <v>0</v>
      </c>
      <c r="F263" s="21">
        <f>RANK(B263,B$203:B$346,1)</f>
        <v>0</v>
      </c>
      <c r="G263" s="37">
        <v>61</v>
      </c>
      <c r="H263" s="21">
        <f>F263*144+G263</f>
        <v>0</v>
      </c>
      <c r="I263" s="21">
        <f>RANK(H263,H$203:H$346,1)</f>
        <v>0</v>
      </c>
      <c r="J263" s="21">
        <f>MATCH(G263,I$203:I$346,0)</f>
        <v>0</v>
      </c>
      <c r="K263" s="38">
        <f>INDEX(B$203:B$346,J263,1)</f>
        <v>0</v>
      </c>
      <c r="L263" s="38">
        <f>L262+INDEX(C$203:C$346,J263,1)</f>
        <v>0</v>
      </c>
      <c r="M263" s="38">
        <f>M262+(K263-K262)*L262</f>
        <v>0</v>
      </c>
      <c r="N263" s="38">
        <f>IF((M262&gt;0)=(M263&gt;0),"",K263-M263/L262)</f>
        <v>0</v>
      </c>
      <c r="O263" s="17"/>
    </row>
    <row r="264" spans="1:15">
      <c r="A264" s="4" t="s">
        <v>1322</v>
      </c>
      <c r="B264" s="38">
        <f>D135</f>
        <v>0</v>
      </c>
      <c r="C264" s="38">
        <f>D92</f>
        <v>0</v>
      </c>
      <c r="D264" s="38">
        <f>IF(ISERROR(B264),C264,0)</f>
        <v>0</v>
      </c>
      <c r="E264" s="38">
        <f>MAX($B$173,B264)*C264</f>
        <v>0</v>
      </c>
      <c r="F264" s="21">
        <f>RANK(B264,B$203:B$346,1)</f>
        <v>0</v>
      </c>
      <c r="G264" s="37">
        <v>62</v>
      </c>
      <c r="H264" s="21">
        <f>F264*144+G264</f>
        <v>0</v>
      </c>
      <c r="I264" s="21">
        <f>RANK(H264,H$203:H$346,1)</f>
        <v>0</v>
      </c>
      <c r="J264" s="21">
        <f>MATCH(G264,I$203:I$346,0)</f>
        <v>0</v>
      </c>
      <c r="K264" s="38">
        <f>INDEX(B$203:B$346,J264,1)</f>
        <v>0</v>
      </c>
      <c r="L264" s="38">
        <f>L263+INDEX(C$203:C$346,J264,1)</f>
        <v>0</v>
      </c>
      <c r="M264" s="38">
        <f>M263+(K264-K263)*L263</f>
        <v>0</v>
      </c>
      <c r="N264" s="38">
        <f>IF((M263&gt;0)=(M264&gt;0),"",K264-M264/L263)</f>
        <v>0</v>
      </c>
      <c r="O264" s="17"/>
    </row>
    <row r="265" spans="1:15">
      <c r="A265" s="4" t="s">
        <v>1323</v>
      </c>
      <c r="B265" s="38">
        <f>D136</f>
        <v>0</v>
      </c>
      <c r="C265" s="38">
        <f>D93</f>
        <v>0</v>
      </c>
      <c r="D265" s="38">
        <f>IF(ISERROR(B265),C265,0)</f>
        <v>0</v>
      </c>
      <c r="E265" s="38">
        <f>MAX($B$173,B265)*C265</f>
        <v>0</v>
      </c>
      <c r="F265" s="21">
        <f>RANK(B265,B$203:B$346,1)</f>
        <v>0</v>
      </c>
      <c r="G265" s="37">
        <v>63</v>
      </c>
      <c r="H265" s="21">
        <f>F265*144+G265</f>
        <v>0</v>
      </c>
      <c r="I265" s="21">
        <f>RANK(H265,H$203:H$346,1)</f>
        <v>0</v>
      </c>
      <c r="J265" s="21">
        <f>MATCH(G265,I$203:I$346,0)</f>
        <v>0</v>
      </c>
      <c r="K265" s="38">
        <f>INDEX(B$203:B$346,J265,1)</f>
        <v>0</v>
      </c>
      <c r="L265" s="38">
        <f>L264+INDEX(C$203:C$346,J265,1)</f>
        <v>0</v>
      </c>
      <c r="M265" s="38">
        <f>M264+(K265-K264)*L264</f>
        <v>0</v>
      </c>
      <c r="N265" s="38">
        <f>IF((M264&gt;0)=(M265&gt;0),"",K265-M265/L264)</f>
        <v>0</v>
      </c>
      <c r="O265" s="17"/>
    </row>
    <row r="266" spans="1:15">
      <c r="A266" s="4" t="s">
        <v>1324</v>
      </c>
      <c r="B266" s="38">
        <f>D137</f>
        <v>0</v>
      </c>
      <c r="C266" s="38">
        <f>D94</f>
        <v>0</v>
      </c>
      <c r="D266" s="38">
        <f>IF(ISERROR(B266),C266,0)</f>
        <v>0</v>
      </c>
      <c r="E266" s="38">
        <f>MAX($B$173,B266)*C266</f>
        <v>0</v>
      </c>
      <c r="F266" s="21">
        <f>RANK(B266,B$203:B$346,1)</f>
        <v>0</v>
      </c>
      <c r="G266" s="37">
        <v>64</v>
      </c>
      <c r="H266" s="21">
        <f>F266*144+G266</f>
        <v>0</v>
      </c>
      <c r="I266" s="21">
        <f>RANK(H266,H$203:H$346,1)</f>
        <v>0</v>
      </c>
      <c r="J266" s="21">
        <f>MATCH(G266,I$203:I$346,0)</f>
        <v>0</v>
      </c>
      <c r="K266" s="38">
        <f>INDEX(B$203:B$346,J266,1)</f>
        <v>0</v>
      </c>
      <c r="L266" s="38">
        <f>L265+INDEX(C$203:C$346,J266,1)</f>
        <v>0</v>
      </c>
      <c r="M266" s="38">
        <f>M265+(K266-K265)*L265</f>
        <v>0</v>
      </c>
      <c r="N266" s="38">
        <f>IF((M265&gt;0)=(M266&gt;0),"",K266-M266/L265)</f>
        <v>0</v>
      </c>
      <c r="O266" s="17"/>
    </row>
    <row r="267" spans="1:15">
      <c r="A267" s="4" t="s">
        <v>1325</v>
      </c>
      <c r="B267" s="38">
        <f>D138</f>
        <v>0</v>
      </c>
      <c r="C267" s="38">
        <f>D95</f>
        <v>0</v>
      </c>
      <c r="D267" s="38">
        <f>IF(ISERROR(B267),C267,0)</f>
        <v>0</v>
      </c>
      <c r="E267" s="38">
        <f>MAX($B$173,B267)*C267</f>
        <v>0</v>
      </c>
      <c r="F267" s="21">
        <f>RANK(B267,B$203:B$346,1)</f>
        <v>0</v>
      </c>
      <c r="G267" s="37">
        <v>65</v>
      </c>
      <c r="H267" s="21">
        <f>F267*144+G267</f>
        <v>0</v>
      </c>
      <c r="I267" s="21">
        <f>RANK(H267,H$203:H$346,1)</f>
        <v>0</v>
      </c>
      <c r="J267" s="21">
        <f>MATCH(G267,I$203:I$346,0)</f>
        <v>0</v>
      </c>
      <c r="K267" s="38">
        <f>INDEX(B$203:B$346,J267,1)</f>
        <v>0</v>
      </c>
      <c r="L267" s="38">
        <f>L266+INDEX(C$203:C$346,J267,1)</f>
        <v>0</v>
      </c>
      <c r="M267" s="38">
        <f>M266+(K267-K266)*L266</f>
        <v>0</v>
      </c>
      <c r="N267" s="38">
        <f>IF((M266&gt;0)=(M267&gt;0),"",K267-M267/L266)</f>
        <v>0</v>
      </c>
      <c r="O267" s="17"/>
    </row>
    <row r="268" spans="1:15">
      <c r="A268" s="4" t="s">
        <v>1326</v>
      </c>
      <c r="B268" s="38">
        <f>D139</f>
        <v>0</v>
      </c>
      <c r="C268" s="38">
        <f>D96</f>
        <v>0</v>
      </c>
      <c r="D268" s="38">
        <f>IF(ISERROR(B268),C268,0)</f>
        <v>0</v>
      </c>
      <c r="E268" s="38">
        <f>MAX($B$173,B268)*C268</f>
        <v>0</v>
      </c>
      <c r="F268" s="21">
        <f>RANK(B268,B$203:B$346,1)</f>
        <v>0</v>
      </c>
      <c r="G268" s="37">
        <v>66</v>
      </c>
      <c r="H268" s="21">
        <f>F268*144+G268</f>
        <v>0</v>
      </c>
      <c r="I268" s="21">
        <f>RANK(H268,H$203:H$346,1)</f>
        <v>0</v>
      </c>
      <c r="J268" s="21">
        <f>MATCH(G268,I$203:I$346,0)</f>
        <v>0</v>
      </c>
      <c r="K268" s="38">
        <f>INDEX(B$203:B$346,J268,1)</f>
        <v>0</v>
      </c>
      <c r="L268" s="38">
        <f>L267+INDEX(C$203:C$346,J268,1)</f>
        <v>0</v>
      </c>
      <c r="M268" s="38">
        <f>M267+(K268-K267)*L267</f>
        <v>0</v>
      </c>
      <c r="N268" s="38">
        <f>IF((M267&gt;0)=(M268&gt;0),"",K268-M268/L267)</f>
        <v>0</v>
      </c>
      <c r="O268" s="17"/>
    </row>
    <row r="269" spans="1:15">
      <c r="A269" s="4" t="s">
        <v>1327</v>
      </c>
      <c r="B269" s="38">
        <f>D140</f>
        <v>0</v>
      </c>
      <c r="C269" s="38">
        <f>D97</f>
        <v>0</v>
      </c>
      <c r="D269" s="38">
        <f>IF(ISERROR(B269),C269,0)</f>
        <v>0</v>
      </c>
      <c r="E269" s="38">
        <f>MAX($B$173,B269)*C269</f>
        <v>0</v>
      </c>
      <c r="F269" s="21">
        <f>RANK(B269,B$203:B$346,1)</f>
        <v>0</v>
      </c>
      <c r="G269" s="37">
        <v>67</v>
      </c>
      <c r="H269" s="21">
        <f>F269*144+G269</f>
        <v>0</v>
      </c>
      <c r="I269" s="21">
        <f>RANK(H269,H$203:H$346,1)</f>
        <v>0</v>
      </c>
      <c r="J269" s="21">
        <f>MATCH(G269,I$203:I$346,0)</f>
        <v>0</v>
      </c>
      <c r="K269" s="38">
        <f>INDEX(B$203:B$346,J269,1)</f>
        <v>0</v>
      </c>
      <c r="L269" s="38">
        <f>L268+INDEX(C$203:C$346,J269,1)</f>
        <v>0</v>
      </c>
      <c r="M269" s="38">
        <f>M268+(K269-K268)*L268</f>
        <v>0</v>
      </c>
      <c r="N269" s="38">
        <f>IF((M268&gt;0)=(M269&gt;0),"",K269-M269/L268)</f>
        <v>0</v>
      </c>
      <c r="O269" s="17"/>
    </row>
    <row r="270" spans="1:15">
      <c r="A270" s="4" t="s">
        <v>1328</v>
      </c>
      <c r="B270" s="38">
        <f>D141</f>
        <v>0</v>
      </c>
      <c r="C270" s="38">
        <f>D98</f>
        <v>0</v>
      </c>
      <c r="D270" s="38">
        <f>IF(ISERROR(B270),C270,0)</f>
        <v>0</v>
      </c>
      <c r="E270" s="38">
        <f>MAX($B$173,B270)*C270</f>
        <v>0</v>
      </c>
      <c r="F270" s="21">
        <f>RANK(B270,B$203:B$346,1)</f>
        <v>0</v>
      </c>
      <c r="G270" s="37">
        <v>68</v>
      </c>
      <c r="H270" s="21">
        <f>F270*144+G270</f>
        <v>0</v>
      </c>
      <c r="I270" s="21">
        <f>RANK(H270,H$203:H$346,1)</f>
        <v>0</v>
      </c>
      <c r="J270" s="21">
        <f>MATCH(G270,I$203:I$346,0)</f>
        <v>0</v>
      </c>
      <c r="K270" s="38">
        <f>INDEX(B$203:B$346,J270,1)</f>
        <v>0</v>
      </c>
      <c r="L270" s="38">
        <f>L269+INDEX(C$203:C$346,J270,1)</f>
        <v>0</v>
      </c>
      <c r="M270" s="38">
        <f>M269+(K270-K269)*L269</f>
        <v>0</v>
      </c>
      <c r="N270" s="38">
        <f>IF((M269&gt;0)=(M270&gt;0),"",K270-M270/L269)</f>
        <v>0</v>
      </c>
      <c r="O270" s="17"/>
    </row>
    <row r="271" spans="1:15">
      <c r="A271" s="4" t="s">
        <v>1329</v>
      </c>
      <c r="B271" s="38">
        <f>D142</f>
        <v>0</v>
      </c>
      <c r="C271" s="38">
        <f>D99</f>
        <v>0</v>
      </c>
      <c r="D271" s="38">
        <f>IF(ISERROR(B271),C271,0)</f>
        <v>0</v>
      </c>
      <c r="E271" s="38">
        <f>MAX($B$173,B271)*C271</f>
        <v>0</v>
      </c>
      <c r="F271" s="21">
        <f>RANK(B271,B$203:B$346,1)</f>
        <v>0</v>
      </c>
      <c r="G271" s="37">
        <v>69</v>
      </c>
      <c r="H271" s="21">
        <f>F271*144+G271</f>
        <v>0</v>
      </c>
      <c r="I271" s="21">
        <f>RANK(H271,H$203:H$346,1)</f>
        <v>0</v>
      </c>
      <c r="J271" s="21">
        <f>MATCH(G271,I$203:I$346,0)</f>
        <v>0</v>
      </c>
      <c r="K271" s="38">
        <f>INDEX(B$203:B$346,J271,1)</f>
        <v>0</v>
      </c>
      <c r="L271" s="38">
        <f>L270+INDEX(C$203:C$346,J271,1)</f>
        <v>0</v>
      </c>
      <c r="M271" s="38">
        <f>M270+(K271-K270)*L270</f>
        <v>0</v>
      </c>
      <c r="N271" s="38">
        <f>IF((M270&gt;0)=(M271&gt;0),"",K271-M271/L270)</f>
        <v>0</v>
      </c>
      <c r="O271" s="17"/>
    </row>
    <row r="272" spans="1:15">
      <c r="A272" s="4" t="s">
        <v>1330</v>
      </c>
      <c r="B272" s="38">
        <f>D143</f>
        <v>0</v>
      </c>
      <c r="C272" s="38">
        <f>D100</f>
        <v>0</v>
      </c>
      <c r="D272" s="38">
        <f>IF(ISERROR(B272),C272,0)</f>
        <v>0</v>
      </c>
      <c r="E272" s="38">
        <f>MAX($B$173,B272)*C272</f>
        <v>0</v>
      </c>
      <c r="F272" s="21">
        <f>RANK(B272,B$203:B$346,1)</f>
        <v>0</v>
      </c>
      <c r="G272" s="37">
        <v>70</v>
      </c>
      <c r="H272" s="21">
        <f>F272*144+G272</f>
        <v>0</v>
      </c>
      <c r="I272" s="21">
        <f>RANK(H272,H$203:H$346,1)</f>
        <v>0</v>
      </c>
      <c r="J272" s="21">
        <f>MATCH(G272,I$203:I$346,0)</f>
        <v>0</v>
      </c>
      <c r="K272" s="38">
        <f>INDEX(B$203:B$346,J272,1)</f>
        <v>0</v>
      </c>
      <c r="L272" s="38">
        <f>L271+INDEX(C$203:C$346,J272,1)</f>
        <v>0</v>
      </c>
      <c r="M272" s="38">
        <f>M271+(K272-K271)*L271</f>
        <v>0</v>
      </c>
      <c r="N272" s="38">
        <f>IF((M271&gt;0)=(M272&gt;0),"",K272-M272/L271)</f>
        <v>0</v>
      </c>
      <c r="O272" s="17"/>
    </row>
    <row r="273" spans="1:15">
      <c r="A273" s="4" t="s">
        <v>1331</v>
      </c>
      <c r="B273" s="38">
        <f>D144</f>
        <v>0</v>
      </c>
      <c r="C273" s="38">
        <f>D101</f>
        <v>0</v>
      </c>
      <c r="D273" s="38">
        <f>IF(ISERROR(B273),C273,0)</f>
        <v>0</v>
      </c>
      <c r="E273" s="38">
        <f>MAX($B$173,B273)*C273</f>
        <v>0</v>
      </c>
      <c r="F273" s="21">
        <f>RANK(B273,B$203:B$346,1)</f>
        <v>0</v>
      </c>
      <c r="G273" s="37">
        <v>71</v>
      </c>
      <c r="H273" s="21">
        <f>F273*144+G273</f>
        <v>0</v>
      </c>
      <c r="I273" s="21">
        <f>RANK(H273,H$203:H$346,1)</f>
        <v>0</v>
      </c>
      <c r="J273" s="21">
        <f>MATCH(G273,I$203:I$346,0)</f>
        <v>0</v>
      </c>
      <c r="K273" s="38">
        <f>INDEX(B$203:B$346,J273,1)</f>
        <v>0</v>
      </c>
      <c r="L273" s="38">
        <f>L272+INDEX(C$203:C$346,J273,1)</f>
        <v>0</v>
      </c>
      <c r="M273" s="38">
        <f>M272+(K273-K272)*L272</f>
        <v>0</v>
      </c>
      <c r="N273" s="38">
        <f>IF((M272&gt;0)=(M273&gt;0),"",K273-M273/L272)</f>
        <v>0</v>
      </c>
      <c r="O273" s="17"/>
    </row>
    <row r="274" spans="1:15">
      <c r="A274" s="4" t="s">
        <v>1332</v>
      </c>
      <c r="B274" s="38">
        <f>D145</f>
        <v>0</v>
      </c>
      <c r="C274" s="38">
        <f>D102</f>
        <v>0</v>
      </c>
      <c r="D274" s="38">
        <f>IF(ISERROR(B274),C274,0)</f>
        <v>0</v>
      </c>
      <c r="E274" s="38">
        <f>MAX($B$173,B274)*C274</f>
        <v>0</v>
      </c>
      <c r="F274" s="21">
        <f>RANK(B274,B$203:B$346,1)</f>
        <v>0</v>
      </c>
      <c r="G274" s="37">
        <v>72</v>
      </c>
      <c r="H274" s="21">
        <f>F274*144+G274</f>
        <v>0</v>
      </c>
      <c r="I274" s="21">
        <f>RANK(H274,H$203:H$346,1)</f>
        <v>0</v>
      </c>
      <c r="J274" s="21">
        <f>MATCH(G274,I$203:I$346,0)</f>
        <v>0</v>
      </c>
      <c r="K274" s="38">
        <f>INDEX(B$203:B$346,J274,1)</f>
        <v>0</v>
      </c>
      <c r="L274" s="38">
        <f>L273+INDEX(C$203:C$346,J274,1)</f>
        <v>0</v>
      </c>
      <c r="M274" s="38">
        <f>M273+(K274-K273)*L273</f>
        <v>0</v>
      </c>
      <c r="N274" s="38">
        <f>IF((M273&gt;0)=(M274&gt;0),"",K274-M274/L273)</f>
        <v>0</v>
      </c>
      <c r="O274" s="17"/>
    </row>
    <row r="275" spans="1:15">
      <c r="A275" s="4" t="s">
        <v>1333</v>
      </c>
      <c r="B275" s="38">
        <f>E122</f>
        <v>0</v>
      </c>
      <c r="C275" s="38">
        <f>E79</f>
        <v>0</v>
      </c>
      <c r="D275" s="38">
        <f>IF(ISERROR(B275),C275,0)</f>
        <v>0</v>
      </c>
      <c r="E275" s="38">
        <f>MAX($B$173,B275)*C275</f>
        <v>0</v>
      </c>
      <c r="F275" s="21">
        <f>RANK(B275,B$203:B$346,1)</f>
        <v>0</v>
      </c>
      <c r="G275" s="37">
        <v>73</v>
      </c>
      <c r="H275" s="21">
        <f>F275*144+G275</f>
        <v>0</v>
      </c>
      <c r="I275" s="21">
        <f>RANK(H275,H$203:H$346,1)</f>
        <v>0</v>
      </c>
      <c r="J275" s="21">
        <f>MATCH(G275,I$203:I$346,0)</f>
        <v>0</v>
      </c>
      <c r="K275" s="38">
        <f>INDEX(B$203:B$346,J275,1)</f>
        <v>0</v>
      </c>
      <c r="L275" s="38">
        <f>L274+INDEX(C$203:C$346,J275,1)</f>
        <v>0</v>
      </c>
      <c r="M275" s="38">
        <f>M274+(K275-K274)*L274</f>
        <v>0</v>
      </c>
      <c r="N275" s="38">
        <f>IF((M274&gt;0)=(M275&gt;0),"",K275-M275/L274)</f>
        <v>0</v>
      </c>
      <c r="O275" s="17"/>
    </row>
    <row r="276" spans="1:15">
      <c r="A276" s="4" t="s">
        <v>1334</v>
      </c>
      <c r="B276" s="38">
        <f>E123</f>
        <v>0</v>
      </c>
      <c r="C276" s="38">
        <f>E80</f>
        <v>0</v>
      </c>
      <c r="D276" s="38">
        <f>IF(ISERROR(B276),C276,0)</f>
        <v>0</v>
      </c>
      <c r="E276" s="38">
        <f>MAX($B$173,B276)*C276</f>
        <v>0</v>
      </c>
      <c r="F276" s="21">
        <f>RANK(B276,B$203:B$346,1)</f>
        <v>0</v>
      </c>
      <c r="G276" s="37">
        <v>74</v>
      </c>
      <c r="H276" s="21">
        <f>F276*144+G276</f>
        <v>0</v>
      </c>
      <c r="I276" s="21">
        <f>RANK(H276,H$203:H$346,1)</f>
        <v>0</v>
      </c>
      <c r="J276" s="21">
        <f>MATCH(G276,I$203:I$346,0)</f>
        <v>0</v>
      </c>
      <c r="K276" s="38">
        <f>INDEX(B$203:B$346,J276,1)</f>
        <v>0</v>
      </c>
      <c r="L276" s="38">
        <f>L275+INDEX(C$203:C$346,J276,1)</f>
        <v>0</v>
      </c>
      <c r="M276" s="38">
        <f>M275+(K276-K275)*L275</f>
        <v>0</v>
      </c>
      <c r="N276" s="38">
        <f>IF((M275&gt;0)=(M276&gt;0),"",K276-M276/L275)</f>
        <v>0</v>
      </c>
      <c r="O276" s="17"/>
    </row>
    <row r="277" spans="1:15">
      <c r="A277" s="4" t="s">
        <v>1335</v>
      </c>
      <c r="B277" s="38">
        <f>E124</f>
        <v>0</v>
      </c>
      <c r="C277" s="38">
        <f>E81</f>
        <v>0</v>
      </c>
      <c r="D277" s="38">
        <f>IF(ISERROR(B277),C277,0)</f>
        <v>0</v>
      </c>
      <c r="E277" s="38">
        <f>MAX($B$173,B277)*C277</f>
        <v>0</v>
      </c>
      <c r="F277" s="21">
        <f>RANK(B277,B$203:B$346,1)</f>
        <v>0</v>
      </c>
      <c r="G277" s="37">
        <v>75</v>
      </c>
      <c r="H277" s="21">
        <f>F277*144+G277</f>
        <v>0</v>
      </c>
      <c r="I277" s="21">
        <f>RANK(H277,H$203:H$346,1)</f>
        <v>0</v>
      </c>
      <c r="J277" s="21">
        <f>MATCH(G277,I$203:I$346,0)</f>
        <v>0</v>
      </c>
      <c r="K277" s="38">
        <f>INDEX(B$203:B$346,J277,1)</f>
        <v>0</v>
      </c>
      <c r="L277" s="38">
        <f>L276+INDEX(C$203:C$346,J277,1)</f>
        <v>0</v>
      </c>
      <c r="M277" s="38">
        <f>M276+(K277-K276)*L276</f>
        <v>0</v>
      </c>
      <c r="N277" s="38">
        <f>IF((M276&gt;0)=(M277&gt;0),"",K277-M277/L276)</f>
        <v>0</v>
      </c>
      <c r="O277" s="17"/>
    </row>
    <row r="278" spans="1:15">
      <c r="A278" s="4" t="s">
        <v>1336</v>
      </c>
      <c r="B278" s="38">
        <f>E125</f>
        <v>0</v>
      </c>
      <c r="C278" s="38">
        <f>E82</f>
        <v>0</v>
      </c>
      <c r="D278" s="38">
        <f>IF(ISERROR(B278),C278,0)</f>
        <v>0</v>
      </c>
      <c r="E278" s="38">
        <f>MAX($B$173,B278)*C278</f>
        <v>0</v>
      </c>
      <c r="F278" s="21">
        <f>RANK(B278,B$203:B$346,1)</f>
        <v>0</v>
      </c>
      <c r="G278" s="37">
        <v>76</v>
      </c>
      <c r="H278" s="21">
        <f>F278*144+G278</f>
        <v>0</v>
      </c>
      <c r="I278" s="21">
        <f>RANK(H278,H$203:H$346,1)</f>
        <v>0</v>
      </c>
      <c r="J278" s="21">
        <f>MATCH(G278,I$203:I$346,0)</f>
        <v>0</v>
      </c>
      <c r="K278" s="38">
        <f>INDEX(B$203:B$346,J278,1)</f>
        <v>0</v>
      </c>
      <c r="L278" s="38">
        <f>L277+INDEX(C$203:C$346,J278,1)</f>
        <v>0</v>
      </c>
      <c r="M278" s="38">
        <f>M277+(K278-K277)*L277</f>
        <v>0</v>
      </c>
      <c r="N278" s="38">
        <f>IF((M277&gt;0)=(M278&gt;0),"",K278-M278/L277)</f>
        <v>0</v>
      </c>
      <c r="O278" s="17"/>
    </row>
    <row r="279" spans="1:15">
      <c r="A279" s="4" t="s">
        <v>1337</v>
      </c>
      <c r="B279" s="38">
        <f>E126</f>
        <v>0</v>
      </c>
      <c r="C279" s="38">
        <f>E83</f>
        <v>0</v>
      </c>
      <c r="D279" s="38">
        <f>IF(ISERROR(B279),C279,0)</f>
        <v>0</v>
      </c>
      <c r="E279" s="38">
        <f>MAX($B$173,B279)*C279</f>
        <v>0</v>
      </c>
      <c r="F279" s="21">
        <f>RANK(B279,B$203:B$346,1)</f>
        <v>0</v>
      </c>
      <c r="G279" s="37">
        <v>77</v>
      </c>
      <c r="H279" s="21">
        <f>F279*144+G279</f>
        <v>0</v>
      </c>
      <c r="I279" s="21">
        <f>RANK(H279,H$203:H$346,1)</f>
        <v>0</v>
      </c>
      <c r="J279" s="21">
        <f>MATCH(G279,I$203:I$346,0)</f>
        <v>0</v>
      </c>
      <c r="K279" s="38">
        <f>INDEX(B$203:B$346,J279,1)</f>
        <v>0</v>
      </c>
      <c r="L279" s="38">
        <f>L278+INDEX(C$203:C$346,J279,1)</f>
        <v>0</v>
      </c>
      <c r="M279" s="38">
        <f>M278+(K279-K278)*L278</f>
        <v>0</v>
      </c>
      <c r="N279" s="38">
        <f>IF((M278&gt;0)=(M279&gt;0),"",K279-M279/L278)</f>
        <v>0</v>
      </c>
      <c r="O279" s="17"/>
    </row>
    <row r="280" spans="1:15">
      <c r="A280" s="4" t="s">
        <v>1338</v>
      </c>
      <c r="B280" s="38">
        <f>E127</f>
        <v>0</v>
      </c>
      <c r="C280" s="38">
        <f>E84</f>
        <v>0</v>
      </c>
      <c r="D280" s="38">
        <f>IF(ISERROR(B280),C280,0)</f>
        <v>0</v>
      </c>
      <c r="E280" s="38">
        <f>MAX($B$173,B280)*C280</f>
        <v>0</v>
      </c>
      <c r="F280" s="21">
        <f>RANK(B280,B$203:B$346,1)</f>
        <v>0</v>
      </c>
      <c r="G280" s="37">
        <v>78</v>
      </c>
      <c r="H280" s="21">
        <f>F280*144+G280</f>
        <v>0</v>
      </c>
      <c r="I280" s="21">
        <f>RANK(H280,H$203:H$346,1)</f>
        <v>0</v>
      </c>
      <c r="J280" s="21">
        <f>MATCH(G280,I$203:I$346,0)</f>
        <v>0</v>
      </c>
      <c r="K280" s="38">
        <f>INDEX(B$203:B$346,J280,1)</f>
        <v>0</v>
      </c>
      <c r="L280" s="38">
        <f>L279+INDEX(C$203:C$346,J280,1)</f>
        <v>0</v>
      </c>
      <c r="M280" s="38">
        <f>M279+(K280-K279)*L279</f>
        <v>0</v>
      </c>
      <c r="N280" s="38">
        <f>IF((M279&gt;0)=(M280&gt;0),"",K280-M280/L279)</f>
        <v>0</v>
      </c>
      <c r="O280" s="17"/>
    </row>
    <row r="281" spans="1:15">
      <c r="A281" s="4" t="s">
        <v>1339</v>
      </c>
      <c r="B281" s="38">
        <f>E128</f>
        <v>0</v>
      </c>
      <c r="C281" s="38">
        <f>E85</f>
        <v>0</v>
      </c>
      <c r="D281" s="38">
        <f>IF(ISERROR(B281),C281,0)</f>
        <v>0</v>
      </c>
      <c r="E281" s="38">
        <f>MAX($B$173,B281)*C281</f>
        <v>0</v>
      </c>
      <c r="F281" s="21">
        <f>RANK(B281,B$203:B$346,1)</f>
        <v>0</v>
      </c>
      <c r="G281" s="37">
        <v>79</v>
      </c>
      <c r="H281" s="21">
        <f>F281*144+G281</f>
        <v>0</v>
      </c>
      <c r="I281" s="21">
        <f>RANK(H281,H$203:H$346,1)</f>
        <v>0</v>
      </c>
      <c r="J281" s="21">
        <f>MATCH(G281,I$203:I$346,0)</f>
        <v>0</v>
      </c>
      <c r="K281" s="38">
        <f>INDEX(B$203:B$346,J281,1)</f>
        <v>0</v>
      </c>
      <c r="L281" s="38">
        <f>L280+INDEX(C$203:C$346,J281,1)</f>
        <v>0</v>
      </c>
      <c r="M281" s="38">
        <f>M280+(K281-K280)*L280</f>
        <v>0</v>
      </c>
      <c r="N281" s="38">
        <f>IF((M280&gt;0)=(M281&gt;0),"",K281-M281/L280)</f>
        <v>0</v>
      </c>
      <c r="O281" s="17"/>
    </row>
    <row r="282" spans="1:15">
      <c r="A282" s="4" t="s">
        <v>1340</v>
      </c>
      <c r="B282" s="38">
        <f>E129</f>
        <v>0</v>
      </c>
      <c r="C282" s="38">
        <f>E86</f>
        <v>0</v>
      </c>
      <c r="D282" s="38">
        <f>IF(ISERROR(B282),C282,0)</f>
        <v>0</v>
      </c>
      <c r="E282" s="38">
        <f>MAX($B$173,B282)*C282</f>
        <v>0</v>
      </c>
      <c r="F282" s="21">
        <f>RANK(B282,B$203:B$346,1)</f>
        <v>0</v>
      </c>
      <c r="G282" s="37">
        <v>80</v>
      </c>
      <c r="H282" s="21">
        <f>F282*144+G282</f>
        <v>0</v>
      </c>
      <c r="I282" s="21">
        <f>RANK(H282,H$203:H$346,1)</f>
        <v>0</v>
      </c>
      <c r="J282" s="21">
        <f>MATCH(G282,I$203:I$346,0)</f>
        <v>0</v>
      </c>
      <c r="K282" s="38">
        <f>INDEX(B$203:B$346,J282,1)</f>
        <v>0</v>
      </c>
      <c r="L282" s="38">
        <f>L281+INDEX(C$203:C$346,J282,1)</f>
        <v>0</v>
      </c>
      <c r="M282" s="38">
        <f>M281+(K282-K281)*L281</f>
        <v>0</v>
      </c>
      <c r="N282" s="38">
        <f>IF((M281&gt;0)=(M282&gt;0),"",K282-M282/L281)</f>
        <v>0</v>
      </c>
      <c r="O282" s="17"/>
    </row>
    <row r="283" spans="1:15">
      <c r="A283" s="4" t="s">
        <v>1341</v>
      </c>
      <c r="B283" s="38">
        <f>E130</f>
        <v>0</v>
      </c>
      <c r="C283" s="38">
        <f>E87</f>
        <v>0</v>
      </c>
      <c r="D283" s="38">
        <f>IF(ISERROR(B283),C283,0)</f>
        <v>0</v>
      </c>
      <c r="E283" s="38">
        <f>MAX($B$173,B283)*C283</f>
        <v>0</v>
      </c>
      <c r="F283" s="21">
        <f>RANK(B283,B$203:B$346,1)</f>
        <v>0</v>
      </c>
      <c r="G283" s="37">
        <v>81</v>
      </c>
      <c r="H283" s="21">
        <f>F283*144+G283</f>
        <v>0</v>
      </c>
      <c r="I283" s="21">
        <f>RANK(H283,H$203:H$346,1)</f>
        <v>0</v>
      </c>
      <c r="J283" s="21">
        <f>MATCH(G283,I$203:I$346,0)</f>
        <v>0</v>
      </c>
      <c r="K283" s="38">
        <f>INDEX(B$203:B$346,J283,1)</f>
        <v>0</v>
      </c>
      <c r="L283" s="38">
        <f>L282+INDEX(C$203:C$346,J283,1)</f>
        <v>0</v>
      </c>
      <c r="M283" s="38">
        <f>M282+(K283-K282)*L282</f>
        <v>0</v>
      </c>
      <c r="N283" s="38">
        <f>IF((M282&gt;0)=(M283&gt;0),"",K283-M283/L282)</f>
        <v>0</v>
      </c>
      <c r="O283" s="17"/>
    </row>
    <row r="284" spans="1:15">
      <c r="A284" s="4" t="s">
        <v>1342</v>
      </c>
      <c r="B284" s="38">
        <f>E131</f>
        <v>0</v>
      </c>
      <c r="C284" s="38">
        <f>E88</f>
        <v>0</v>
      </c>
      <c r="D284" s="38">
        <f>IF(ISERROR(B284),C284,0)</f>
        <v>0</v>
      </c>
      <c r="E284" s="38">
        <f>MAX($B$173,B284)*C284</f>
        <v>0</v>
      </c>
      <c r="F284" s="21">
        <f>RANK(B284,B$203:B$346,1)</f>
        <v>0</v>
      </c>
      <c r="G284" s="37">
        <v>82</v>
      </c>
      <c r="H284" s="21">
        <f>F284*144+G284</f>
        <v>0</v>
      </c>
      <c r="I284" s="21">
        <f>RANK(H284,H$203:H$346,1)</f>
        <v>0</v>
      </c>
      <c r="J284" s="21">
        <f>MATCH(G284,I$203:I$346,0)</f>
        <v>0</v>
      </c>
      <c r="K284" s="38">
        <f>INDEX(B$203:B$346,J284,1)</f>
        <v>0</v>
      </c>
      <c r="L284" s="38">
        <f>L283+INDEX(C$203:C$346,J284,1)</f>
        <v>0</v>
      </c>
      <c r="M284" s="38">
        <f>M283+(K284-K283)*L283</f>
        <v>0</v>
      </c>
      <c r="N284" s="38">
        <f>IF((M283&gt;0)=(M284&gt;0),"",K284-M284/L283)</f>
        <v>0</v>
      </c>
      <c r="O284" s="17"/>
    </row>
    <row r="285" spans="1:15">
      <c r="A285" s="4" t="s">
        <v>1343</v>
      </c>
      <c r="B285" s="38">
        <f>E132</f>
        <v>0</v>
      </c>
      <c r="C285" s="38">
        <f>E89</f>
        <v>0</v>
      </c>
      <c r="D285" s="38">
        <f>IF(ISERROR(B285),C285,0)</f>
        <v>0</v>
      </c>
      <c r="E285" s="38">
        <f>MAX($B$173,B285)*C285</f>
        <v>0</v>
      </c>
      <c r="F285" s="21">
        <f>RANK(B285,B$203:B$346,1)</f>
        <v>0</v>
      </c>
      <c r="G285" s="37">
        <v>83</v>
      </c>
      <c r="H285" s="21">
        <f>F285*144+G285</f>
        <v>0</v>
      </c>
      <c r="I285" s="21">
        <f>RANK(H285,H$203:H$346,1)</f>
        <v>0</v>
      </c>
      <c r="J285" s="21">
        <f>MATCH(G285,I$203:I$346,0)</f>
        <v>0</v>
      </c>
      <c r="K285" s="38">
        <f>INDEX(B$203:B$346,J285,1)</f>
        <v>0</v>
      </c>
      <c r="L285" s="38">
        <f>L284+INDEX(C$203:C$346,J285,1)</f>
        <v>0</v>
      </c>
      <c r="M285" s="38">
        <f>M284+(K285-K284)*L284</f>
        <v>0</v>
      </c>
      <c r="N285" s="38">
        <f>IF((M284&gt;0)=(M285&gt;0),"",K285-M285/L284)</f>
        <v>0</v>
      </c>
      <c r="O285" s="17"/>
    </row>
    <row r="286" spans="1:15">
      <c r="A286" s="4" t="s">
        <v>1344</v>
      </c>
      <c r="B286" s="38">
        <f>E133</f>
        <v>0</v>
      </c>
      <c r="C286" s="38">
        <f>E90</f>
        <v>0</v>
      </c>
      <c r="D286" s="38">
        <f>IF(ISERROR(B286),C286,0)</f>
        <v>0</v>
      </c>
      <c r="E286" s="38">
        <f>MAX($B$173,B286)*C286</f>
        <v>0</v>
      </c>
      <c r="F286" s="21">
        <f>RANK(B286,B$203:B$346,1)</f>
        <v>0</v>
      </c>
      <c r="G286" s="37">
        <v>84</v>
      </c>
      <c r="H286" s="21">
        <f>F286*144+G286</f>
        <v>0</v>
      </c>
      <c r="I286" s="21">
        <f>RANK(H286,H$203:H$346,1)</f>
        <v>0</v>
      </c>
      <c r="J286" s="21">
        <f>MATCH(G286,I$203:I$346,0)</f>
        <v>0</v>
      </c>
      <c r="K286" s="38">
        <f>INDEX(B$203:B$346,J286,1)</f>
        <v>0</v>
      </c>
      <c r="L286" s="38">
        <f>L285+INDEX(C$203:C$346,J286,1)</f>
        <v>0</v>
      </c>
      <c r="M286" s="38">
        <f>M285+(K286-K285)*L285</f>
        <v>0</v>
      </c>
      <c r="N286" s="38">
        <f>IF((M285&gt;0)=(M286&gt;0),"",K286-M286/L285)</f>
        <v>0</v>
      </c>
      <c r="O286" s="17"/>
    </row>
    <row r="287" spans="1:15">
      <c r="A287" s="4" t="s">
        <v>1345</v>
      </c>
      <c r="B287" s="38">
        <f>E134</f>
        <v>0</v>
      </c>
      <c r="C287" s="38">
        <f>E91</f>
        <v>0</v>
      </c>
      <c r="D287" s="38">
        <f>IF(ISERROR(B287),C287,0)</f>
        <v>0</v>
      </c>
      <c r="E287" s="38">
        <f>MAX($B$173,B287)*C287</f>
        <v>0</v>
      </c>
      <c r="F287" s="21">
        <f>RANK(B287,B$203:B$346,1)</f>
        <v>0</v>
      </c>
      <c r="G287" s="37">
        <v>85</v>
      </c>
      <c r="H287" s="21">
        <f>F287*144+G287</f>
        <v>0</v>
      </c>
      <c r="I287" s="21">
        <f>RANK(H287,H$203:H$346,1)</f>
        <v>0</v>
      </c>
      <c r="J287" s="21">
        <f>MATCH(G287,I$203:I$346,0)</f>
        <v>0</v>
      </c>
      <c r="K287" s="38">
        <f>INDEX(B$203:B$346,J287,1)</f>
        <v>0</v>
      </c>
      <c r="L287" s="38">
        <f>L286+INDEX(C$203:C$346,J287,1)</f>
        <v>0</v>
      </c>
      <c r="M287" s="38">
        <f>M286+(K287-K286)*L286</f>
        <v>0</v>
      </c>
      <c r="N287" s="38">
        <f>IF((M286&gt;0)=(M287&gt;0),"",K287-M287/L286)</f>
        <v>0</v>
      </c>
      <c r="O287" s="17"/>
    </row>
    <row r="288" spans="1:15">
      <c r="A288" s="4" t="s">
        <v>1346</v>
      </c>
      <c r="B288" s="38">
        <f>E135</f>
        <v>0</v>
      </c>
      <c r="C288" s="38">
        <f>E92</f>
        <v>0</v>
      </c>
      <c r="D288" s="38">
        <f>IF(ISERROR(B288),C288,0)</f>
        <v>0</v>
      </c>
      <c r="E288" s="38">
        <f>MAX($B$173,B288)*C288</f>
        <v>0</v>
      </c>
      <c r="F288" s="21">
        <f>RANK(B288,B$203:B$346,1)</f>
        <v>0</v>
      </c>
      <c r="G288" s="37">
        <v>86</v>
      </c>
      <c r="H288" s="21">
        <f>F288*144+G288</f>
        <v>0</v>
      </c>
      <c r="I288" s="21">
        <f>RANK(H288,H$203:H$346,1)</f>
        <v>0</v>
      </c>
      <c r="J288" s="21">
        <f>MATCH(G288,I$203:I$346,0)</f>
        <v>0</v>
      </c>
      <c r="K288" s="38">
        <f>INDEX(B$203:B$346,J288,1)</f>
        <v>0</v>
      </c>
      <c r="L288" s="38">
        <f>L287+INDEX(C$203:C$346,J288,1)</f>
        <v>0</v>
      </c>
      <c r="M288" s="38">
        <f>M287+(K288-K287)*L287</f>
        <v>0</v>
      </c>
      <c r="N288" s="38">
        <f>IF((M287&gt;0)=(M288&gt;0),"",K288-M288/L287)</f>
        <v>0</v>
      </c>
      <c r="O288" s="17"/>
    </row>
    <row r="289" spans="1:15">
      <c r="A289" s="4" t="s">
        <v>1347</v>
      </c>
      <c r="B289" s="38">
        <f>E136</f>
        <v>0</v>
      </c>
      <c r="C289" s="38">
        <f>E93</f>
        <v>0</v>
      </c>
      <c r="D289" s="38">
        <f>IF(ISERROR(B289),C289,0)</f>
        <v>0</v>
      </c>
      <c r="E289" s="38">
        <f>MAX($B$173,B289)*C289</f>
        <v>0</v>
      </c>
      <c r="F289" s="21">
        <f>RANK(B289,B$203:B$346,1)</f>
        <v>0</v>
      </c>
      <c r="G289" s="37">
        <v>87</v>
      </c>
      <c r="H289" s="21">
        <f>F289*144+G289</f>
        <v>0</v>
      </c>
      <c r="I289" s="21">
        <f>RANK(H289,H$203:H$346,1)</f>
        <v>0</v>
      </c>
      <c r="J289" s="21">
        <f>MATCH(G289,I$203:I$346,0)</f>
        <v>0</v>
      </c>
      <c r="K289" s="38">
        <f>INDEX(B$203:B$346,J289,1)</f>
        <v>0</v>
      </c>
      <c r="L289" s="38">
        <f>L288+INDEX(C$203:C$346,J289,1)</f>
        <v>0</v>
      </c>
      <c r="M289" s="38">
        <f>M288+(K289-K288)*L288</f>
        <v>0</v>
      </c>
      <c r="N289" s="38">
        <f>IF((M288&gt;0)=(M289&gt;0),"",K289-M289/L288)</f>
        <v>0</v>
      </c>
      <c r="O289" s="17"/>
    </row>
    <row r="290" spans="1:15">
      <c r="A290" s="4" t="s">
        <v>1348</v>
      </c>
      <c r="B290" s="38">
        <f>E137</f>
        <v>0</v>
      </c>
      <c r="C290" s="38">
        <f>E94</f>
        <v>0</v>
      </c>
      <c r="D290" s="38">
        <f>IF(ISERROR(B290),C290,0)</f>
        <v>0</v>
      </c>
      <c r="E290" s="38">
        <f>MAX($B$173,B290)*C290</f>
        <v>0</v>
      </c>
      <c r="F290" s="21">
        <f>RANK(B290,B$203:B$346,1)</f>
        <v>0</v>
      </c>
      <c r="G290" s="37">
        <v>88</v>
      </c>
      <c r="H290" s="21">
        <f>F290*144+G290</f>
        <v>0</v>
      </c>
      <c r="I290" s="21">
        <f>RANK(H290,H$203:H$346,1)</f>
        <v>0</v>
      </c>
      <c r="J290" s="21">
        <f>MATCH(G290,I$203:I$346,0)</f>
        <v>0</v>
      </c>
      <c r="K290" s="38">
        <f>INDEX(B$203:B$346,J290,1)</f>
        <v>0</v>
      </c>
      <c r="L290" s="38">
        <f>L289+INDEX(C$203:C$346,J290,1)</f>
        <v>0</v>
      </c>
      <c r="M290" s="38">
        <f>M289+(K290-K289)*L289</f>
        <v>0</v>
      </c>
      <c r="N290" s="38">
        <f>IF((M289&gt;0)=(M290&gt;0),"",K290-M290/L289)</f>
        <v>0</v>
      </c>
      <c r="O290" s="17"/>
    </row>
    <row r="291" spans="1:15">
      <c r="A291" s="4" t="s">
        <v>1349</v>
      </c>
      <c r="B291" s="38">
        <f>E138</f>
        <v>0</v>
      </c>
      <c r="C291" s="38">
        <f>E95</f>
        <v>0</v>
      </c>
      <c r="D291" s="38">
        <f>IF(ISERROR(B291),C291,0)</f>
        <v>0</v>
      </c>
      <c r="E291" s="38">
        <f>MAX($B$173,B291)*C291</f>
        <v>0</v>
      </c>
      <c r="F291" s="21">
        <f>RANK(B291,B$203:B$346,1)</f>
        <v>0</v>
      </c>
      <c r="G291" s="37">
        <v>89</v>
      </c>
      <c r="H291" s="21">
        <f>F291*144+G291</f>
        <v>0</v>
      </c>
      <c r="I291" s="21">
        <f>RANK(H291,H$203:H$346,1)</f>
        <v>0</v>
      </c>
      <c r="J291" s="21">
        <f>MATCH(G291,I$203:I$346,0)</f>
        <v>0</v>
      </c>
      <c r="K291" s="38">
        <f>INDEX(B$203:B$346,J291,1)</f>
        <v>0</v>
      </c>
      <c r="L291" s="38">
        <f>L290+INDEX(C$203:C$346,J291,1)</f>
        <v>0</v>
      </c>
      <c r="M291" s="38">
        <f>M290+(K291-K290)*L290</f>
        <v>0</v>
      </c>
      <c r="N291" s="38">
        <f>IF((M290&gt;0)=(M291&gt;0),"",K291-M291/L290)</f>
        <v>0</v>
      </c>
      <c r="O291" s="17"/>
    </row>
    <row r="292" spans="1:15">
      <c r="A292" s="4" t="s">
        <v>1350</v>
      </c>
      <c r="B292" s="38">
        <f>E139</f>
        <v>0</v>
      </c>
      <c r="C292" s="38">
        <f>E96</f>
        <v>0</v>
      </c>
      <c r="D292" s="38">
        <f>IF(ISERROR(B292),C292,0)</f>
        <v>0</v>
      </c>
      <c r="E292" s="38">
        <f>MAX($B$173,B292)*C292</f>
        <v>0</v>
      </c>
      <c r="F292" s="21">
        <f>RANK(B292,B$203:B$346,1)</f>
        <v>0</v>
      </c>
      <c r="G292" s="37">
        <v>90</v>
      </c>
      <c r="H292" s="21">
        <f>F292*144+G292</f>
        <v>0</v>
      </c>
      <c r="I292" s="21">
        <f>RANK(H292,H$203:H$346,1)</f>
        <v>0</v>
      </c>
      <c r="J292" s="21">
        <f>MATCH(G292,I$203:I$346,0)</f>
        <v>0</v>
      </c>
      <c r="K292" s="38">
        <f>INDEX(B$203:B$346,J292,1)</f>
        <v>0</v>
      </c>
      <c r="L292" s="38">
        <f>L291+INDEX(C$203:C$346,J292,1)</f>
        <v>0</v>
      </c>
      <c r="M292" s="38">
        <f>M291+(K292-K291)*L291</f>
        <v>0</v>
      </c>
      <c r="N292" s="38">
        <f>IF((M291&gt;0)=(M292&gt;0),"",K292-M292/L291)</f>
        <v>0</v>
      </c>
      <c r="O292" s="17"/>
    </row>
    <row r="293" spans="1:15">
      <c r="A293" s="4" t="s">
        <v>1351</v>
      </c>
      <c r="B293" s="38">
        <f>E140</f>
        <v>0</v>
      </c>
      <c r="C293" s="38">
        <f>E97</f>
        <v>0</v>
      </c>
      <c r="D293" s="38">
        <f>IF(ISERROR(B293),C293,0)</f>
        <v>0</v>
      </c>
      <c r="E293" s="38">
        <f>MAX($B$173,B293)*C293</f>
        <v>0</v>
      </c>
      <c r="F293" s="21">
        <f>RANK(B293,B$203:B$346,1)</f>
        <v>0</v>
      </c>
      <c r="G293" s="37">
        <v>91</v>
      </c>
      <c r="H293" s="21">
        <f>F293*144+G293</f>
        <v>0</v>
      </c>
      <c r="I293" s="21">
        <f>RANK(H293,H$203:H$346,1)</f>
        <v>0</v>
      </c>
      <c r="J293" s="21">
        <f>MATCH(G293,I$203:I$346,0)</f>
        <v>0</v>
      </c>
      <c r="K293" s="38">
        <f>INDEX(B$203:B$346,J293,1)</f>
        <v>0</v>
      </c>
      <c r="L293" s="38">
        <f>L292+INDEX(C$203:C$346,J293,1)</f>
        <v>0</v>
      </c>
      <c r="M293" s="38">
        <f>M292+(K293-K292)*L292</f>
        <v>0</v>
      </c>
      <c r="N293" s="38">
        <f>IF((M292&gt;0)=(M293&gt;0),"",K293-M293/L292)</f>
        <v>0</v>
      </c>
      <c r="O293" s="17"/>
    </row>
    <row r="294" spans="1:15">
      <c r="A294" s="4" t="s">
        <v>1352</v>
      </c>
      <c r="B294" s="38">
        <f>E141</f>
        <v>0</v>
      </c>
      <c r="C294" s="38">
        <f>E98</f>
        <v>0</v>
      </c>
      <c r="D294" s="38">
        <f>IF(ISERROR(B294),C294,0)</f>
        <v>0</v>
      </c>
      <c r="E294" s="38">
        <f>MAX($B$173,B294)*C294</f>
        <v>0</v>
      </c>
      <c r="F294" s="21">
        <f>RANK(B294,B$203:B$346,1)</f>
        <v>0</v>
      </c>
      <c r="G294" s="37">
        <v>92</v>
      </c>
      <c r="H294" s="21">
        <f>F294*144+G294</f>
        <v>0</v>
      </c>
      <c r="I294" s="21">
        <f>RANK(H294,H$203:H$346,1)</f>
        <v>0</v>
      </c>
      <c r="J294" s="21">
        <f>MATCH(G294,I$203:I$346,0)</f>
        <v>0</v>
      </c>
      <c r="K294" s="38">
        <f>INDEX(B$203:B$346,J294,1)</f>
        <v>0</v>
      </c>
      <c r="L294" s="38">
        <f>L293+INDEX(C$203:C$346,J294,1)</f>
        <v>0</v>
      </c>
      <c r="M294" s="38">
        <f>M293+(K294-K293)*L293</f>
        <v>0</v>
      </c>
      <c r="N294" s="38">
        <f>IF((M293&gt;0)=(M294&gt;0),"",K294-M294/L293)</f>
        <v>0</v>
      </c>
      <c r="O294" s="17"/>
    </row>
    <row r="295" spans="1:15">
      <c r="A295" s="4" t="s">
        <v>1353</v>
      </c>
      <c r="B295" s="38">
        <f>E142</f>
        <v>0</v>
      </c>
      <c r="C295" s="38">
        <f>E99</f>
        <v>0</v>
      </c>
      <c r="D295" s="38">
        <f>IF(ISERROR(B295),C295,0)</f>
        <v>0</v>
      </c>
      <c r="E295" s="38">
        <f>MAX($B$173,B295)*C295</f>
        <v>0</v>
      </c>
      <c r="F295" s="21">
        <f>RANK(B295,B$203:B$346,1)</f>
        <v>0</v>
      </c>
      <c r="G295" s="37">
        <v>93</v>
      </c>
      <c r="H295" s="21">
        <f>F295*144+G295</f>
        <v>0</v>
      </c>
      <c r="I295" s="21">
        <f>RANK(H295,H$203:H$346,1)</f>
        <v>0</v>
      </c>
      <c r="J295" s="21">
        <f>MATCH(G295,I$203:I$346,0)</f>
        <v>0</v>
      </c>
      <c r="K295" s="38">
        <f>INDEX(B$203:B$346,J295,1)</f>
        <v>0</v>
      </c>
      <c r="L295" s="38">
        <f>L294+INDEX(C$203:C$346,J295,1)</f>
        <v>0</v>
      </c>
      <c r="M295" s="38">
        <f>M294+(K295-K294)*L294</f>
        <v>0</v>
      </c>
      <c r="N295" s="38">
        <f>IF((M294&gt;0)=(M295&gt;0),"",K295-M295/L294)</f>
        <v>0</v>
      </c>
      <c r="O295" s="17"/>
    </row>
    <row r="296" spans="1:15">
      <c r="A296" s="4" t="s">
        <v>1354</v>
      </c>
      <c r="B296" s="38">
        <f>E143</f>
        <v>0</v>
      </c>
      <c r="C296" s="38">
        <f>E100</f>
        <v>0</v>
      </c>
      <c r="D296" s="38">
        <f>IF(ISERROR(B296),C296,0)</f>
        <v>0</v>
      </c>
      <c r="E296" s="38">
        <f>MAX($B$173,B296)*C296</f>
        <v>0</v>
      </c>
      <c r="F296" s="21">
        <f>RANK(B296,B$203:B$346,1)</f>
        <v>0</v>
      </c>
      <c r="G296" s="37">
        <v>94</v>
      </c>
      <c r="H296" s="21">
        <f>F296*144+G296</f>
        <v>0</v>
      </c>
      <c r="I296" s="21">
        <f>RANK(H296,H$203:H$346,1)</f>
        <v>0</v>
      </c>
      <c r="J296" s="21">
        <f>MATCH(G296,I$203:I$346,0)</f>
        <v>0</v>
      </c>
      <c r="K296" s="38">
        <f>INDEX(B$203:B$346,J296,1)</f>
        <v>0</v>
      </c>
      <c r="L296" s="38">
        <f>L295+INDEX(C$203:C$346,J296,1)</f>
        <v>0</v>
      </c>
      <c r="M296" s="38">
        <f>M295+(K296-K295)*L295</f>
        <v>0</v>
      </c>
      <c r="N296" s="38">
        <f>IF((M295&gt;0)=(M296&gt;0),"",K296-M296/L295)</f>
        <v>0</v>
      </c>
      <c r="O296" s="17"/>
    </row>
    <row r="297" spans="1:15">
      <c r="A297" s="4" t="s">
        <v>1355</v>
      </c>
      <c r="B297" s="38">
        <f>E144</f>
        <v>0</v>
      </c>
      <c r="C297" s="38">
        <f>E101</f>
        <v>0</v>
      </c>
      <c r="D297" s="38">
        <f>IF(ISERROR(B297),C297,0)</f>
        <v>0</v>
      </c>
      <c r="E297" s="38">
        <f>MAX($B$173,B297)*C297</f>
        <v>0</v>
      </c>
      <c r="F297" s="21">
        <f>RANK(B297,B$203:B$346,1)</f>
        <v>0</v>
      </c>
      <c r="G297" s="37">
        <v>95</v>
      </c>
      <c r="H297" s="21">
        <f>F297*144+G297</f>
        <v>0</v>
      </c>
      <c r="I297" s="21">
        <f>RANK(H297,H$203:H$346,1)</f>
        <v>0</v>
      </c>
      <c r="J297" s="21">
        <f>MATCH(G297,I$203:I$346,0)</f>
        <v>0</v>
      </c>
      <c r="K297" s="38">
        <f>INDEX(B$203:B$346,J297,1)</f>
        <v>0</v>
      </c>
      <c r="L297" s="38">
        <f>L296+INDEX(C$203:C$346,J297,1)</f>
        <v>0</v>
      </c>
      <c r="M297" s="38">
        <f>M296+(K297-K296)*L296</f>
        <v>0</v>
      </c>
      <c r="N297" s="38">
        <f>IF((M296&gt;0)=(M297&gt;0),"",K297-M297/L296)</f>
        <v>0</v>
      </c>
      <c r="O297" s="17"/>
    </row>
    <row r="298" spans="1:15">
      <c r="A298" s="4" t="s">
        <v>1356</v>
      </c>
      <c r="B298" s="38">
        <f>E145</f>
        <v>0</v>
      </c>
      <c r="C298" s="38">
        <f>E102</f>
        <v>0</v>
      </c>
      <c r="D298" s="38">
        <f>IF(ISERROR(B298),C298,0)</f>
        <v>0</v>
      </c>
      <c r="E298" s="38">
        <f>MAX($B$173,B298)*C298</f>
        <v>0</v>
      </c>
      <c r="F298" s="21">
        <f>RANK(B298,B$203:B$346,1)</f>
        <v>0</v>
      </c>
      <c r="G298" s="37">
        <v>96</v>
      </c>
      <c r="H298" s="21">
        <f>F298*144+G298</f>
        <v>0</v>
      </c>
      <c r="I298" s="21">
        <f>RANK(H298,H$203:H$346,1)</f>
        <v>0</v>
      </c>
      <c r="J298" s="21">
        <f>MATCH(G298,I$203:I$346,0)</f>
        <v>0</v>
      </c>
      <c r="K298" s="38">
        <f>INDEX(B$203:B$346,J298,1)</f>
        <v>0</v>
      </c>
      <c r="L298" s="38">
        <f>L297+INDEX(C$203:C$346,J298,1)</f>
        <v>0</v>
      </c>
      <c r="M298" s="38">
        <f>M297+(K298-K297)*L297</f>
        <v>0</v>
      </c>
      <c r="N298" s="38">
        <f>IF((M297&gt;0)=(M298&gt;0),"",K298-M298/L297)</f>
        <v>0</v>
      </c>
      <c r="O298" s="17"/>
    </row>
    <row r="299" spans="1:15">
      <c r="A299" s="4" t="s">
        <v>1357</v>
      </c>
      <c r="B299" s="38">
        <f>F122</f>
        <v>0</v>
      </c>
      <c r="C299" s="38">
        <f>F79</f>
        <v>0</v>
      </c>
      <c r="D299" s="38">
        <f>IF(ISERROR(B299),C299,0)</f>
        <v>0</v>
      </c>
      <c r="E299" s="38">
        <f>MAX($B$173,B299)*C299</f>
        <v>0</v>
      </c>
      <c r="F299" s="21">
        <f>RANK(B299,B$203:B$346,1)</f>
        <v>0</v>
      </c>
      <c r="G299" s="37">
        <v>97</v>
      </c>
      <c r="H299" s="21">
        <f>F299*144+G299</f>
        <v>0</v>
      </c>
      <c r="I299" s="21">
        <f>RANK(H299,H$203:H$346,1)</f>
        <v>0</v>
      </c>
      <c r="J299" s="21">
        <f>MATCH(G299,I$203:I$346,0)</f>
        <v>0</v>
      </c>
      <c r="K299" s="38">
        <f>INDEX(B$203:B$346,J299,1)</f>
        <v>0</v>
      </c>
      <c r="L299" s="38">
        <f>L298+INDEX(C$203:C$346,J299,1)</f>
        <v>0</v>
      </c>
      <c r="M299" s="38">
        <f>M298+(K299-K298)*L298</f>
        <v>0</v>
      </c>
      <c r="N299" s="38">
        <f>IF((M298&gt;0)=(M299&gt;0),"",K299-M299/L298)</f>
        <v>0</v>
      </c>
      <c r="O299" s="17"/>
    </row>
    <row r="300" spans="1:15">
      <c r="A300" s="4" t="s">
        <v>1358</v>
      </c>
      <c r="B300" s="38">
        <f>F123</f>
        <v>0</v>
      </c>
      <c r="C300" s="38">
        <f>F80</f>
        <v>0</v>
      </c>
      <c r="D300" s="38">
        <f>IF(ISERROR(B300),C300,0)</f>
        <v>0</v>
      </c>
      <c r="E300" s="38">
        <f>MAX($B$173,B300)*C300</f>
        <v>0</v>
      </c>
      <c r="F300" s="21">
        <f>RANK(B300,B$203:B$346,1)</f>
        <v>0</v>
      </c>
      <c r="G300" s="37">
        <v>98</v>
      </c>
      <c r="H300" s="21">
        <f>F300*144+G300</f>
        <v>0</v>
      </c>
      <c r="I300" s="21">
        <f>RANK(H300,H$203:H$346,1)</f>
        <v>0</v>
      </c>
      <c r="J300" s="21">
        <f>MATCH(G300,I$203:I$346,0)</f>
        <v>0</v>
      </c>
      <c r="K300" s="38">
        <f>INDEX(B$203:B$346,J300,1)</f>
        <v>0</v>
      </c>
      <c r="L300" s="38">
        <f>L299+INDEX(C$203:C$346,J300,1)</f>
        <v>0</v>
      </c>
      <c r="M300" s="38">
        <f>M299+(K300-K299)*L299</f>
        <v>0</v>
      </c>
      <c r="N300" s="38">
        <f>IF((M299&gt;0)=(M300&gt;0),"",K300-M300/L299)</f>
        <v>0</v>
      </c>
      <c r="O300" s="17"/>
    </row>
    <row r="301" spans="1:15">
      <c r="A301" s="4" t="s">
        <v>1359</v>
      </c>
      <c r="B301" s="38">
        <f>F124</f>
        <v>0</v>
      </c>
      <c r="C301" s="38">
        <f>F81</f>
        <v>0</v>
      </c>
      <c r="D301" s="38">
        <f>IF(ISERROR(B301),C301,0)</f>
        <v>0</v>
      </c>
      <c r="E301" s="38">
        <f>MAX($B$173,B301)*C301</f>
        <v>0</v>
      </c>
      <c r="F301" s="21">
        <f>RANK(B301,B$203:B$346,1)</f>
        <v>0</v>
      </c>
      <c r="G301" s="37">
        <v>99</v>
      </c>
      <c r="H301" s="21">
        <f>F301*144+G301</f>
        <v>0</v>
      </c>
      <c r="I301" s="21">
        <f>RANK(H301,H$203:H$346,1)</f>
        <v>0</v>
      </c>
      <c r="J301" s="21">
        <f>MATCH(G301,I$203:I$346,0)</f>
        <v>0</v>
      </c>
      <c r="K301" s="38">
        <f>INDEX(B$203:B$346,J301,1)</f>
        <v>0</v>
      </c>
      <c r="L301" s="38">
        <f>L300+INDEX(C$203:C$346,J301,1)</f>
        <v>0</v>
      </c>
      <c r="M301" s="38">
        <f>M300+(K301-K300)*L300</f>
        <v>0</v>
      </c>
      <c r="N301" s="38">
        <f>IF((M300&gt;0)=(M301&gt;0),"",K301-M301/L300)</f>
        <v>0</v>
      </c>
      <c r="O301" s="17"/>
    </row>
    <row r="302" spans="1:15">
      <c r="A302" s="4" t="s">
        <v>1360</v>
      </c>
      <c r="B302" s="38">
        <f>F125</f>
        <v>0</v>
      </c>
      <c r="C302" s="38">
        <f>F82</f>
        <v>0</v>
      </c>
      <c r="D302" s="38">
        <f>IF(ISERROR(B302),C302,0)</f>
        <v>0</v>
      </c>
      <c r="E302" s="38">
        <f>MAX($B$173,B302)*C302</f>
        <v>0</v>
      </c>
      <c r="F302" s="21">
        <f>RANK(B302,B$203:B$346,1)</f>
        <v>0</v>
      </c>
      <c r="G302" s="37">
        <v>100</v>
      </c>
      <c r="H302" s="21">
        <f>F302*144+G302</f>
        <v>0</v>
      </c>
      <c r="I302" s="21">
        <f>RANK(H302,H$203:H$346,1)</f>
        <v>0</v>
      </c>
      <c r="J302" s="21">
        <f>MATCH(G302,I$203:I$346,0)</f>
        <v>0</v>
      </c>
      <c r="K302" s="38">
        <f>INDEX(B$203:B$346,J302,1)</f>
        <v>0</v>
      </c>
      <c r="L302" s="38">
        <f>L301+INDEX(C$203:C$346,J302,1)</f>
        <v>0</v>
      </c>
      <c r="M302" s="38">
        <f>M301+(K302-K301)*L301</f>
        <v>0</v>
      </c>
      <c r="N302" s="38">
        <f>IF((M301&gt;0)=(M302&gt;0),"",K302-M302/L301)</f>
        <v>0</v>
      </c>
      <c r="O302" s="17"/>
    </row>
    <row r="303" spans="1:15">
      <c r="A303" s="4" t="s">
        <v>1361</v>
      </c>
      <c r="B303" s="38">
        <f>F126</f>
        <v>0</v>
      </c>
      <c r="C303" s="38">
        <f>F83</f>
        <v>0</v>
      </c>
      <c r="D303" s="38">
        <f>IF(ISERROR(B303),C303,0)</f>
        <v>0</v>
      </c>
      <c r="E303" s="38">
        <f>MAX($B$173,B303)*C303</f>
        <v>0</v>
      </c>
      <c r="F303" s="21">
        <f>RANK(B303,B$203:B$346,1)</f>
        <v>0</v>
      </c>
      <c r="G303" s="37">
        <v>101</v>
      </c>
      <c r="H303" s="21">
        <f>F303*144+G303</f>
        <v>0</v>
      </c>
      <c r="I303" s="21">
        <f>RANK(H303,H$203:H$346,1)</f>
        <v>0</v>
      </c>
      <c r="J303" s="21">
        <f>MATCH(G303,I$203:I$346,0)</f>
        <v>0</v>
      </c>
      <c r="K303" s="38">
        <f>INDEX(B$203:B$346,J303,1)</f>
        <v>0</v>
      </c>
      <c r="L303" s="38">
        <f>L302+INDEX(C$203:C$346,J303,1)</f>
        <v>0</v>
      </c>
      <c r="M303" s="38">
        <f>M302+(K303-K302)*L302</f>
        <v>0</v>
      </c>
      <c r="N303" s="38">
        <f>IF((M302&gt;0)=(M303&gt;0),"",K303-M303/L302)</f>
        <v>0</v>
      </c>
      <c r="O303" s="17"/>
    </row>
    <row r="304" spans="1:15">
      <c r="A304" s="4" t="s">
        <v>1362</v>
      </c>
      <c r="B304" s="38">
        <f>F127</f>
        <v>0</v>
      </c>
      <c r="C304" s="38">
        <f>F84</f>
        <v>0</v>
      </c>
      <c r="D304" s="38">
        <f>IF(ISERROR(B304),C304,0)</f>
        <v>0</v>
      </c>
      <c r="E304" s="38">
        <f>MAX($B$173,B304)*C304</f>
        <v>0</v>
      </c>
      <c r="F304" s="21">
        <f>RANK(B304,B$203:B$346,1)</f>
        <v>0</v>
      </c>
      <c r="G304" s="37">
        <v>102</v>
      </c>
      <c r="H304" s="21">
        <f>F304*144+G304</f>
        <v>0</v>
      </c>
      <c r="I304" s="21">
        <f>RANK(H304,H$203:H$346,1)</f>
        <v>0</v>
      </c>
      <c r="J304" s="21">
        <f>MATCH(G304,I$203:I$346,0)</f>
        <v>0</v>
      </c>
      <c r="K304" s="38">
        <f>INDEX(B$203:B$346,J304,1)</f>
        <v>0</v>
      </c>
      <c r="L304" s="38">
        <f>L303+INDEX(C$203:C$346,J304,1)</f>
        <v>0</v>
      </c>
      <c r="M304" s="38">
        <f>M303+(K304-K303)*L303</f>
        <v>0</v>
      </c>
      <c r="N304" s="38">
        <f>IF((M303&gt;0)=(M304&gt;0),"",K304-M304/L303)</f>
        <v>0</v>
      </c>
      <c r="O304" s="17"/>
    </row>
    <row r="305" spans="1:15">
      <c r="A305" s="4" t="s">
        <v>1363</v>
      </c>
      <c r="B305" s="38">
        <f>F128</f>
        <v>0</v>
      </c>
      <c r="C305" s="38">
        <f>F85</f>
        <v>0</v>
      </c>
      <c r="D305" s="38">
        <f>IF(ISERROR(B305),C305,0)</f>
        <v>0</v>
      </c>
      <c r="E305" s="38">
        <f>MAX($B$173,B305)*C305</f>
        <v>0</v>
      </c>
      <c r="F305" s="21">
        <f>RANK(B305,B$203:B$346,1)</f>
        <v>0</v>
      </c>
      <c r="G305" s="37">
        <v>103</v>
      </c>
      <c r="H305" s="21">
        <f>F305*144+G305</f>
        <v>0</v>
      </c>
      <c r="I305" s="21">
        <f>RANK(H305,H$203:H$346,1)</f>
        <v>0</v>
      </c>
      <c r="J305" s="21">
        <f>MATCH(G305,I$203:I$346,0)</f>
        <v>0</v>
      </c>
      <c r="K305" s="38">
        <f>INDEX(B$203:B$346,J305,1)</f>
        <v>0</v>
      </c>
      <c r="L305" s="38">
        <f>L304+INDEX(C$203:C$346,J305,1)</f>
        <v>0</v>
      </c>
      <c r="M305" s="38">
        <f>M304+(K305-K304)*L304</f>
        <v>0</v>
      </c>
      <c r="N305" s="38">
        <f>IF((M304&gt;0)=(M305&gt;0),"",K305-M305/L304)</f>
        <v>0</v>
      </c>
      <c r="O305" s="17"/>
    </row>
    <row r="306" spans="1:15">
      <c r="A306" s="4" t="s">
        <v>1364</v>
      </c>
      <c r="B306" s="38">
        <f>F129</f>
        <v>0</v>
      </c>
      <c r="C306" s="38">
        <f>F86</f>
        <v>0</v>
      </c>
      <c r="D306" s="38">
        <f>IF(ISERROR(B306),C306,0)</f>
        <v>0</v>
      </c>
      <c r="E306" s="38">
        <f>MAX($B$173,B306)*C306</f>
        <v>0</v>
      </c>
      <c r="F306" s="21">
        <f>RANK(B306,B$203:B$346,1)</f>
        <v>0</v>
      </c>
      <c r="G306" s="37">
        <v>104</v>
      </c>
      <c r="H306" s="21">
        <f>F306*144+G306</f>
        <v>0</v>
      </c>
      <c r="I306" s="21">
        <f>RANK(H306,H$203:H$346,1)</f>
        <v>0</v>
      </c>
      <c r="J306" s="21">
        <f>MATCH(G306,I$203:I$346,0)</f>
        <v>0</v>
      </c>
      <c r="K306" s="38">
        <f>INDEX(B$203:B$346,J306,1)</f>
        <v>0</v>
      </c>
      <c r="L306" s="38">
        <f>L305+INDEX(C$203:C$346,J306,1)</f>
        <v>0</v>
      </c>
      <c r="M306" s="38">
        <f>M305+(K306-K305)*L305</f>
        <v>0</v>
      </c>
      <c r="N306" s="38">
        <f>IF((M305&gt;0)=(M306&gt;0),"",K306-M306/L305)</f>
        <v>0</v>
      </c>
      <c r="O306" s="17"/>
    </row>
    <row r="307" spans="1:15">
      <c r="A307" s="4" t="s">
        <v>1365</v>
      </c>
      <c r="B307" s="38">
        <f>F130</f>
        <v>0</v>
      </c>
      <c r="C307" s="38">
        <f>F87</f>
        <v>0</v>
      </c>
      <c r="D307" s="38">
        <f>IF(ISERROR(B307),C307,0)</f>
        <v>0</v>
      </c>
      <c r="E307" s="38">
        <f>MAX($B$173,B307)*C307</f>
        <v>0</v>
      </c>
      <c r="F307" s="21">
        <f>RANK(B307,B$203:B$346,1)</f>
        <v>0</v>
      </c>
      <c r="G307" s="37">
        <v>105</v>
      </c>
      <c r="H307" s="21">
        <f>F307*144+G307</f>
        <v>0</v>
      </c>
      <c r="I307" s="21">
        <f>RANK(H307,H$203:H$346,1)</f>
        <v>0</v>
      </c>
      <c r="J307" s="21">
        <f>MATCH(G307,I$203:I$346,0)</f>
        <v>0</v>
      </c>
      <c r="K307" s="38">
        <f>INDEX(B$203:B$346,J307,1)</f>
        <v>0</v>
      </c>
      <c r="L307" s="38">
        <f>L306+INDEX(C$203:C$346,J307,1)</f>
        <v>0</v>
      </c>
      <c r="M307" s="38">
        <f>M306+(K307-K306)*L306</f>
        <v>0</v>
      </c>
      <c r="N307" s="38">
        <f>IF((M306&gt;0)=(M307&gt;0),"",K307-M307/L306)</f>
        <v>0</v>
      </c>
      <c r="O307" s="17"/>
    </row>
    <row r="308" spans="1:15">
      <c r="A308" s="4" t="s">
        <v>1366</v>
      </c>
      <c r="B308" s="38">
        <f>F131</f>
        <v>0</v>
      </c>
      <c r="C308" s="38">
        <f>F88</f>
        <v>0</v>
      </c>
      <c r="D308" s="38">
        <f>IF(ISERROR(B308),C308,0)</f>
        <v>0</v>
      </c>
      <c r="E308" s="38">
        <f>MAX($B$173,B308)*C308</f>
        <v>0</v>
      </c>
      <c r="F308" s="21">
        <f>RANK(B308,B$203:B$346,1)</f>
        <v>0</v>
      </c>
      <c r="G308" s="37">
        <v>106</v>
      </c>
      <c r="H308" s="21">
        <f>F308*144+G308</f>
        <v>0</v>
      </c>
      <c r="I308" s="21">
        <f>RANK(H308,H$203:H$346,1)</f>
        <v>0</v>
      </c>
      <c r="J308" s="21">
        <f>MATCH(G308,I$203:I$346,0)</f>
        <v>0</v>
      </c>
      <c r="K308" s="38">
        <f>INDEX(B$203:B$346,J308,1)</f>
        <v>0</v>
      </c>
      <c r="L308" s="38">
        <f>L307+INDEX(C$203:C$346,J308,1)</f>
        <v>0</v>
      </c>
      <c r="M308" s="38">
        <f>M307+(K308-K307)*L307</f>
        <v>0</v>
      </c>
      <c r="N308" s="38">
        <f>IF((M307&gt;0)=(M308&gt;0),"",K308-M308/L307)</f>
        <v>0</v>
      </c>
      <c r="O308" s="17"/>
    </row>
    <row r="309" spans="1:15">
      <c r="A309" s="4" t="s">
        <v>1367</v>
      </c>
      <c r="B309" s="38">
        <f>F132</f>
        <v>0</v>
      </c>
      <c r="C309" s="38">
        <f>F89</f>
        <v>0</v>
      </c>
      <c r="D309" s="38">
        <f>IF(ISERROR(B309),C309,0)</f>
        <v>0</v>
      </c>
      <c r="E309" s="38">
        <f>MAX($B$173,B309)*C309</f>
        <v>0</v>
      </c>
      <c r="F309" s="21">
        <f>RANK(B309,B$203:B$346,1)</f>
        <v>0</v>
      </c>
      <c r="G309" s="37">
        <v>107</v>
      </c>
      <c r="H309" s="21">
        <f>F309*144+G309</f>
        <v>0</v>
      </c>
      <c r="I309" s="21">
        <f>RANK(H309,H$203:H$346,1)</f>
        <v>0</v>
      </c>
      <c r="J309" s="21">
        <f>MATCH(G309,I$203:I$346,0)</f>
        <v>0</v>
      </c>
      <c r="K309" s="38">
        <f>INDEX(B$203:B$346,J309,1)</f>
        <v>0</v>
      </c>
      <c r="L309" s="38">
        <f>L308+INDEX(C$203:C$346,J309,1)</f>
        <v>0</v>
      </c>
      <c r="M309" s="38">
        <f>M308+(K309-K308)*L308</f>
        <v>0</v>
      </c>
      <c r="N309" s="38">
        <f>IF((M308&gt;0)=(M309&gt;0),"",K309-M309/L308)</f>
        <v>0</v>
      </c>
      <c r="O309" s="17"/>
    </row>
    <row r="310" spans="1:15">
      <c r="A310" s="4" t="s">
        <v>1368</v>
      </c>
      <c r="B310" s="38">
        <f>F133</f>
        <v>0</v>
      </c>
      <c r="C310" s="38">
        <f>F90</f>
        <v>0</v>
      </c>
      <c r="D310" s="38">
        <f>IF(ISERROR(B310),C310,0)</f>
        <v>0</v>
      </c>
      <c r="E310" s="38">
        <f>MAX($B$173,B310)*C310</f>
        <v>0</v>
      </c>
      <c r="F310" s="21">
        <f>RANK(B310,B$203:B$346,1)</f>
        <v>0</v>
      </c>
      <c r="G310" s="37">
        <v>108</v>
      </c>
      <c r="H310" s="21">
        <f>F310*144+G310</f>
        <v>0</v>
      </c>
      <c r="I310" s="21">
        <f>RANK(H310,H$203:H$346,1)</f>
        <v>0</v>
      </c>
      <c r="J310" s="21">
        <f>MATCH(G310,I$203:I$346,0)</f>
        <v>0</v>
      </c>
      <c r="K310" s="38">
        <f>INDEX(B$203:B$346,J310,1)</f>
        <v>0</v>
      </c>
      <c r="L310" s="38">
        <f>L309+INDEX(C$203:C$346,J310,1)</f>
        <v>0</v>
      </c>
      <c r="M310" s="38">
        <f>M309+(K310-K309)*L309</f>
        <v>0</v>
      </c>
      <c r="N310" s="38">
        <f>IF((M309&gt;0)=(M310&gt;0),"",K310-M310/L309)</f>
        <v>0</v>
      </c>
      <c r="O310" s="17"/>
    </row>
    <row r="311" spans="1:15">
      <c r="A311" s="4" t="s">
        <v>1369</v>
      </c>
      <c r="B311" s="38">
        <f>F134</f>
        <v>0</v>
      </c>
      <c r="C311" s="38">
        <f>F91</f>
        <v>0</v>
      </c>
      <c r="D311" s="38">
        <f>IF(ISERROR(B311),C311,0)</f>
        <v>0</v>
      </c>
      <c r="E311" s="38">
        <f>MAX($B$173,B311)*C311</f>
        <v>0</v>
      </c>
      <c r="F311" s="21">
        <f>RANK(B311,B$203:B$346,1)</f>
        <v>0</v>
      </c>
      <c r="G311" s="37">
        <v>109</v>
      </c>
      <c r="H311" s="21">
        <f>F311*144+G311</f>
        <v>0</v>
      </c>
      <c r="I311" s="21">
        <f>RANK(H311,H$203:H$346,1)</f>
        <v>0</v>
      </c>
      <c r="J311" s="21">
        <f>MATCH(G311,I$203:I$346,0)</f>
        <v>0</v>
      </c>
      <c r="K311" s="38">
        <f>INDEX(B$203:B$346,J311,1)</f>
        <v>0</v>
      </c>
      <c r="L311" s="38">
        <f>L310+INDEX(C$203:C$346,J311,1)</f>
        <v>0</v>
      </c>
      <c r="M311" s="38">
        <f>M310+(K311-K310)*L310</f>
        <v>0</v>
      </c>
      <c r="N311" s="38">
        <f>IF((M310&gt;0)=(M311&gt;0),"",K311-M311/L310)</f>
        <v>0</v>
      </c>
      <c r="O311" s="17"/>
    </row>
    <row r="312" spans="1:15">
      <c r="A312" s="4" t="s">
        <v>1370</v>
      </c>
      <c r="B312" s="38">
        <f>F135</f>
        <v>0</v>
      </c>
      <c r="C312" s="38">
        <f>F92</f>
        <v>0</v>
      </c>
      <c r="D312" s="38">
        <f>IF(ISERROR(B312),C312,0)</f>
        <v>0</v>
      </c>
      <c r="E312" s="38">
        <f>MAX($B$173,B312)*C312</f>
        <v>0</v>
      </c>
      <c r="F312" s="21">
        <f>RANK(B312,B$203:B$346,1)</f>
        <v>0</v>
      </c>
      <c r="G312" s="37">
        <v>110</v>
      </c>
      <c r="H312" s="21">
        <f>F312*144+G312</f>
        <v>0</v>
      </c>
      <c r="I312" s="21">
        <f>RANK(H312,H$203:H$346,1)</f>
        <v>0</v>
      </c>
      <c r="J312" s="21">
        <f>MATCH(G312,I$203:I$346,0)</f>
        <v>0</v>
      </c>
      <c r="K312" s="38">
        <f>INDEX(B$203:B$346,J312,1)</f>
        <v>0</v>
      </c>
      <c r="L312" s="38">
        <f>L311+INDEX(C$203:C$346,J312,1)</f>
        <v>0</v>
      </c>
      <c r="M312" s="38">
        <f>M311+(K312-K311)*L311</f>
        <v>0</v>
      </c>
      <c r="N312" s="38">
        <f>IF((M311&gt;0)=(M312&gt;0),"",K312-M312/L311)</f>
        <v>0</v>
      </c>
      <c r="O312" s="17"/>
    </row>
    <row r="313" spans="1:15">
      <c r="A313" s="4" t="s">
        <v>1371</v>
      </c>
      <c r="B313" s="38">
        <f>F136</f>
        <v>0</v>
      </c>
      <c r="C313" s="38">
        <f>F93</f>
        <v>0</v>
      </c>
      <c r="D313" s="38">
        <f>IF(ISERROR(B313),C313,0)</f>
        <v>0</v>
      </c>
      <c r="E313" s="38">
        <f>MAX($B$173,B313)*C313</f>
        <v>0</v>
      </c>
      <c r="F313" s="21">
        <f>RANK(B313,B$203:B$346,1)</f>
        <v>0</v>
      </c>
      <c r="G313" s="37">
        <v>111</v>
      </c>
      <c r="H313" s="21">
        <f>F313*144+G313</f>
        <v>0</v>
      </c>
      <c r="I313" s="21">
        <f>RANK(H313,H$203:H$346,1)</f>
        <v>0</v>
      </c>
      <c r="J313" s="21">
        <f>MATCH(G313,I$203:I$346,0)</f>
        <v>0</v>
      </c>
      <c r="K313" s="38">
        <f>INDEX(B$203:B$346,J313,1)</f>
        <v>0</v>
      </c>
      <c r="L313" s="38">
        <f>L312+INDEX(C$203:C$346,J313,1)</f>
        <v>0</v>
      </c>
      <c r="M313" s="38">
        <f>M312+(K313-K312)*L312</f>
        <v>0</v>
      </c>
      <c r="N313" s="38">
        <f>IF((M312&gt;0)=(M313&gt;0),"",K313-M313/L312)</f>
        <v>0</v>
      </c>
      <c r="O313" s="17"/>
    </row>
    <row r="314" spans="1:15">
      <c r="A314" s="4" t="s">
        <v>1372</v>
      </c>
      <c r="B314" s="38">
        <f>F137</f>
        <v>0</v>
      </c>
      <c r="C314" s="38">
        <f>F94</f>
        <v>0</v>
      </c>
      <c r="D314" s="38">
        <f>IF(ISERROR(B314),C314,0)</f>
        <v>0</v>
      </c>
      <c r="E314" s="38">
        <f>MAX($B$173,B314)*C314</f>
        <v>0</v>
      </c>
      <c r="F314" s="21">
        <f>RANK(B314,B$203:B$346,1)</f>
        <v>0</v>
      </c>
      <c r="G314" s="37">
        <v>112</v>
      </c>
      <c r="H314" s="21">
        <f>F314*144+G314</f>
        <v>0</v>
      </c>
      <c r="I314" s="21">
        <f>RANK(H314,H$203:H$346,1)</f>
        <v>0</v>
      </c>
      <c r="J314" s="21">
        <f>MATCH(G314,I$203:I$346,0)</f>
        <v>0</v>
      </c>
      <c r="K314" s="38">
        <f>INDEX(B$203:B$346,J314,1)</f>
        <v>0</v>
      </c>
      <c r="L314" s="38">
        <f>L313+INDEX(C$203:C$346,J314,1)</f>
        <v>0</v>
      </c>
      <c r="M314" s="38">
        <f>M313+(K314-K313)*L313</f>
        <v>0</v>
      </c>
      <c r="N314" s="38">
        <f>IF((M313&gt;0)=(M314&gt;0),"",K314-M314/L313)</f>
        <v>0</v>
      </c>
      <c r="O314" s="17"/>
    </row>
    <row r="315" spans="1:15">
      <c r="A315" s="4" t="s">
        <v>1373</v>
      </c>
      <c r="B315" s="38">
        <f>F138</f>
        <v>0</v>
      </c>
      <c r="C315" s="38">
        <f>F95</f>
        <v>0</v>
      </c>
      <c r="D315" s="38">
        <f>IF(ISERROR(B315),C315,0)</f>
        <v>0</v>
      </c>
      <c r="E315" s="38">
        <f>MAX($B$173,B315)*C315</f>
        <v>0</v>
      </c>
      <c r="F315" s="21">
        <f>RANK(B315,B$203:B$346,1)</f>
        <v>0</v>
      </c>
      <c r="G315" s="37">
        <v>113</v>
      </c>
      <c r="H315" s="21">
        <f>F315*144+G315</f>
        <v>0</v>
      </c>
      <c r="I315" s="21">
        <f>RANK(H315,H$203:H$346,1)</f>
        <v>0</v>
      </c>
      <c r="J315" s="21">
        <f>MATCH(G315,I$203:I$346,0)</f>
        <v>0</v>
      </c>
      <c r="K315" s="38">
        <f>INDEX(B$203:B$346,J315,1)</f>
        <v>0</v>
      </c>
      <c r="L315" s="38">
        <f>L314+INDEX(C$203:C$346,J315,1)</f>
        <v>0</v>
      </c>
      <c r="M315" s="38">
        <f>M314+(K315-K314)*L314</f>
        <v>0</v>
      </c>
      <c r="N315" s="38">
        <f>IF((M314&gt;0)=(M315&gt;0),"",K315-M315/L314)</f>
        <v>0</v>
      </c>
      <c r="O315" s="17"/>
    </row>
    <row r="316" spans="1:15">
      <c r="A316" s="4" t="s">
        <v>1374</v>
      </c>
      <c r="B316" s="38">
        <f>F139</f>
        <v>0</v>
      </c>
      <c r="C316" s="38">
        <f>F96</f>
        <v>0</v>
      </c>
      <c r="D316" s="38">
        <f>IF(ISERROR(B316),C316,0)</f>
        <v>0</v>
      </c>
      <c r="E316" s="38">
        <f>MAX($B$173,B316)*C316</f>
        <v>0</v>
      </c>
      <c r="F316" s="21">
        <f>RANK(B316,B$203:B$346,1)</f>
        <v>0</v>
      </c>
      <c r="G316" s="37">
        <v>114</v>
      </c>
      <c r="H316" s="21">
        <f>F316*144+G316</f>
        <v>0</v>
      </c>
      <c r="I316" s="21">
        <f>RANK(H316,H$203:H$346,1)</f>
        <v>0</v>
      </c>
      <c r="J316" s="21">
        <f>MATCH(G316,I$203:I$346,0)</f>
        <v>0</v>
      </c>
      <c r="K316" s="38">
        <f>INDEX(B$203:B$346,J316,1)</f>
        <v>0</v>
      </c>
      <c r="L316" s="38">
        <f>L315+INDEX(C$203:C$346,J316,1)</f>
        <v>0</v>
      </c>
      <c r="M316" s="38">
        <f>M315+(K316-K315)*L315</f>
        <v>0</v>
      </c>
      <c r="N316" s="38">
        <f>IF((M315&gt;0)=(M316&gt;0),"",K316-M316/L315)</f>
        <v>0</v>
      </c>
      <c r="O316" s="17"/>
    </row>
    <row r="317" spans="1:15">
      <c r="A317" s="4" t="s">
        <v>1375</v>
      </c>
      <c r="B317" s="38">
        <f>F140</f>
        <v>0</v>
      </c>
      <c r="C317" s="38">
        <f>F97</f>
        <v>0</v>
      </c>
      <c r="D317" s="38">
        <f>IF(ISERROR(B317),C317,0)</f>
        <v>0</v>
      </c>
      <c r="E317" s="38">
        <f>MAX($B$173,B317)*C317</f>
        <v>0</v>
      </c>
      <c r="F317" s="21">
        <f>RANK(B317,B$203:B$346,1)</f>
        <v>0</v>
      </c>
      <c r="G317" s="37">
        <v>115</v>
      </c>
      <c r="H317" s="21">
        <f>F317*144+G317</f>
        <v>0</v>
      </c>
      <c r="I317" s="21">
        <f>RANK(H317,H$203:H$346,1)</f>
        <v>0</v>
      </c>
      <c r="J317" s="21">
        <f>MATCH(G317,I$203:I$346,0)</f>
        <v>0</v>
      </c>
      <c r="K317" s="38">
        <f>INDEX(B$203:B$346,J317,1)</f>
        <v>0</v>
      </c>
      <c r="L317" s="38">
        <f>L316+INDEX(C$203:C$346,J317,1)</f>
        <v>0</v>
      </c>
      <c r="M317" s="38">
        <f>M316+(K317-K316)*L316</f>
        <v>0</v>
      </c>
      <c r="N317" s="38">
        <f>IF((M316&gt;0)=(M317&gt;0),"",K317-M317/L316)</f>
        <v>0</v>
      </c>
      <c r="O317" s="17"/>
    </row>
    <row r="318" spans="1:15">
      <c r="A318" s="4" t="s">
        <v>1376</v>
      </c>
      <c r="B318" s="38">
        <f>F141</f>
        <v>0</v>
      </c>
      <c r="C318" s="38">
        <f>F98</f>
        <v>0</v>
      </c>
      <c r="D318" s="38">
        <f>IF(ISERROR(B318),C318,0)</f>
        <v>0</v>
      </c>
      <c r="E318" s="38">
        <f>MAX($B$173,B318)*C318</f>
        <v>0</v>
      </c>
      <c r="F318" s="21">
        <f>RANK(B318,B$203:B$346,1)</f>
        <v>0</v>
      </c>
      <c r="G318" s="37">
        <v>116</v>
      </c>
      <c r="H318" s="21">
        <f>F318*144+G318</f>
        <v>0</v>
      </c>
      <c r="I318" s="21">
        <f>RANK(H318,H$203:H$346,1)</f>
        <v>0</v>
      </c>
      <c r="J318" s="21">
        <f>MATCH(G318,I$203:I$346,0)</f>
        <v>0</v>
      </c>
      <c r="K318" s="38">
        <f>INDEX(B$203:B$346,J318,1)</f>
        <v>0</v>
      </c>
      <c r="L318" s="38">
        <f>L317+INDEX(C$203:C$346,J318,1)</f>
        <v>0</v>
      </c>
      <c r="M318" s="38">
        <f>M317+(K318-K317)*L317</f>
        <v>0</v>
      </c>
      <c r="N318" s="38">
        <f>IF((M317&gt;0)=(M318&gt;0),"",K318-M318/L317)</f>
        <v>0</v>
      </c>
      <c r="O318" s="17"/>
    </row>
    <row r="319" spans="1:15">
      <c r="A319" s="4" t="s">
        <v>1377</v>
      </c>
      <c r="B319" s="38">
        <f>F142</f>
        <v>0</v>
      </c>
      <c r="C319" s="38">
        <f>F99</f>
        <v>0</v>
      </c>
      <c r="D319" s="38">
        <f>IF(ISERROR(B319),C319,0)</f>
        <v>0</v>
      </c>
      <c r="E319" s="38">
        <f>MAX($B$173,B319)*C319</f>
        <v>0</v>
      </c>
      <c r="F319" s="21">
        <f>RANK(B319,B$203:B$346,1)</f>
        <v>0</v>
      </c>
      <c r="G319" s="37">
        <v>117</v>
      </c>
      <c r="H319" s="21">
        <f>F319*144+G319</f>
        <v>0</v>
      </c>
      <c r="I319" s="21">
        <f>RANK(H319,H$203:H$346,1)</f>
        <v>0</v>
      </c>
      <c r="J319" s="21">
        <f>MATCH(G319,I$203:I$346,0)</f>
        <v>0</v>
      </c>
      <c r="K319" s="38">
        <f>INDEX(B$203:B$346,J319,1)</f>
        <v>0</v>
      </c>
      <c r="L319" s="38">
        <f>L318+INDEX(C$203:C$346,J319,1)</f>
        <v>0</v>
      </c>
      <c r="M319" s="38">
        <f>M318+(K319-K318)*L318</f>
        <v>0</v>
      </c>
      <c r="N319" s="38">
        <f>IF((M318&gt;0)=(M319&gt;0),"",K319-M319/L318)</f>
        <v>0</v>
      </c>
      <c r="O319" s="17"/>
    </row>
    <row r="320" spans="1:15">
      <c r="A320" s="4" t="s">
        <v>1378</v>
      </c>
      <c r="B320" s="38">
        <f>F143</f>
        <v>0</v>
      </c>
      <c r="C320" s="38">
        <f>F100</f>
        <v>0</v>
      </c>
      <c r="D320" s="38">
        <f>IF(ISERROR(B320),C320,0)</f>
        <v>0</v>
      </c>
      <c r="E320" s="38">
        <f>MAX($B$173,B320)*C320</f>
        <v>0</v>
      </c>
      <c r="F320" s="21">
        <f>RANK(B320,B$203:B$346,1)</f>
        <v>0</v>
      </c>
      <c r="G320" s="37">
        <v>118</v>
      </c>
      <c r="H320" s="21">
        <f>F320*144+G320</f>
        <v>0</v>
      </c>
      <c r="I320" s="21">
        <f>RANK(H320,H$203:H$346,1)</f>
        <v>0</v>
      </c>
      <c r="J320" s="21">
        <f>MATCH(G320,I$203:I$346,0)</f>
        <v>0</v>
      </c>
      <c r="K320" s="38">
        <f>INDEX(B$203:B$346,J320,1)</f>
        <v>0</v>
      </c>
      <c r="L320" s="38">
        <f>L319+INDEX(C$203:C$346,J320,1)</f>
        <v>0</v>
      </c>
      <c r="M320" s="38">
        <f>M319+(K320-K319)*L319</f>
        <v>0</v>
      </c>
      <c r="N320" s="38">
        <f>IF((M319&gt;0)=(M320&gt;0),"",K320-M320/L319)</f>
        <v>0</v>
      </c>
      <c r="O320" s="17"/>
    </row>
    <row r="321" spans="1:15">
      <c r="A321" s="4" t="s">
        <v>1379</v>
      </c>
      <c r="B321" s="38">
        <f>F144</f>
        <v>0</v>
      </c>
      <c r="C321" s="38">
        <f>F101</f>
        <v>0</v>
      </c>
      <c r="D321" s="38">
        <f>IF(ISERROR(B321),C321,0)</f>
        <v>0</v>
      </c>
      <c r="E321" s="38">
        <f>MAX($B$173,B321)*C321</f>
        <v>0</v>
      </c>
      <c r="F321" s="21">
        <f>RANK(B321,B$203:B$346,1)</f>
        <v>0</v>
      </c>
      <c r="G321" s="37">
        <v>119</v>
      </c>
      <c r="H321" s="21">
        <f>F321*144+G321</f>
        <v>0</v>
      </c>
      <c r="I321" s="21">
        <f>RANK(H321,H$203:H$346,1)</f>
        <v>0</v>
      </c>
      <c r="J321" s="21">
        <f>MATCH(G321,I$203:I$346,0)</f>
        <v>0</v>
      </c>
      <c r="K321" s="38">
        <f>INDEX(B$203:B$346,J321,1)</f>
        <v>0</v>
      </c>
      <c r="L321" s="38">
        <f>L320+INDEX(C$203:C$346,J321,1)</f>
        <v>0</v>
      </c>
      <c r="M321" s="38">
        <f>M320+(K321-K320)*L320</f>
        <v>0</v>
      </c>
      <c r="N321" s="38">
        <f>IF((M320&gt;0)=(M321&gt;0),"",K321-M321/L320)</f>
        <v>0</v>
      </c>
      <c r="O321" s="17"/>
    </row>
    <row r="322" spans="1:15">
      <c r="A322" s="4" t="s">
        <v>1380</v>
      </c>
      <c r="B322" s="38">
        <f>F145</f>
        <v>0</v>
      </c>
      <c r="C322" s="38">
        <f>F102</f>
        <v>0</v>
      </c>
      <c r="D322" s="38">
        <f>IF(ISERROR(B322),C322,0)</f>
        <v>0</v>
      </c>
      <c r="E322" s="38">
        <f>MAX($B$173,B322)*C322</f>
        <v>0</v>
      </c>
      <c r="F322" s="21">
        <f>RANK(B322,B$203:B$346,1)</f>
        <v>0</v>
      </c>
      <c r="G322" s="37">
        <v>120</v>
      </c>
      <c r="H322" s="21">
        <f>F322*144+G322</f>
        <v>0</v>
      </c>
      <c r="I322" s="21">
        <f>RANK(H322,H$203:H$346,1)</f>
        <v>0</v>
      </c>
      <c r="J322" s="21">
        <f>MATCH(G322,I$203:I$346,0)</f>
        <v>0</v>
      </c>
      <c r="K322" s="38">
        <f>INDEX(B$203:B$346,J322,1)</f>
        <v>0</v>
      </c>
      <c r="L322" s="38">
        <f>L321+INDEX(C$203:C$346,J322,1)</f>
        <v>0</v>
      </c>
      <c r="M322" s="38">
        <f>M321+(K322-K321)*L321</f>
        <v>0</v>
      </c>
      <c r="N322" s="38">
        <f>IF((M321&gt;0)=(M322&gt;0),"",K322-M322/L321)</f>
        <v>0</v>
      </c>
      <c r="O322" s="17"/>
    </row>
    <row r="323" spans="1:15">
      <c r="A323" s="4" t="s">
        <v>1381</v>
      </c>
      <c r="B323" s="38">
        <f>G122</f>
        <v>0</v>
      </c>
      <c r="C323" s="38">
        <f>G79</f>
        <v>0</v>
      </c>
      <c r="D323" s="38">
        <f>IF(ISERROR(B323),C323,0)</f>
        <v>0</v>
      </c>
      <c r="E323" s="38">
        <f>MAX($B$173,B323)*C323</f>
        <v>0</v>
      </c>
      <c r="F323" s="21">
        <f>RANK(B323,B$203:B$346,1)</f>
        <v>0</v>
      </c>
      <c r="G323" s="37">
        <v>121</v>
      </c>
      <c r="H323" s="21">
        <f>F323*144+G323</f>
        <v>0</v>
      </c>
      <c r="I323" s="21">
        <f>RANK(H323,H$203:H$346,1)</f>
        <v>0</v>
      </c>
      <c r="J323" s="21">
        <f>MATCH(G323,I$203:I$346,0)</f>
        <v>0</v>
      </c>
      <c r="K323" s="38">
        <f>INDEX(B$203:B$346,J323,1)</f>
        <v>0</v>
      </c>
      <c r="L323" s="38">
        <f>L322+INDEX(C$203:C$346,J323,1)</f>
        <v>0</v>
      </c>
      <c r="M323" s="38">
        <f>M322+(K323-K322)*L322</f>
        <v>0</v>
      </c>
      <c r="N323" s="38">
        <f>IF((M322&gt;0)=(M323&gt;0),"",K323-M323/L322)</f>
        <v>0</v>
      </c>
      <c r="O323" s="17"/>
    </row>
    <row r="324" spans="1:15">
      <c r="A324" s="4" t="s">
        <v>1382</v>
      </c>
      <c r="B324" s="38">
        <f>G123</f>
        <v>0</v>
      </c>
      <c r="C324" s="38">
        <f>G80</f>
        <v>0</v>
      </c>
      <c r="D324" s="38">
        <f>IF(ISERROR(B324),C324,0)</f>
        <v>0</v>
      </c>
      <c r="E324" s="38">
        <f>MAX($B$173,B324)*C324</f>
        <v>0</v>
      </c>
      <c r="F324" s="21">
        <f>RANK(B324,B$203:B$346,1)</f>
        <v>0</v>
      </c>
      <c r="G324" s="37">
        <v>122</v>
      </c>
      <c r="H324" s="21">
        <f>F324*144+G324</f>
        <v>0</v>
      </c>
      <c r="I324" s="21">
        <f>RANK(H324,H$203:H$346,1)</f>
        <v>0</v>
      </c>
      <c r="J324" s="21">
        <f>MATCH(G324,I$203:I$346,0)</f>
        <v>0</v>
      </c>
      <c r="K324" s="38">
        <f>INDEX(B$203:B$346,J324,1)</f>
        <v>0</v>
      </c>
      <c r="L324" s="38">
        <f>L323+INDEX(C$203:C$346,J324,1)</f>
        <v>0</v>
      </c>
      <c r="M324" s="38">
        <f>M323+(K324-K323)*L323</f>
        <v>0</v>
      </c>
      <c r="N324" s="38">
        <f>IF((M323&gt;0)=(M324&gt;0),"",K324-M324/L323)</f>
        <v>0</v>
      </c>
      <c r="O324" s="17"/>
    </row>
    <row r="325" spans="1:15">
      <c r="A325" s="4" t="s">
        <v>1383</v>
      </c>
      <c r="B325" s="38">
        <f>G124</f>
        <v>0</v>
      </c>
      <c r="C325" s="38">
        <f>G81</f>
        <v>0</v>
      </c>
      <c r="D325" s="38">
        <f>IF(ISERROR(B325),C325,0)</f>
        <v>0</v>
      </c>
      <c r="E325" s="38">
        <f>MAX($B$173,B325)*C325</f>
        <v>0</v>
      </c>
      <c r="F325" s="21">
        <f>RANK(B325,B$203:B$346,1)</f>
        <v>0</v>
      </c>
      <c r="G325" s="37">
        <v>123</v>
      </c>
      <c r="H325" s="21">
        <f>F325*144+G325</f>
        <v>0</v>
      </c>
      <c r="I325" s="21">
        <f>RANK(H325,H$203:H$346,1)</f>
        <v>0</v>
      </c>
      <c r="J325" s="21">
        <f>MATCH(G325,I$203:I$346,0)</f>
        <v>0</v>
      </c>
      <c r="K325" s="38">
        <f>INDEX(B$203:B$346,J325,1)</f>
        <v>0</v>
      </c>
      <c r="L325" s="38">
        <f>L324+INDEX(C$203:C$346,J325,1)</f>
        <v>0</v>
      </c>
      <c r="M325" s="38">
        <f>M324+(K325-K324)*L324</f>
        <v>0</v>
      </c>
      <c r="N325" s="38">
        <f>IF((M324&gt;0)=(M325&gt;0),"",K325-M325/L324)</f>
        <v>0</v>
      </c>
      <c r="O325" s="17"/>
    </row>
    <row r="326" spans="1:15">
      <c r="A326" s="4" t="s">
        <v>1384</v>
      </c>
      <c r="B326" s="38">
        <f>G125</f>
        <v>0</v>
      </c>
      <c r="C326" s="38">
        <f>G82</f>
        <v>0</v>
      </c>
      <c r="D326" s="38">
        <f>IF(ISERROR(B326),C326,0)</f>
        <v>0</v>
      </c>
      <c r="E326" s="38">
        <f>MAX($B$173,B326)*C326</f>
        <v>0</v>
      </c>
      <c r="F326" s="21">
        <f>RANK(B326,B$203:B$346,1)</f>
        <v>0</v>
      </c>
      <c r="G326" s="37">
        <v>124</v>
      </c>
      <c r="H326" s="21">
        <f>F326*144+G326</f>
        <v>0</v>
      </c>
      <c r="I326" s="21">
        <f>RANK(H326,H$203:H$346,1)</f>
        <v>0</v>
      </c>
      <c r="J326" s="21">
        <f>MATCH(G326,I$203:I$346,0)</f>
        <v>0</v>
      </c>
      <c r="K326" s="38">
        <f>INDEX(B$203:B$346,J326,1)</f>
        <v>0</v>
      </c>
      <c r="L326" s="38">
        <f>L325+INDEX(C$203:C$346,J326,1)</f>
        <v>0</v>
      </c>
      <c r="M326" s="38">
        <f>M325+(K326-K325)*L325</f>
        <v>0</v>
      </c>
      <c r="N326" s="38">
        <f>IF((M325&gt;0)=(M326&gt;0),"",K326-M326/L325)</f>
        <v>0</v>
      </c>
      <c r="O326" s="17"/>
    </row>
    <row r="327" spans="1:15">
      <c r="A327" s="4" t="s">
        <v>1385</v>
      </c>
      <c r="B327" s="38">
        <f>G126</f>
        <v>0</v>
      </c>
      <c r="C327" s="38">
        <f>G83</f>
        <v>0</v>
      </c>
      <c r="D327" s="38">
        <f>IF(ISERROR(B327),C327,0)</f>
        <v>0</v>
      </c>
      <c r="E327" s="38">
        <f>MAX($B$173,B327)*C327</f>
        <v>0</v>
      </c>
      <c r="F327" s="21">
        <f>RANK(B327,B$203:B$346,1)</f>
        <v>0</v>
      </c>
      <c r="G327" s="37">
        <v>125</v>
      </c>
      <c r="H327" s="21">
        <f>F327*144+G327</f>
        <v>0</v>
      </c>
      <c r="I327" s="21">
        <f>RANK(H327,H$203:H$346,1)</f>
        <v>0</v>
      </c>
      <c r="J327" s="21">
        <f>MATCH(G327,I$203:I$346,0)</f>
        <v>0</v>
      </c>
      <c r="K327" s="38">
        <f>INDEX(B$203:B$346,J327,1)</f>
        <v>0</v>
      </c>
      <c r="L327" s="38">
        <f>L326+INDEX(C$203:C$346,J327,1)</f>
        <v>0</v>
      </c>
      <c r="M327" s="38">
        <f>M326+(K327-K326)*L326</f>
        <v>0</v>
      </c>
      <c r="N327" s="38">
        <f>IF((M326&gt;0)=(M327&gt;0),"",K327-M327/L326)</f>
        <v>0</v>
      </c>
      <c r="O327" s="17"/>
    </row>
    <row r="328" spans="1:15">
      <c r="A328" s="4" t="s">
        <v>1386</v>
      </c>
      <c r="B328" s="38">
        <f>G127</f>
        <v>0</v>
      </c>
      <c r="C328" s="38">
        <f>G84</f>
        <v>0</v>
      </c>
      <c r="D328" s="38">
        <f>IF(ISERROR(B328),C328,0)</f>
        <v>0</v>
      </c>
      <c r="E328" s="38">
        <f>MAX($B$173,B328)*C328</f>
        <v>0</v>
      </c>
      <c r="F328" s="21">
        <f>RANK(B328,B$203:B$346,1)</f>
        <v>0</v>
      </c>
      <c r="G328" s="37">
        <v>126</v>
      </c>
      <c r="H328" s="21">
        <f>F328*144+G328</f>
        <v>0</v>
      </c>
      <c r="I328" s="21">
        <f>RANK(H328,H$203:H$346,1)</f>
        <v>0</v>
      </c>
      <c r="J328" s="21">
        <f>MATCH(G328,I$203:I$346,0)</f>
        <v>0</v>
      </c>
      <c r="K328" s="38">
        <f>INDEX(B$203:B$346,J328,1)</f>
        <v>0</v>
      </c>
      <c r="L328" s="38">
        <f>L327+INDEX(C$203:C$346,J328,1)</f>
        <v>0</v>
      </c>
      <c r="M328" s="38">
        <f>M327+(K328-K327)*L327</f>
        <v>0</v>
      </c>
      <c r="N328" s="38">
        <f>IF((M327&gt;0)=(M328&gt;0),"",K328-M328/L327)</f>
        <v>0</v>
      </c>
      <c r="O328" s="17"/>
    </row>
    <row r="329" spans="1:15">
      <c r="A329" s="4" t="s">
        <v>1387</v>
      </c>
      <c r="B329" s="38">
        <f>G128</f>
        <v>0</v>
      </c>
      <c r="C329" s="38">
        <f>G85</f>
        <v>0</v>
      </c>
      <c r="D329" s="38">
        <f>IF(ISERROR(B329),C329,0)</f>
        <v>0</v>
      </c>
      <c r="E329" s="38">
        <f>MAX($B$173,B329)*C329</f>
        <v>0</v>
      </c>
      <c r="F329" s="21">
        <f>RANK(B329,B$203:B$346,1)</f>
        <v>0</v>
      </c>
      <c r="G329" s="37">
        <v>127</v>
      </c>
      <c r="H329" s="21">
        <f>F329*144+G329</f>
        <v>0</v>
      </c>
      <c r="I329" s="21">
        <f>RANK(H329,H$203:H$346,1)</f>
        <v>0</v>
      </c>
      <c r="J329" s="21">
        <f>MATCH(G329,I$203:I$346,0)</f>
        <v>0</v>
      </c>
      <c r="K329" s="38">
        <f>INDEX(B$203:B$346,J329,1)</f>
        <v>0</v>
      </c>
      <c r="L329" s="38">
        <f>L328+INDEX(C$203:C$346,J329,1)</f>
        <v>0</v>
      </c>
      <c r="M329" s="38">
        <f>M328+(K329-K328)*L328</f>
        <v>0</v>
      </c>
      <c r="N329" s="38">
        <f>IF((M328&gt;0)=(M329&gt;0),"",K329-M329/L328)</f>
        <v>0</v>
      </c>
      <c r="O329" s="17"/>
    </row>
    <row r="330" spans="1:15">
      <c r="A330" s="4" t="s">
        <v>1388</v>
      </c>
      <c r="B330" s="38">
        <f>G129</f>
        <v>0</v>
      </c>
      <c r="C330" s="38">
        <f>G86</f>
        <v>0</v>
      </c>
      <c r="D330" s="38">
        <f>IF(ISERROR(B330),C330,0)</f>
        <v>0</v>
      </c>
      <c r="E330" s="38">
        <f>MAX($B$173,B330)*C330</f>
        <v>0</v>
      </c>
      <c r="F330" s="21">
        <f>RANK(B330,B$203:B$346,1)</f>
        <v>0</v>
      </c>
      <c r="G330" s="37">
        <v>128</v>
      </c>
      <c r="H330" s="21">
        <f>F330*144+G330</f>
        <v>0</v>
      </c>
      <c r="I330" s="21">
        <f>RANK(H330,H$203:H$346,1)</f>
        <v>0</v>
      </c>
      <c r="J330" s="21">
        <f>MATCH(G330,I$203:I$346,0)</f>
        <v>0</v>
      </c>
      <c r="K330" s="38">
        <f>INDEX(B$203:B$346,J330,1)</f>
        <v>0</v>
      </c>
      <c r="L330" s="38">
        <f>L329+INDEX(C$203:C$346,J330,1)</f>
        <v>0</v>
      </c>
      <c r="M330" s="38">
        <f>M329+(K330-K329)*L329</f>
        <v>0</v>
      </c>
      <c r="N330" s="38">
        <f>IF((M329&gt;0)=(M330&gt;0),"",K330-M330/L329)</f>
        <v>0</v>
      </c>
      <c r="O330" s="17"/>
    </row>
    <row r="331" spans="1:15">
      <c r="A331" s="4" t="s">
        <v>1389</v>
      </c>
      <c r="B331" s="38">
        <f>G130</f>
        <v>0</v>
      </c>
      <c r="C331" s="38">
        <f>G87</f>
        <v>0</v>
      </c>
      <c r="D331" s="38">
        <f>IF(ISERROR(B331),C331,0)</f>
        <v>0</v>
      </c>
      <c r="E331" s="38">
        <f>MAX($B$173,B331)*C331</f>
        <v>0</v>
      </c>
      <c r="F331" s="21">
        <f>RANK(B331,B$203:B$346,1)</f>
        <v>0</v>
      </c>
      <c r="G331" s="37">
        <v>129</v>
      </c>
      <c r="H331" s="21">
        <f>F331*144+G331</f>
        <v>0</v>
      </c>
      <c r="I331" s="21">
        <f>RANK(H331,H$203:H$346,1)</f>
        <v>0</v>
      </c>
      <c r="J331" s="21">
        <f>MATCH(G331,I$203:I$346,0)</f>
        <v>0</v>
      </c>
      <c r="K331" s="38">
        <f>INDEX(B$203:B$346,J331,1)</f>
        <v>0</v>
      </c>
      <c r="L331" s="38">
        <f>L330+INDEX(C$203:C$346,J331,1)</f>
        <v>0</v>
      </c>
      <c r="M331" s="38">
        <f>M330+(K331-K330)*L330</f>
        <v>0</v>
      </c>
      <c r="N331" s="38">
        <f>IF((M330&gt;0)=(M331&gt;0),"",K331-M331/L330)</f>
        <v>0</v>
      </c>
      <c r="O331" s="17"/>
    </row>
    <row r="332" spans="1:15">
      <c r="A332" s="4" t="s">
        <v>1390</v>
      </c>
      <c r="B332" s="38">
        <f>G131</f>
        <v>0</v>
      </c>
      <c r="C332" s="38">
        <f>G88</f>
        <v>0</v>
      </c>
      <c r="D332" s="38">
        <f>IF(ISERROR(B332),C332,0)</f>
        <v>0</v>
      </c>
      <c r="E332" s="38">
        <f>MAX($B$173,B332)*C332</f>
        <v>0</v>
      </c>
      <c r="F332" s="21">
        <f>RANK(B332,B$203:B$346,1)</f>
        <v>0</v>
      </c>
      <c r="G332" s="37">
        <v>130</v>
      </c>
      <c r="H332" s="21">
        <f>F332*144+G332</f>
        <v>0</v>
      </c>
      <c r="I332" s="21">
        <f>RANK(H332,H$203:H$346,1)</f>
        <v>0</v>
      </c>
      <c r="J332" s="21">
        <f>MATCH(G332,I$203:I$346,0)</f>
        <v>0</v>
      </c>
      <c r="K332" s="38">
        <f>INDEX(B$203:B$346,J332,1)</f>
        <v>0</v>
      </c>
      <c r="L332" s="38">
        <f>L331+INDEX(C$203:C$346,J332,1)</f>
        <v>0</v>
      </c>
      <c r="M332" s="38">
        <f>M331+(K332-K331)*L331</f>
        <v>0</v>
      </c>
      <c r="N332" s="38">
        <f>IF((M331&gt;0)=(M332&gt;0),"",K332-M332/L331)</f>
        <v>0</v>
      </c>
      <c r="O332" s="17"/>
    </row>
    <row r="333" spans="1:15">
      <c r="A333" s="4" t="s">
        <v>1391</v>
      </c>
      <c r="B333" s="38">
        <f>G132</f>
        <v>0</v>
      </c>
      <c r="C333" s="38">
        <f>G89</f>
        <v>0</v>
      </c>
      <c r="D333" s="38">
        <f>IF(ISERROR(B333),C333,0)</f>
        <v>0</v>
      </c>
      <c r="E333" s="38">
        <f>MAX($B$173,B333)*C333</f>
        <v>0</v>
      </c>
      <c r="F333" s="21">
        <f>RANK(B333,B$203:B$346,1)</f>
        <v>0</v>
      </c>
      <c r="G333" s="37">
        <v>131</v>
      </c>
      <c r="H333" s="21">
        <f>F333*144+G333</f>
        <v>0</v>
      </c>
      <c r="I333" s="21">
        <f>RANK(H333,H$203:H$346,1)</f>
        <v>0</v>
      </c>
      <c r="J333" s="21">
        <f>MATCH(G333,I$203:I$346,0)</f>
        <v>0</v>
      </c>
      <c r="K333" s="38">
        <f>INDEX(B$203:B$346,J333,1)</f>
        <v>0</v>
      </c>
      <c r="L333" s="38">
        <f>L332+INDEX(C$203:C$346,J333,1)</f>
        <v>0</v>
      </c>
      <c r="M333" s="38">
        <f>M332+(K333-K332)*L332</f>
        <v>0</v>
      </c>
      <c r="N333" s="38">
        <f>IF((M332&gt;0)=(M333&gt;0),"",K333-M333/L332)</f>
        <v>0</v>
      </c>
      <c r="O333" s="17"/>
    </row>
    <row r="334" spans="1:15">
      <c r="A334" s="4" t="s">
        <v>1392</v>
      </c>
      <c r="B334" s="38">
        <f>G133</f>
        <v>0</v>
      </c>
      <c r="C334" s="38">
        <f>G90</f>
        <v>0</v>
      </c>
      <c r="D334" s="38">
        <f>IF(ISERROR(B334),C334,0)</f>
        <v>0</v>
      </c>
      <c r="E334" s="38">
        <f>MAX($B$173,B334)*C334</f>
        <v>0</v>
      </c>
      <c r="F334" s="21">
        <f>RANK(B334,B$203:B$346,1)</f>
        <v>0</v>
      </c>
      <c r="G334" s="37">
        <v>132</v>
      </c>
      <c r="H334" s="21">
        <f>F334*144+G334</f>
        <v>0</v>
      </c>
      <c r="I334" s="21">
        <f>RANK(H334,H$203:H$346,1)</f>
        <v>0</v>
      </c>
      <c r="J334" s="21">
        <f>MATCH(G334,I$203:I$346,0)</f>
        <v>0</v>
      </c>
      <c r="K334" s="38">
        <f>INDEX(B$203:B$346,J334,1)</f>
        <v>0</v>
      </c>
      <c r="L334" s="38">
        <f>L333+INDEX(C$203:C$346,J334,1)</f>
        <v>0</v>
      </c>
      <c r="M334" s="38">
        <f>M333+(K334-K333)*L333</f>
        <v>0</v>
      </c>
      <c r="N334" s="38">
        <f>IF((M333&gt;0)=(M334&gt;0),"",K334-M334/L333)</f>
        <v>0</v>
      </c>
      <c r="O334" s="17"/>
    </row>
    <row r="335" spans="1:15">
      <c r="A335" s="4" t="s">
        <v>1393</v>
      </c>
      <c r="B335" s="38">
        <f>G134</f>
        <v>0</v>
      </c>
      <c r="C335" s="38">
        <f>G91</f>
        <v>0</v>
      </c>
      <c r="D335" s="38">
        <f>IF(ISERROR(B335),C335,0)</f>
        <v>0</v>
      </c>
      <c r="E335" s="38">
        <f>MAX($B$173,B335)*C335</f>
        <v>0</v>
      </c>
      <c r="F335" s="21">
        <f>RANK(B335,B$203:B$346,1)</f>
        <v>0</v>
      </c>
      <c r="G335" s="37">
        <v>133</v>
      </c>
      <c r="H335" s="21">
        <f>F335*144+G335</f>
        <v>0</v>
      </c>
      <c r="I335" s="21">
        <f>RANK(H335,H$203:H$346,1)</f>
        <v>0</v>
      </c>
      <c r="J335" s="21">
        <f>MATCH(G335,I$203:I$346,0)</f>
        <v>0</v>
      </c>
      <c r="K335" s="38">
        <f>INDEX(B$203:B$346,J335,1)</f>
        <v>0</v>
      </c>
      <c r="L335" s="38">
        <f>L334+INDEX(C$203:C$346,J335,1)</f>
        <v>0</v>
      </c>
      <c r="M335" s="38">
        <f>M334+(K335-K334)*L334</f>
        <v>0</v>
      </c>
      <c r="N335" s="38">
        <f>IF((M334&gt;0)=(M335&gt;0),"",K335-M335/L334)</f>
        <v>0</v>
      </c>
      <c r="O335" s="17"/>
    </row>
    <row r="336" spans="1:15">
      <c r="A336" s="4" t="s">
        <v>1394</v>
      </c>
      <c r="B336" s="38">
        <f>G135</f>
        <v>0</v>
      </c>
      <c r="C336" s="38">
        <f>G92</f>
        <v>0</v>
      </c>
      <c r="D336" s="38">
        <f>IF(ISERROR(B336),C336,0)</f>
        <v>0</v>
      </c>
      <c r="E336" s="38">
        <f>MAX($B$173,B336)*C336</f>
        <v>0</v>
      </c>
      <c r="F336" s="21">
        <f>RANK(B336,B$203:B$346,1)</f>
        <v>0</v>
      </c>
      <c r="G336" s="37">
        <v>134</v>
      </c>
      <c r="H336" s="21">
        <f>F336*144+G336</f>
        <v>0</v>
      </c>
      <c r="I336" s="21">
        <f>RANK(H336,H$203:H$346,1)</f>
        <v>0</v>
      </c>
      <c r="J336" s="21">
        <f>MATCH(G336,I$203:I$346,0)</f>
        <v>0</v>
      </c>
      <c r="K336" s="38">
        <f>INDEX(B$203:B$346,J336,1)</f>
        <v>0</v>
      </c>
      <c r="L336" s="38">
        <f>L335+INDEX(C$203:C$346,J336,1)</f>
        <v>0</v>
      </c>
      <c r="M336" s="38">
        <f>M335+(K336-K335)*L335</f>
        <v>0</v>
      </c>
      <c r="N336" s="38">
        <f>IF((M335&gt;0)=(M336&gt;0),"",K336-M336/L335)</f>
        <v>0</v>
      </c>
      <c r="O336" s="17"/>
    </row>
    <row r="337" spans="1:15">
      <c r="A337" s="4" t="s">
        <v>1395</v>
      </c>
      <c r="B337" s="38">
        <f>G136</f>
        <v>0</v>
      </c>
      <c r="C337" s="38">
        <f>G93</f>
        <v>0</v>
      </c>
      <c r="D337" s="38">
        <f>IF(ISERROR(B337),C337,0)</f>
        <v>0</v>
      </c>
      <c r="E337" s="38">
        <f>MAX($B$173,B337)*C337</f>
        <v>0</v>
      </c>
      <c r="F337" s="21">
        <f>RANK(B337,B$203:B$346,1)</f>
        <v>0</v>
      </c>
      <c r="G337" s="37">
        <v>135</v>
      </c>
      <c r="H337" s="21">
        <f>F337*144+G337</f>
        <v>0</v>
      </c>
      <c r="I337" s="21">
        <f>RANK(H337,H$203:H$346,1)</f>
        <v>0</v>
      </c>
      <c r="J337" s="21">
        <f>MATCH(G337,I$203:I$346,0)</f>
        <v>0</v>
      </c>
      <c r="K337" s="38">
        <f>INDEX(B$203:B$346,J337,1)</f>
        <v>0</v>
      </c>
      <c r="L337" s="38">
        <f>L336+INDEX(C$203:C$346,J337,1)</f>
        <v>0</v>
      </c>
      <c r="M337" s="38">
        <f>M336+(K337-K336)*L336</f>
        <v>0</v>
      </c>
      <c r="N337" s="38">
        <f>IF((M336&gt;0)=(M337&gt;0),"",K337-M337/L336)</f>
        <v>0</v>
      </c>
      <c r="O337" s="17"/>
    </row>
    <row r="338" spans="1:15">
      <c r="A338" s="4" t="s">
        <v>1396</v>
      </c>
      <c r="B338" s="38">
        <f>G137</f>
        <v>0</v>
      </c>
      <c r="C338" s="38">
        <f>G94</f>
        <v>0</v>
      </c>
      <c r="D338" s="38">
        <f>IF(ISERROR(B338),C338,0)</f>
        <v>0</v>
      </c>
      <c r="E338" s="38">
        <f>MAX($B$173,B338)*C338</f>
        <v>0</v>
      </c>
      <c r="F338" s="21">
        <f>RANK(B338,B$203:B$346,1)</f>
        <v>0</v>
      </c>
      <c r="G338" s="37">
        <v>136</v>
      </c>
      <c r="H338" s="21">
        <f>F338*144+G338</f>
        <v>0</v>
      </c>
      <c r="I338" s="21">
        <f>RANK(H338,H$203:H$346,1)</f>
        <v>0</v>
      </c>
      <c r="J338" s="21">
        <f>MATCH(G338,I$203:I$346,0)</f>
        <v>0</v>
      </c>
      <c r="K338" s="38">
        <f>INDEX(B$203:B$346,J338,1)</f>
        <v>0</v>
      </c>
      <c r="L338" s="38">
        <f>L337+INDEX(C$203:C$346,J338,1)</f>
        <v>0</v>
      </c>
      <c r="M338" s="38">
        <f>M337+(K338-K337)*L337</f>
        <v>0</v>
      </c>
      <c r="N338" s="38">
        <f>IF((M337&gt;0)=(M338&gt;0),"",K338-M338/L337)</f>
        <v>0</v>
      </c>
      <c r="O338" s="17"/>
    </row>
    <row r="339" spans="1:15">
      <c r="A339" s="4" t="s">
        <v>1397</v>
      </c>
      <c r="B339" s="38">
        <f>G138</f>
        <v>0</v>
      </c>
      <c r="C339" s="38">
        <f>G95</f>
        <v>0</v>
      </c>
      <c r="D339" s="38">
        <f>IF(ISERROR(B339),C339,0)</f>
        <v>0</v>
      </c>
      <c r="E339" s="38">
        <f>MAX($B$173,B339)*C339</f>
        <v>0</v>
      </c>
      <c r="F339" s="21">
        <f>RANK(B339,B$203:B$346,1)</f>
        <v>0</v>
      </c>
      <c r="G339" s="37">
        <v>137</v>
      </c>
      <c r="H339" s="21">
        <f>F339*144+G339</f>
        <v>0</v>
      </c>
      <c r="I339" s="21">
        <f>RANK(H339,H$203:H$346,1)</f>
        <v>0</v>
      </c>
      <c r="J339" s="21">
        <f>MATCH(G339,I$203:I$346,0)</f>
        <v>0</v>
      </c>
      <c r="K339" s="38">
        <f>INDEX(B$203:B$346,J339,1)</f>
        <v>0</v>
      </c>
      <c r="L339" s="38">
        <f>L338+INDEX(C$203:C$346,J339,1)</f>
        <v>0</v>
      </c>
      <c r="M339" s="38">
        <f>M338+(K339-K338)*L338</f>
        <v>0</v>
      </c>
      <c r="N339" s="38">
        <f>IF((M338&gt;0)=(M339&gt;0),"",K339-M339/L338)</f>
        <v>0</v>
      </c>
      <c r="O339" s="17"/>
    </row>
    <row r="340" spans="1:15">
      <c r="A340" s="4" t="s">
        <v>1398</v>
      </c>
      <c r="B340" s="38">
        <f>G139</f>
        <v>0</v>
      </c>
      <c r="C340" s="38">
        <f>G96</f>
        <v>0</v>
      </c>
      <c r="D340" s="38">
        <f>IF(ISERROR(B340),C340,0)</f>
        <v>0</v>
      </c>
      <c r="E340" s="38">
        <f>MAX($B$173,B340)*C340</f>
        <v>0</v>
      </c>
      <c r="F340" s="21">
        <f>RANK(B340,B$203:B$346,1)</f>
        <v>0</v>
      </c>
      <c r="G340" s="37">
        <v>138</v>
      </c>
      <c r="H340" s="21">
        <f>F340*144+G340</f>
        <v>0</v>
      </c>
      <c r="I340" s="21">
        <f>RANK(H340,H$203:H$346,1)</f>
        <v>0</v>
      </c>
      <c r="J340" s="21">
        <f>MATCH(G340,I$203:I$346,0)</f>
        <v>0</v>
      </c>
      <c r="K340" s="38">
        <f>INDEX(B$203:B$346,J340,1)</f>
        <v>0</v>
      </c>
      <c r="L340" s="38">
        <f>L339+INDEX(C$203:C$346,J340,1)</f>
        <v>0</v>
      </c>
      <c r="M340" s="38">
        <f>M339+(K340-K339)*L339</f>
        <v>0</v>
      </c>
      <c r="N340" s="38">
        <f>IF((M339&gt;0)=(M340&gt;0),"",K340-M340/L339)</f>
        <v>0</v>
      </c>
      <c r="O340" s="17"/>
    </row>
    <row r="341" spans="1:15">
      <c r="A341" s="4" t="s">
        <v>1399</v>
      </c>
      <c r="B341" s="38">
        <f>G140</f>
        <v>0</v>
      </c>
      <c r="C341" s="38">
        <f>G97</f>
        <v>0</v>
      </c>
      <c r="D341" s="38">
        <f>IF(ISERROR(B341),C341,0)</f>
        <v>0</v>
      </c>
      <c r="E341" s="38">
        <f>MAX($B$173,B341)*C341</f>
        <v>0</v>
      </c>
      <c r="F341" s="21">
        <f>RANK(B341,B$203:B$346,1)</f>
        <v>0</v>
      </c>
      <c r="G341" s="37">
        <v>139</v>
      </c>
      <c r="H341" s="21">
        <f>F341*144+G341</f>
        <v>0</v>
      </c>
      <c r="I341" s="21">
        <f>RANK(H341,H$203:H$346,1)</f>
        <v>0</v>
      </c>
      <c r="J341" s="21">
        <f>MATCH(G341,I$203:I$346,0)</f>
        <v>0</v>
      </c>
      <c r="K341" s="38">
        <f>INDEX(B$203:B$346,J341,1)</f>
        <v>0</v>
      </c>
      <c r="L341" s="38">
        <f>L340+INDEX(C$203:C$346,J341,1)</f>
        <v>0</v>
      </c>
      <c r="M341" s="38">
        <f>M340+(K341-K340)*L340</f>
        <v>0</v>
      </c>
      <c r="N341" s="38">
        <f>IF((M340&gt;0)=(M341&gt;0),"",K341-M341/L340)</f>
        <v>0</v>
      </c>
      <c r="O341" s="17"/>
    </row>
    <row r="342" spans="1:15">
      <c r="A342" s="4" t="s">
        <v>1400</v>
      </c>
      <c r="B342" s="38">
        <f>G141</f>
        <v>0</v>
      </c>
      <c r="C342" s="38">
        <f>G98</f>
        <v>0</v>
      </c>
      <c r="D342" s="38">
        <f>IF(ISERROR(B342),C342,0)</f>
        <v>0</v>
      </c>
      <c r="E342" s="38">
        <f>MAX($B$173,B342)*C342</f>
        <v>0</v>
      </c>
      <c r="F342" s="21">
        <f>RANK(B342,B$203:B$346,1)</f>
        <v>0</v>
      </c>
      <c r="G342" s="37">
        <v>140</v>
      </c>
      <c r="H342" s="21">
        <f>F342*144+G342</f>
        <v>0</v>
      </c>
      <c r="I342" s="21">
        <f>RANK(H342,H$203:H$346,1)</f>
        <v>0</v>
      </c>
      <c r="J342" s="21">
        <f>MATCH(G342,I$203:I$346,0)</f>
        <v>0</v>
      </c>
      <c r="K342" s="38">
        <f>INDEX(B$203:B$346,J342,1)</f>
        <v>0</v>
      </c>
      <c r="L342" s="38">
        <f>L341+INDEX(C$203:C$346,J342,1)</f>
        <v>0</v>
      </c>
      <c r="M342" s="38">
        <f>M341+(K342-K341)*L341</f>
        <v>0</v>
      </c>
      <c r="N342" s="38">
        <f>IF((M341&gt;0)=(M342&gt;0),"",K342-M342/L341)</f>
        <v>0</v>
      </c>
      <c r="O342" s="17"/>
    </row>
    <row r="343" spans="1:15">
      <c r="A343" s="4" t="s">
        <v>1401</v>
      </c>
      <c r="B343" s="38">
        <f>G142</f>
        <v>0</v>
      </c>
      <c r="C343" s="38">
        <f>G99</f>
        <v>0</v>
      </c>
      <c r="D343" s="38">
        <f>IF(ISERROR(B343),C343,0)</f>
        <v>0</v>
      </c>
      <c r="E343" s="38">
        <f>MAX($B$173,B343)*C343</f>
        <v>0</v>
      </c>
      <c r="F343" s="21">
        <f>RANK(B343,B$203:B$346,1)</f>
        <v>0</v>
      </c>
      <c r="G343" s="37">
        <v>141</v>
      </c>
      <c r="H343" s="21">
        <f>F343*144+G343</f>
        <v>0</v>
      </c>
      <c r="I343" s="21">
        <f>RANK(H343,H$203:H$346,1)</f>
        <v>0</v>
      </c>
      <c r="J343" s="21">
        <f>MATCH(G343,I$203:I$346,0)</f>
        <v>0</v>
      </c>
      <c r="K343" s="38">
        <f>INDEX(B$203:B$346,J343,1)</f>
        <v>0</v>
      </c>
      <c r="L343" s="38">
        <f>L342+INDEX(C$203:C$346,J343,1)</f>
        <v>0</v>
      </c>
      <c r="M343" s="38">
        <f>M342+(K343-K342)*L342</f>
        <v>0</v>
      </c>
      <c r="N343" s="38">
        <f>IF((M342&gt;0)=(M343&gt;0),"",K343-M343/L342)</f>
        <v>0</v>
      </c>
      <c r="O343" s="17"/>
    </row>
    <row r="344" spans="1:15">
      <c r="A344" s="4" t="s">
        <v>1402</v>
      </c>
      <c r="B344" s="38">
        <f>G143</f>
        <v>0</v>
      </c>
      <c r="C344" s="38">
        <f>G100</f>
        <v>0</v>
      </c>
      <c r="D344" s="38">
        <f>IF(ISERROR(B344),C344,0)</f>
        <v>0</v>
      </c>
      <c r="E344" s="38">
        <f>MAX($B$173,B344)*C344</f>
        <v>0</v>
      </c>
      <c r="F344" s="21">
        <f>RANK(B344,B$203:B$346,1)</f>
        <v>0</v>
      </c>
      <c r="G344" s="37">
        <v>142</v>
      </c>
      <c r="H344" s="21">
        <f>F344*144+G344</f>
        <v>0</v>
      </c>
      <c r="I344" s="21">
        <f>RANK(H344,H$203:H$346,1)</f>
        <v>0</v>
      </c>
      <c r="J344" s="21">
        <f>MATCH(G344,I$203:I$346,0)</f>
        <v>0</v>
      </c>
      <c r="K344" s="38">
        <f>INDEX(B$203:B$346,J344,1)</f>
        <v>0</v>
      </c>
      <c r="L344" s="38">
        <f>L343+INDEX(C$203:C$346,J344,1)</f>
        <v>0</v>
      </c>
      <c r="M344" s="38">
        <f>M343+(K344-K343)*L343</f>
        <v>0</v>
      </c>
      <c r="N344" s="38">
        <f>IF((M343&gt;0)=(M344&gt;0),"",K344-M344/L343)</f>
        <v>0</v>
      </c>
      <c r="O344" s="17"/>
    </row>
    <row r="345" spans="1:15">
      <c r="A345" s="4" t="s">
        <v>1403</v>
      </c>
      <c r="B345" s="38">
        <f>G144</f>
        <v>0</v>
      </c>
      <c r="C345" s="38">
        <f>G101</f>
        <v>0</v>
      </c>
      <c r="D345" s="38">
        <f>IF(ISERROR(B345),C345,0)</f>
        <v>0</v>
      </c>
      <c r="E345" s="38">
        <f>MAX($B$173,B345)*C345</f>
        <v>0</v>
      </c>
      <c r="F345" s="21">
        <f>RANK(B345,B$203:B$346,1)</f>
        <v>0</v>
      </c>
      <c r="G345" s="37">
        <v>143</v>
      </c>
      <c r="H345" s="21">
        <f>F345*144+G345</f>
        <v>0</v>
      </c>
      <c r="I345" s="21">
        <f>RANK(H345,H$203:H$346,1)</f>
        <v>0</v>
      </c>
      <c r="J345" s="21">
        <f>MATCH(G345,I$203:I$346,0)</f>
        <v>0</v>
      </c>
      <c r="K345" s="38">
        <f>INDEX(B$203:B$346,J345,1)</f>
        <v>0</v>
      </c>
      <c r="L345" s="38">
        <f>L344+INDEX(C$203:C$346,J345,1)</f>
        <v>0</v>
      </c>
      <c r="M345" s="38">
        <f>M344+(K345-K344)*L344</f>
        <v>0</v>
      </c>
      <c r="N345" s="38">
        <f>IF((M344&gt;0)=(M345&gt;0),"",K345-M345/L344)</f>
        <v>0</v>
      </c>
      <c r="O345" s="17"/>
    </row>
    <row r="346" spans="1:15">
      <c r="A346" s="4" t="s">
        <v>1404</v>
      </c>
      <c r="B346" s="38">
        <f>G145</f>
        <v>0</v>
      </c>
      <c r="C346" s="38">
        <f>G102</f>
        <v>0</v>
      </c>
      <c r="D346" s="38">
        <f>IF(ISERROR(B346),C346,0)</f>
        <v>0</v>
      </c>
      <c r="E346" s="38">
        <f>MAX($B$173,B346)*C346</f>
        <v>0</v>
      </c>
      <c r="F346" s="21">
        <f>RANK(B346,B$203:B$346,1)</f>
        <v>0</v>
      </c>
      <c r="G346" s="37">
        <v>144</v>
      </c>
      <c r="H346" s="21">
        <f>F346*144+G346</f>
        <v>0</v>
      </c>
      <c r="I346" s="21">
        <f>RANK(H346,H$203:H$346,1)</f>
        <v>0</v>
      </c>
      <c r="J346" s="21">
        <f>MATCH(G346,I$203:I$346,0)</f>
        <v>0</v>
      </c>
      <c r="K346" s="38">
        <f>INDEX(B$203:B$346,J346,1)</f>
        <v>0</v>
      </c>
      <c r="L346" s="38">
        <f>L345+INDEX(C$203:C$346,J346,1)</f>
        <v>0</v>
      </c>
      <c r="M346" s="38">
        <f>M345+(K346-K345)*L345</f>
        <v>0</v>
      </c>
      <c r="N346" s="38">
        <f>IF((M345&gt;0)=(M346&gt;0),"",K346-M346/L345)</f>
        <v>0</v>
      </c>
      <c r="O346" s="17"/>
    </row>
    <row r="348" spans="1:15" ht="21" customHeight="1">
      <c r="A348" s="1" t="s">
        <v>1405</v>
      </c>
    </row>
    <row r="349" spans="1:15">
      <c r="A349" s="2" t="s">
        <v>351</v>
      </c>
    </row>
    <row r="350" spans="1:15">
      <c r="A350" s="33" t="s">
        <v>1406</v>
      </c>
    </row>
    <row r="351" spans="1:15">
      <c r="A351" s="2" t="s">
        <v>1407</v>
      </c>
    </row>
    <row r="353" spans="1:3">
      <c r="B353" s="15" t="s">
        <v>1408</v>
      </c>
    </row>
    <row r="354" spans="1:3">
      <c r="A354" s="4" t="s">
        <v>1408</v>
      </c>
      <c r="B354" s="38">
        <f>MIN($N$202:$N$346)</f>
        <v>0</v>
      </c>
      <c r="C354" s="17"/>
    </row>
    <row r="356" spans="1:3" ht="21" customHeight="1">
      <c r="A356" s="1" t="s">
        <v>1409</v>
      </c>
    </row>
    <row r="357" spans="1:3">
      <c r="A357" s="2" t="s">
        <v>351</v>
      </c>
    </row>
    <row r="358" spans="1:3">
      <c r="A358" s="33" t="s">
        <v>1045</v>
      </c>
    </row>
    <row r="359" spans="1:3">
      <c r="A359" s="33" t="s">
        <v>1157</v>
      </c>
    </row>
    <row r="360" spans="1:3">
      <c r="A360" s="33" t="s">
        <v>1410</v>
      </c>
    </row>
    <row r="361" spans="1:3">
      <c r="A361" s="33" t="s">
        <v>1411</v>
      </c>
    </row>
    <row r="362" spans="1:3">
      <c r="A362" s="33" t="s">
        <v>1412</v>
      </c>
    </row>
    <row r="363" spans="1:3">
      <c r="A363" s="33" t="s">
        <v>1413</v>
      </c>
    </row>
    <row r="364" spans="1:3">
      <c r="A364" s="33" t="s">
        <v>1414</v>
      </c>
    </row>
    <row r="365" spans="1:3">
      <c r="A365" s="33" t="s">
        <v>1415</v>
      </c>
    </row>
    <row r="366" spans="1:3">
      <c r="A366" s="33" t="s">
        <v>1416</v>
      </c>
    </row>
    <row r="367" spans="1:3">
      <c r="A367" s="33" t="s">
        <v>1417</v>
      </c>
    </row>
    <row r="368" spans="1:3">
      <c r="A368" s="33" t="s">
        <v>1166</v>
      </c>
    </row>
    <row r="369" spans="1:1">
      <c r="A369" s="33" t="s">
        <v>1418</v>
      </c>
    </row>
    <row r="370" spans="1:1">
      <c r="A370" s="33" t="s">
        <v>1168</v>
      </c>
    </row>
    <row r="371" spans="1:1">
      <c r="A371" s="33" t="s">
        <v>1419</v>
      </c>
    </row>
    <row r="372" spans="1:1">
      <c r="A372" s="33" t="s">
        <v>1420</v>
      </c>
    </row>
    <row r="373" spans="1:1">
      <c r="A373" s="33" t="s">
        <v>1421</v>
      </c>
    </row>
    <row r="374" spans="1:1">
      <c r="A374" s="33" t="s">
        <v>1422</v>
      </c>
    </row>
    <row r="375" spans="1:1">
      <c r="A375" s="33" t="s">
        <v>1423</v>
      </c>
    </row>
    <row r="376" spans="1:1">
      <c r="A376" s="33" t="s">
        <v>1424</v>
      </c>
    </row>
    <row r="377" spans="1:1">
      <c r="A377" s="33" t="s">
        <v>1425</v>
      </c>
    </row>
    <row r="378" spans="1:1">
      <c r="A378" s="33" t="s">
        <v>1426</v>
      </c>
    </row>
    <row r="379" spans="1:1">
      <c r="A379" s="33" t="s">
        <v>1427</v>
      </c>
    </row>
    <row r="380" spans="1:1">
      <c r="A380" s="33" t="s">
        <v>1428</v>
      </c>
    </row>
    <row r="381" spans="1:1">
      <c r="A381" s="33" t="s">
        <v>1429</v>
      </c>
    </row>
    <row r="382" spans="1:1">
      <c r="A382" s="33" t="s">
        <v>1430</v>
      </c>
    </row>
    <row r="383" spans="1:1">
      <c r="A383" s="33" t="s">
        <v>1431</v>
      </c>
    </row>
    <row r="384" spans="1:1">
      <c r="A384" s="33" t="s">
        <v>1432</v>
      </c>
    </row>
    <row r="385" spans="1:9">
      <c r="A385" s="34" t="s">
        <v>354</v>
      </c>
      <c r="B385" s="34" t="s">
        <v>484</v>
      </c>
      <c r="C385" s="34" t="s">
        <v>484</v>
      </c>
      <c r="D385" s="34" t="s">
        <v>484</v>
      </c>
      <c r="E385" s="34" t="s">
        <v>484</v>
      </c>
      <c r="F385" s="34" t="s">
        <v>484</v>
      </c>
      <c r="G385" s="34" t="s">
        <v>484</v>
      </c>
      <c r="H385" s="34" t="s">
        <v>484</v>
      </c>
    </row>
    <row r="386" spans="1:9">
      <c r="A386" s="34" t="s">
        <v>357</v>
      </c>
      <c r="B386" s="34" t="s">
        <v>1433</v>
      </c>
      <c r="C386" s="34" t="s">
        <v>1434</v>
      </c>
      <c r="D386" s="34" t="s">
        <v>1435</v>
      </c>
      <c r="E386" s="34" t="s">
        <v>1436</v>
      </c>
      <c r="F386" s="34" t="s">
        <v>1437</v>
      </c>
      <c r="G386" s="34" t="s">
        <v>1438</v>
      </c>
      <c r="H386" s="34" t="s">
        <v>1439</v>
      </c>
    </row>
    <row r="388" spans="1:9">
      <c r="B388" s="15" t="s">
        <v>1440</v>
      </c>
      <c r="C388" s="15" t="s">
        <v>1441</v>
      </c>
      <c r="D388" s="15" t="s">
        <v>1442</v>
      </c>
      <c r="E388" s="15" t="s">
        <v>1443</v>
      </c>
      <c r="F388" s="15" t="s">
        <v>1444</v>
      </c>
      <c r="G388" s="15" t="s">
        <v>1445</v>
      </c>
      <c r="H388" s="15" t="s">
        <v>1446</v>
      </c>
    </row>
    <row r="389" spans="1:9">
      <c r="A389" s="4" t="s">
        <v>174</v>
      </c>
      <c r="B389" s="38">
        <f>IF('Loads'!$B43&lt;0,0,IF($B34*$B$354+'Aggreg'!$B220&gt;0,$B34*$B$354,0-'Aggreg'!$B220))</f>
        <v>0</v>
      </c>
      <c r="C389" s="38">
        <f>IF('Loads'!$B43&lt;0,0,IF($C34*$B$354+'Aggreg'!$C220&gt;0,$C34*$B$354,0-'Aggreg'!$C220))</f>
        <v>0</v>
      </c>
      <c r="D389" s="38">
        <f>IF('Loads'!$B43&lt;0,0,IF($D34*$B$354+'Aggreg'!$D220&gt;0,$D34*$B$354,0-'Aggreg'!$D220))</f>
        <v>0</v>
      </c>
      <c r="E389" s="38">
        <f>IF('Loads'!$B43&lt;0,0,IF($E34*$B$354+'Aggreg'!$E220&gt;0,$E34*$B$354,0-'Aggreg'!$E220))</f>
        <v>0</v>
      </c>
      <c r="F389" s="38">
        <f>IF('Loads'!$B43&lt;0,0,IF($F34*$B$354+'Aggreg'!$F220&gt;0,$F34*$B$354,0-'Aggreg'!$F220))</f>
        <v>0</v>
      </c>
      <c r="G389" s="38">
        <f>IF('Loads'!$B43&lt;0,0,IF($G34*$B$354+'Aggreg'!$G220&gt;0,$G34*$B$354,0-'Aggreg'!$G220))</f>
        <v>0</v>
      </c>
      <c r="H389" s="21">
        <f>0.01*'Input'!$F$58*(E389*'Loads'!$E280+F389*'Loads'!$F280)+10*(B389*'Loads'!$B280+C389*'Loads'!$C280+D389*'Loads'!$D280+G389*'Loads'!$G280)</f>
        <v>0</v>
      </c>
      <c r="I389" s="17"/>
    </row>
    <row r="390" spans="1:9">
      <c r="A390" s="4" t="s">
        <v>175</v>
      </c>
      <c r="B390" s="38">
        <f>IF('Loads'!$B44&lt;0,0,IF($B35*$B$354+'Aggreg'!$B221&gt;0,$B35*$B$354,0-'Aggreg'!$B221))</f>
        <v>0</v>
      </c>
      <c r="C390" s="38">
        <f>IF('Loads'!$B44&lt;0,0,IF($C35*$B$354+'Aggreg'!$C221&gt;0,$C35*$B$354,0-'Aggreg'!$C221))</f>
        <v>0</v>
      </c>
      <c r="D390" s="38">
        <f>IF('Loads'!$B44&lt;0,0,IF($D35*$B$354+'Aggreg'!$D221&gt;0,$D35*$B$354,0-'Aggreg'!$D221))</f>
        <v>0</v>
      </c>
      <c r="E390" s="38">
        <f>IF('Loads'!$B44&lt;0,0,IF($E35*$B$354+'Aggreg'!$E221&gt;0,$E35*$B$354,0-'Aggreg'!$E221))</f>
        <v>0</v>
      </c>
      <c r="F390" s="38">
        <f>IF('Loads'!$B44&lt;0,0,IF($F35*$B$354+'Aggreg'!$F221&gt;0,$F35*$B$354,0-'Aggreg'!$F221))</f>
        <v>0</v>
      </c>
      <c r="G390" s="38">
        <f>IF('Loads'!$B44&lt;0,0,IF($G35*$B$354+'Aggreg'!$G221&gt;0,$G35*$B$354,0-'Aggreg'!$G221))</f>
        <v>0</v>
      </c>
      <c r="H390" s="21">
        <f>0.01*'Input'!$F$58*(E390*'Loads'!$E281+F390*'Loads'!$F281)+10*(B390*'Loads'!$B281+C390*'Loads'!$C281+D390*'Loads'!$D281+G390*'Loads'!$G281)</f>
        <v>0</v>
      </c>
      <c r="I390" s="17"/>
    </row>
    <row r="391" spans="1:9">
      <c r="A391" s="4" t="s">
        <v>211</v>
      </c>
      <c r="B391" s="38">
        <f>IF('Loads'!$B45&lt;0,0,IF($B36*$B$354+'Aggreg'!$B222&gt;0,$B36*$B$354,0-'Aggreg'!$B222))</f>
        <v>0</v>
      </c>
      <c r="C391" s="38">
        <f>IF('Loads'!$B45&lt;0,0,IF($C36*$B$354+'Aggreg'!$C222&gt;0,$C36*$B$354,0-'Aggreg'!$C222))</f>
        <v>0</v>
      </c>
      <c r="D391" s="38">
        <f>IF('Loads'!$B45&lt;0,0,IF($D36*$B$354+'Aggreg'!$D222&gt;0,$D36*$B$354,0-'Aggreg'!$D222))</f>
        <v>0</v>
      </c>
      <c r="E391" s="38">
        <f>IF('Loads'!$B45&lt;0,0,IF($E36*$B$354+'Aggreg'!$E222&gt;0,$E36*$B$354,0-'Aggreg'!$E222))</f>
        <v>0</v>
      </c>
      <c r="F391" s="38">
        <f>IF('Loads'!$B45&lt;0,0,IF($F36*$B$354+'Aggreg'!$F222&gt;0,$F36*$B$354,0-'Aggreg'!$F222))</f>
        <v>0</v>
      </c>
      <c r="G391" s="38">
        <f>IF('Loads'!$B45&lt;0,0,IF($G36*$B$354+'Aggreg'!$G222&gt;0,$G36*$B$354,0-'Aggreg'!$G222))</f>
        <v>0</v>
      </c>
      <c r="H391" s="21">
        <f>0.01*'Input'!$F$58*(E391*'Loads'!$E282+F391*'Loads'!$F282)+10*(B391*'Loads'!$B282+C391*'Loads'!$C282+D391*'Loads'!$D282+G391*'Loads'!$G282)</f>
        <v>0</v>
      </c>
      <c r="I391" s="17"/>
    </row>
    <row r="392" spans="1:9">
      <c r="A392" s="4" t="s">
        <v>176</v>
      </c>
      <c r="B392" s="38">
        <f>IF('Loads'!$B46&lt;0,0,IF($B37*$B$354+'Aggreg'!$B223&gt;0,$B37*$B$354,0-'Aggreg'!$B223))</f>
        <v>0</v>
      </c>
      <c r="C392" s="38">
        <f>IF('Loads'!$B46&lt;0,0,IF($C37*$B$354+'Aggreg'!$C223&gt;0,$C37*$B$354,0-'Aggreg'!$C223))</f>
        <v>0</v>
      </c>
      <c r="D392" s="38">
        <f>IF('Loads'!$B46&lt;0,0,IF($D37*$B$354+'Aggreg'!$D223&gt;0,$D37*$B$354,0-'Aggreg'!$D223))</f>
        <v>0</v>
      </c>
      <c r="E392" s="38">
        <f>IF('Loads'!$B46&lt;0,0,IF($E37*$B$354+'Aggreg'!$E223&gt;0,$E37*$B$354,0-'Aggreg'!$E223))</f>
        <v>0</v>
      </c>
      <c r="F392" s="38">
        <f>IF('Loads'!$B46&lt;0,0,IF($F37*$B$354+'Aggreg'!$F223&gt;0,$F37*$B$354,0-'Aggreg'!$F223))</f>
        <v>0</v>
      </c>
      <c r="G392" s="38">
        <f>IF('Loads'!$B46&lt;0,0,IF($G37*$B$354+'Aggreg'!$G223&gt;0,$G37*$B$354,0-'Aggreg'!$G223))</f>
        <v>0</v>
      </c>
      <c r="H392" s="21">
        <f>0.01*'Input'!$F$58*(E392*'Loads'!$E283+F392*'Loads'!$F283)+10*(B392*'Loads'!$B283+C392*'Loads'!$C283+D392*'Loads'!$D283+G392*'Loads'!$G283)</f>
        <v>0</v>
      </c>
      <c r="I392" s="17"/>
    </row>
    <row r="393" spans="1:9">
      <c r="A393" s="4" t="s">
        <v>177</v>
      </c>
      <c r="B393" s="38">
        <f>IF('Loads'!$B47&lt;0,0,IF($B38*$B$354+'Aggreg'!$B224&gt;0,$B38*$B$354,0-'Aggreg'!$B224))</f>
        <v>0</v>
      </c>
      <c r="C393" s="38">
        <f>IF('Loads'!$B47&lt;0,0,IF($C38*$B$354+'Aggreg'!$C224&gt;0,$C38*$B$354,0-'Aggreg'!$C224))</f>
        <v>0</v>
      </c>
      <c r="D393" s="38">
        <f>IF('Loads'!$B47&lt;0,0,IF($D38*$B$354+'Aggreg'!$D224&gt;0,$D38*$B$354,0-'Aggreg'!$D224))</f>
        <v>0</v>
      </c>
      <c r="E393" s="38">
        <f>IF('Loads'!$B47&lt;0,0,IF($E38*$B$354+'Aggreg'!$E224&gt;0,$E38*$B$354,0-'Aggreg'!$E224))</f>
        <v>0</v>
      </c>
      <c r="F393" s="38">
        <f>IF('Loads'!$B47&lt;0,0,IF($F38*$B$354+'Aggreg'!$F224&gt;0,$F38*$B$354,0-'Aggreg'!$F224))</f>
        <v>0</v>
      </c>
      <c r="G393" s="38">
        <f>IF('Loads'!$B47&lt;0,0,IF($G38*$B$354+'Aggreg'!$G224&gt;0,$G38*$B$354,0-'Aggreg'!$G224))</f>
        <v>0</v>
      </c>
      <c r="H393" s="21">
        <f>0.01*'Input'!$F$58*(E393*'Loads'!$E284+F393*'Loads'!$F284)+10*(B393*'Loads'!$B284+C393*'Loads'!$C284+D393*'Loads'!$D284+G393*'Loads'!$G284)</f>
        <v>0</v>
      </c>
      <c r="I393" s="17"/>
    </row>
    <row r="394" spans="1:9">
      <c r="A394" s="4" t="s">
        <v>212</v>
      </c>
      <c r="B394" s="38">
        <f>IF('Loads'!$B48&lt;0,0,IF($B39*$B$354+'Aggreg'!$B225&gt;0,$B39*$B$354,0-'Aggreg'!$B225))</f>
        <v>0</v>
      </c>
      <c r="C394" s="38">
        <f>IF('Loads'!$B48&lt;0,0,IF($C39*$B$354+'Aggreg'!$C225&gt;0,$C39*$B$354,0-'Aggreg'!$C225))</f>
        <v>0</v>
      </c>
      <c r="D394" s="38">
        <f>IF('Loads'!$B48&lt;0,0,IF($D39*$B$354+'Aggreg'!$D225&gt;0,$D39*$B$354,0-'Aggreg'!$D225))</f>
        <v>0</v>
      </c>
      <c r="E394" s="38">
        <f>IF('Loads'!$B48&lt;0,0,IF($E39*$B$354+'Aggreg'!$E225&gt;0,$E39*$B$354,0-'Aggreg'!$E225))</f>
        <v>0</v>
      </c>
      <c r="F394" s="38">
        <f>IF('Loads'!$B48&lt;0,0,IF($F39*$B$354+'Aggreg'!$F225&gt;0,$F39*$B$354,0-'Aggreg'!$F225))</f>
        <v>0</v>
      </c>
      <c r="G394" s="38">
        <f>IF('Loads'!$B48&lt;0,0,IF($G39*$B$354+'Aggreg'!$G225&gt;0,$G39*$B$354,0-'Aggreg'!$G225))</f>
        <v>0</v>
      </c>
      <c r="H394" s="21">
        <f>0.01*'Input'!$F$58*(E394*'Loads'!$E285+F394*'Loads'!$F285)+10*(B394*'Loads'!$B285+C394*'Loads'!$C285+D394*'Loads'!$D285+G394*'Loads'!$G285)</f>
        <v>0</v>
      </c>
      <c r="I394" s="17"/>
    </row>
    <row r="395" spans="1:9">
      <c r="A395" s="4" t="s">
        <v>178</v>
      </c>
      <c r="B395" s="38">
        <f>IF('Loads'!$B49&lt;0,0,IF($B40*$B$354+'Aggreg'!$B226&gt;0,$B40*$B$354,0-'Aggreg'!$B226))</f>
        <v>0</v>
      </c>
      <c r="C395" s="38">
        <f>IF('Loads'!$B49&lt;0,0,IF($C40*$B$354+'Aggreg'!$C226&gt;0,$C40*$B$354,0-'Aggreg'!$C226))</f>
        <v>0</v>
      </c>
      <c r="D395" s="38">
        <f>IF('Loads'!$B49&lt;0,0,IF($D40*$B$354+'Aggreg'!$D226&gt;0,$D40*$B$354,0-'Aggreg'!$D226))</f>
        <v>0</v>
      </c>
      <c r="E395" s="38">
        <f>IF('Loads'!$B49&lt;0,0,IF($E40*$B$354+'Aggreg'!$E226&gt;0,$E40*$B$354,0-'Aggreg'!$E226))</f>
        <v>0</v>
      </c>
      <c r="F395" s="38">
        <f>IF('Loads'!$B49&lt;0,0,IF($F40*$B$354+'Aggreg'!$F226&gt;0,$F40*$B$354,0-'Aggreg'!$F226))</f>
        <v>0</v>
      </c>
      <c r="G395" s="38">
        <f>IF('Loads'!$B49&lt;0,0,IF($G40*$B$354+'Aggreg'!$G226&gt;0,$G40*$B$354,0-'Aggreg'!$G226))</f>
        <v>0</v>
      </c>
      <c r="H395" s="21">
        <f>0.01*'Input'!$F$58*(E395*'Loads'!$E286+F395*'Loads'!$F286)+10*(B395*'Loads'!$B286+C395*'Loads'!$C286+D395*'Loads'!$D286+G395*'Loads'!$G286)</f>
        <v>0</v>
      </c>
      <c r="I395" s="17"/>
    </row>
    <row r="396" spans="1:9">
      <c r="A396" s="4" t="s">
        <v>179</v>
      </c>
      <c r="B396" s="38">
        <f>IF('Loads'!$B50&lt;0,0,IF($B41*$B$354+'Aggreg'!$B227&gt;0,$B41*$B$354,0-'Aggreg'!$B227))</f>
        <v>0</v>
      </c>
      <c r="C396" s="38">
        <f>IF('Loads'!$B50&lt;0,0,IF($C41*$B$354+'Aggreg'!$C227&gt;0,$C41*$B$354,0-'Aggreg'!$C227))</f>
        <v>0</v>
      </c>
      <c r="D396" s="38">
        <f>IF('Loads'!$B50&lt;0,0,IF($D41*$B$354+'Aggreg'!$D227&gt;0,$D41*$B$354,0-'Aggreg'!$D227))</f>
        <v>0</v>
      </c>
      <c r="E396" s="38">
        <f>IF('Loads'!$B50&lt;0,0,IF($E41*$B$354+'Aggreg'!$E227&gt;0,$E41*$B$354,0-'Aggreg'!$E227))</f>
        <v>0</v>
      </c>
      <c r="F396" s="38">
        <f>IF('Loads'!$B50&lt;0,0,IF($F41*$B$354+'Aggreg'!$F227&gt;0,$F41*$B$354,0-'Aggreg'!$F227))</f>
        <v>0</v>
      </c>
      <c r="G396" s="38">
        <f>IF('Loads'!$B50&lt;0,0,IF($G41*$B$354+'Aggreg'!$G227&gt;0,$G41*$B$354,0-'Aggreg'!$G227))</f>
        <v>0</v>
      </c>
      <c r="H396" s="21">
        <f>0.01*'Input'!$F$58*(E396*'Loads'!$E287+F396*'Loads'!$F287)+10*(B396*'Loads'!$B287+C396*'Loads'!$C287+D396*'Loads'!$D287+G396*'Loads'!$G287)</f>
        <v>0</v>
      </c>
      <c r="I396" s="17"/>
    </row>
    <row r="397" spans="1:9">
      <c r="A397" s="4" t="s">
        <v>180</v>
      </c>
      <c r="B397" s="38">
        <f>IF('Loads'!$B51&lt;0,0,IF($B42*$B$354+'Aggreg'!$B228&gt;0,$B42*$B$354,0-'Aggreg'!$B228))</f>
        <v>0</v>
      </c>
      <c r="C397" s="38">
        <f>IF('Loads'!$B51&lt;0,0,IF($C42*$B$354+'Aggreg'!$C228&gt;0,$C42*$B$354,0-'Aggreg'!$C228))</f>
        <v>0</v>
      </c>
      <c r="D397" s="38">
        <f>IF('Loads'!$B51&lt;0,0,IF($D42*$B$354+'Aggreg'!$D228&gt;0,$D42*$B$354,0-'Aggreg'!$D228))</f>
        <v>0</v>
      </c>
      <c r="E397" s="38">
        <f>IF('Loads'!$B51&lt;0,0,IF($E42*$B$354+'Aggreg'!$E228&gt;0,$E42*$B$354,0-'Aggreg'!$E228))</f>
        <v>0</v>
      </c>
      <c r="F397" s="38">
        <f>IF('Loads'!$B51&lt;0,0,IF($F42*$B$354+'Aggreg'!$F228&gt;0,$F42*$B$354,0-'Aggreg'!$F228))</f>
        <v>0</v>
      </c>
      <c r="G397" s="38">
        <f>IF('Loads'!$B51&lt;0,0,IF($G42*$B$354+'Aggreg'!$G228&gt;0,$G42*$B$354,0-'Aggreg'!$G228))</f>
        <v>0</v>
      </c>
      <c r="H397" s="21">
        <f>0.01*'Input'!$F$58*(E397*'Loads'!$E288+F397*'Loads'!$F288)+10*(B397*'Loads'!$B288+C397*'Loads'!$C288+D397*'Loads'!$D288+G397*'Loads'!$G288)</f>
        <v>0</v>
      </c>
      <c r="I397" s="17"/>
    </row>
    <row r="398" spans="1:9">
      <c r="A398" s="4" t="s">
        <v>181</v>
      </c>
      <c r="B398" s="38">
        <f>IF('Loads'!$B52&lt;0,0,IF($B43*$B$354+'Aggreg'!$B229&gt;0,$B43*$B$354,0-'Aggreg'!$B229))</f>
        <v>0</v>
      </c>
      <c r="C398" s="38">
        <f>IF('Loads'!$B52&lt;0,0,IF($C43*$B$354+'Aggreg'!$C229&gt;0,$C43*$B$354,0-'Aggreg'!$C229))</f>
        <v>0</v>
      </c>
      <c r="D398" s="38">
        <f>IF('Loads'!$B52&lt;0,0,IF($D43*$B$354+'Aggreg'!$D229&gt;0,$D43*$B$354,0-'Aggreg'!$D229))</f>
        <v>0</v>
      </c>
      <c r="E398" s="38">
        <f>IF('Loads'!$B52&lt;0,0,IF($E43*$B$354+'Aggreg'!$E229&gt;0,$E43*$B$354,0-'Aggreg'!$E229))</f>
        <v>0</v>
      </c>
      <c r="F398" s="38">
        <f>IF('Loads'!$B52&lt;0,0,IF($F43*$B$354+'Aggreg'!$F229&gt;0,$F43*$B$354,0-'Aggreg'!$F229))</f>
        <v>0</v>
      </c>
      <c r="G398" s="38">
        <f>IF('Loads'!$B52&lt;0,0,IF($G43*$B$354+'Aggreg'!$G229&gt;0,$G43*$B$354,0-'Aggreg'!$G229))</f>
        <v>0</v>
      </c>
      <c r="H398" s="21">
        <f>0.01*'Input'!$F$58*(E398*'Loads'!$E289+F398*'Loads'!$F289)+10*(B398*'Loads'!$B289+C398*'Loads'!$C289+D398*'Loads'!$D289+G398*'Loads'!$G289)</f>
        <v>0</v>
      </c>
      <c r="I398" s="17"/>
    </row>
    <row r="399" spans="1:9">
      <c r="A399" s="4" t="s">
        <v>193</v>
      </c>
      <c r="B399" s="38">
        <f>IF('Loads'!$B53&lt;0,0,IF($B44*$B$354+'Aggreg'!$B230&gt;0,$B44*$B$354,0-'Aggreg'!$B230))</f>
        <v>0</v>
      </c>
      <c r="C399" s="38">
        <f>IF('Loads'!$B53&lt;0,0,IF($C44*$B$354+'Aggreg'!$C230&gt;0,$C44*$B$354,0-'Aggreg'!$C230))</f>
        <v>0</v>
      </c>
      <c r="D399" s="38">
        <f>IF('Loads'!$B53&lt;0,0,IF($D44*$B$354+'Aggreg'!$D230&gt;0,$D44*$B$354,0-'Aggreg'!$D230))</f>
        <v>0</v>
      </c>
      <c r="E399" s="38">
        <f>IF('Loads'!$B53&lt;0,0,IF($E44*$B$354+'Aggreg'!$E230&gt;0,$E44*$B$354,0-'Aggreg'!$E230))</f>
        <v>0</v>
      </c>
      <c r="F399" s="38">
        <f>IF('Loads'!$B53&lt;0,0,IF($F44*$B$354+'Aggreg'!$F230&gt;0,$F44*$B$354,0-'Aggreg'!$F230))</f>
        <v>0</v>
      </c>
      <c r="G399" s="38">
        <f>IF('Loads'!$B53&lt;0,0,IF($G44*$B$354+'Aggreg'!$G230&gt;0,$G44*$B$354,0-'Aggreg'!$G230))</f>
        <v>0</v>
      </c>
      <c r="H399" s="21">
        <f>0.01*'Input'!$F$58*(E399*'Loads'!$E290+F399*'Loads'!$F290)+10*(B399*'Loads'!$B290+C399*'Loads'!$C290+D399*'Loads'!$D290+G399*'Loads'!$G290)</f>
        <v>0</v>
      </c>
      <c r="I399" s="17"/>
    </row>
    <row r="400" spans="1:9">
      <c r="A400" s="4" t="s">
        <v>213</v>
      </c>
      <c r="B400" s="38">
        <f>IF('Loads'!$B54&lt;0,0,IF($B45*$B$354+'Aggreg'!$B231&gt;0,$B45*$B$354,0-'Aggreg'!$B231))</f>
        <v>0</v>
      </c>
      <c r="C400" s="38">
        <f>IF('Loads'!$B54&lt;0,0,IF($C45*$B$354+'Aggreg'!$C231&gt;0,$C45*$B$354,0-'Aggreg'!$C231))</f>
        <v>0</v>
      </c>
      <c r="D400" s="38">
        <f>IF('Loads'!$B54&lt;0,0,IF($D45*$B$354+'Aggreg'!$D231&gt;0,$D45*$B$354,0-'Aggreg'!$D231))</f>
        <v>0</v>
      </c>
      <c r="E400" s="38">
        <f>IF('Loads'!$B54&lt;0,0,IF($E45*$B$354+'Aggreg'!$E231&gt;0,$E45*$B$354,0-'Aggreg'!$E231))</f>
        <v>0</v>
      </c>
      <c r="F400" s="38">
        <f>IF('Loads'!$B54&lt;0,0,IF($F45*$B$354+'Aggreg'!$F231&gt;0,$F45*$B$354,0-'Aggreg'!$F231))</f>
        <v>0</v>
      </c>
      <c r="G400" s="38">
        <f>IF('Loads'!$B54&lt;0,0,IF($G45*$B$354+'Aggreg'!$G231&gt;0,$G45*$B$354,0-'Aggreg'!$G231))</f>
        <v>0</v>
      </c>
      <c r="H400" s="21">
        <f>0.01*'Input'!$F$58*(E400*'Loads'!$E291+F400*'Loads'!$F291)+10*(B400*'Loads'!$B291+C400*'Loads'!$C291+D400*'Loads'!$D291+G400*'Loads'!$G291)</f>
        <v>0</v>
      </c>
      <c r="I400" s="17"/>
    </row>
    <row r="401" spans="1:9">
      <c r="A401" s="4" t="s">
        <v>214</v>
      </c>
      <c r="B401" s="38">
        <f>IF('Loads'!$B55&lt;0,0,IF($B46*$B$354+'Aggreg'!$B232&gt;0,$B46*$B$354,0-'Aggreg'!$B232))</f>
        <v>0</v>
      </c>
      <c r="C401" s="38">
        <f>IF('Loads'!$B55&lt;0,0,IF($C46*$B$354+'Aggreg'!$C232&gt;0,$C46*$B$354,0-'Aggreg'!$C232))</f>
        <v>0</v>
      </c>
      <c r="D401" s="38">
        <f>IF('Loads'!$B55&lt;0,0,IF($D46*$B$354+'Aggreg'!$D232&gt;0,$D46*$B$354,0-'Aggreg'!$D232))</f>
        <v>0</v>
      </c>
      <c r="E401" s="38">
        <f>IF('Loads'!$B55&lt;0,0,IF($E46*$B$354+'Aggreg'!$E232&gt;0,$E46*$B$354,0-'Aggreg'!$E232))</f>
        <v>0</v>
      </c>
      <c r="F401" s="38">
        <f>IF('Loads'!$B55&lt;0,0,IF($F46*$B$354+'Aggreg'!$F232&gt;0,$F46*$B$354,0-'Aggreg'!$F232))</f>
        <v>0</v>
      </c>
      <c r="G401" s="38">
        <f>IF('Loads'!$B55&lt;0,0,IF($G46*$B$354+'Aggreg'!$G232&gt;0,$G46*$B$354,0-'Aggreg'!$G232))</f>
        <v>0</v>
      </c>
      <c r="H401" s="21">
        <f>0.01*'Input'!$F$58*(E401*'Loads'!$E292+F401*'Loads'!$F292)+10*(B401*'Loads'!$B292+C401*'Loads'!$C292+D401*'Loads'!$D292+G401*'Loads'!$G292)</f>
        <v>0</v>
      </c>
      <c r="I401" s="17"/>
    </row>
    <row r="402" spans="1:9">
      <c r="A402" s="4" t="s">
        <v>215</v>
      </c>
      <c r="B402" s="38">
        <f>IF('Loads'!$B56&lt;0,0,IF($B47*$B$354+'Aggreg'!$B233&gt;0,$B47*$B$354,0-'Aggreg'!$B233))</f>
        <v>0</v>
      </c>
      <c r="C402" s="38">
        <f>IF('Loads'!$B56&lt;0,0,IF($C47*$B$354+'Aggreg'!$C233&gt;0,$C47*$B$354,0-'Aggreg'!$C233))</f>
        <v>0</v>
      </c>
      <c r="D402" s="38">
        <f>IF('Loads'!$B56&lt;0,0,IF($D47*$B$354+'Aggreg'!$D233&gt;0,$D47*$B$354,0-'Aggreg'!$D233))</f>
        <v>0</v>
      </c>
      <c r="E402" s="38">
        <f>IF('Loads'!$B56&lt;0,0,IF($E47*$B$354+'Aggreg'!$E233&gt;0,$E47*$B$354,0-'Aggreg'!$E233))</f>
        <v>0</v>
      </c>
      <c r="F402" s="38">
        <f>IF('Loads'!$B56&lt;0,0,IF($F47*$B$354+'Aggreg'!$F233&gt;0,$F47*$B$354,0-'Aggreg'!$F233))</f>
        <v>0</v>
      </c>
      <c r="G402" s="38">
        <f>IF('Loads'!$B56&lt;0,0,IF($G47*$B$354+'Aggreg'!$G233&gt;0,$G47*$B$354,0-'Aggreg'!$G233))</f>
        <v>0</v>
      </c>
      <c r="H402" s="21">
        <f>0.01*'Input'!$F$58*(E402*'Loads'!$E293+F402*'Loads'!$F293)+10*(B402*'Loads'!$B293+C402*'Loads'!$C293+D402*'Loads'!$D293+G402*'Loads'!$G293)</f>
        <v>0</v>
      </c>
      <c r="I402" s="17"/>
    </row>
    <row r="403" spans="1:9">
      <c r="A403" s="4" t="s">
        <v>216</v>
      </c>
      <c r="B403" s="38">
        <f>IF('Loads'!$B57&lt;0,0,IF($B48*$B$354+'Aggreg'!$B234&gt;0,$B48*$B$354,0-'Aggreg'!$B234))</f>
        <v>0</v>
      </c>
      <c r="C403" s="38">
        <f>IF('Loads'!$B57&lt;0,0,IF($C48*$B$354+'Aggreg'!$C234&gt;0,$C48*$B$354,0-'Aggreg'!$C234))</f>
        <v>0</v>
      </c>
      <c r="D403" s="38">
        <f>IF('Loads'!$B57&lt;0,0,IF($D48*$B$354+'Aggreg'!$D234&gt;0,$D48*$B$354,0-'Aggreg'!$D234))</f>
        <v>0</v>
      </c>
      <c r="E403" s="38">
        <f>IF('Loads'!$B57&lt;0,0,IF($E48*$B$354+'Aggreg'!$E234&gt;0,$E48*$B$354,0-'Aggreg'!$E234))</f>
        <v>0</v>
      </c>
      <c r="F403" s="38">
        <f>IF('Loads'!$B57&lt;0,0,IF($F48*$B$354+'Aggreg'!$F234&gt;0,$F48*$B$354,0-'Aggreg'!$F234))</f>
        <v>0</v>
      </c>
      <c r="G403" s="38">
        <f>IF('Loads'!$B57&lt;0,0,IF($G48*$B$354+'Aggreg'!$G234&gt;0,$G48*$B$354,0-'Aggreg'!$G234))</f>
        <v>0</v>
      </c>
      <c r="H403" s="21">
        <f>0.01*'Input'!$F$58*(E403*'Loads'!$E294+F403*'Loads'!$F294)+10*(B403*'Loads'!$B294+C403*'Loads'!$C294+D403*'Loads'!$D294+G403*'Loads'!$G294)</f>
        <v>0</v>
      </c>
      <c r="I403" s="17"/>
    </row>
    <row r="404" spans="1:9">
      <c r="A404" s="4" t="s">
        <v>217</v>
      </c>
      <c r="B404" s="38">
        <f>IF('Loads'!$B58&lt;0,0,IF($B49*$B$354+'Aggreg'!$B235&gt;0,$B49*$B$354,0-'Aggreg'!$B235))</f>
        <v>0</v>
      </c>
      <c r="C404" s="38">
        <f>IF('Loads'!$B58&lt;0,0,IF($C49*$B$354+'Aggreg'!$C235&gt;0,$C49*$B$354,0-'Aggreg'!$C235))</f>
        <v>0</v>
      </c>
      <c r="D404" s="38">
        <f>IF('Loads'!$B58&lt;0,0,IF($D49*$B$354+'Aggreg'!$D235&gt;0,$D49*$B$354,0-'Aggreg'!$D235))</f>
        <v>0</v>
      </c>
      <c r="E404" s="38">
        <f>IF('Loads'!$B58&lt;0,0,IF($E49*$B$354+'Aggreg'!$E235&gt;0,$E49*$B$354,0-'Aggreg'!$E235))</f>
        <v>0</v>
      </c>
      <c r="F404" s="38">
        <f>IF('Loads'!$B58&lt;0,0,IF($F49*$B$354+'Aggreg'!$F235&gt;0,$F49*$B$354,0-'Aggreg'!$F235))</f>
        <v>0</v>
      </c>
      <c r="G404" s="38">
        <f>IF('Loads'!$B58&lt;0,0,IF($G49*$B$354+'Aggreg'!$G235&gt;0,$G49*$B$354,0-'Aggreg'!$G235))</f>
        <v>0</v>
      </c>
      <c r="H404" s="21">
        <f>0.01*'Input'!$F$58*(E404*'Loads'!$E295+F404*'Loads'!$F295)+10*(B404*'Loads'!$B295+C404*'Loads'!$C295+D404*'Loads'!$D295+G404*'Loads'!$G295)</f>
        <v>0</v>
      </c>
      <c r="I404" s="17"/>
    </row>
    <row r="405" spans="1:9">
      <c r="A405" s="4" t="s">
        <v>182</v>
      </c>
      <c r="B405" s="38">
        <f>IF('Loads'!$B59&lt;0,0,IF($B50*$B$354+'Aggreg'!$B236&gt;0,$B50*$B$354,0-'Aggreg'!$B236))</f>
        <v>0</v>
      </c>
      <c r="C405" s="38">
        <f>IF('Loads'!$B59&lt;0,0,IF($C50*$B$354+'Aggreg'!$C236&gt;0,$C50*$B$354,0-'Aggreg'!$C236))</f>
        <v>0</v>
      </c>
      <c r="D405" s="38">
        <f>IF('Loads'!$B59&lt;0,0,IF($D50*$B$354+'Aggreg'!$D236&gt;0,$D50*$B$354,0-'Aggreg'!$D236))</f>
        <v>0</v>
      </c>
      <c r="E405" s="38">
        <f>IF('Loads'!$B59&lt;0,0,IF($E50*$B$354+'Aggreg'!$E236&gt;0,$E50*$B$354,0-'Aggreg'!$E236))</f>
        <v>0</v>
      </c>
      <c r="F405" s="38">
        <f>IF('Loads'!$B59&lt;0,0,IF($F50*$B$354+'Aggreg'!$F236&gt;0,$F50*$B$354,0-'Aggreg'!$F236))</f>
        <v>0</v>
      </c>
      <c r="G405" s="38">
        <f>IF('Loads'!$B59&lt;0,0,IF($G50*$B$354+'Aggreg'!$G236&gt;0,$G50*$B$354,0-'Aggreg'!$G236))</f>
        <v>0</v>
      </c>
      <c r="H405" s="21">
        <f>0.01*'Input'!$F$58*(E405*'Loads'!$E296+F405*'Loads'!$F296)+10*(B405*'Loads'!$B296+C405*'Loads'!$C296+D405*'Loads'!$D296+G405*'Loads'!$G296)</f>
        <v>0</v>
      </c>
      <c r="I405" s="17"/>
    </row>
    <row r="406" spans="1:9">
      <c r="A406" s="4" t="s">
        <v>183</v>
      </c>
      <c r="B406" s="38">
        <f>IF('Loads'!$B60&lt;0,0,IF($B51*$B$354+'Aggreg'!$B237&gt;0,$B51*$B$354,0-'Aggreg'!$B237))</f>
        <v>0</v>
      </c>
      <c r="C406" s="38">
        <f>IF('Loads'!$B60&lt;0,0,IF($C51*$B$354+'Aggreg'!$C237&gt;0,$C51*$B$354,0-'Aggreg'!$C237))</f>
        <v>0</v>
      </c>
      <c r="D406" s="38">
        <f>IF('Loads'!$B60&lt;0,0,IF($D51*$B$354+'Aggreg'!$D237&gt;0,$D51*$B$354,0-'Aggreg'!$D237))</f>
        <v>0</v>
      </c>
      <c r="E406" s="38">
        <f>IF('Loads'!$B60&lt;0,0,IF($E51*$B$354+'Aggreg'!$E237&gt;0,$E51*$B$354,0-'Aggreg'!$E237))</f>
        <v>0</v>
      </c>
      <c r="F406" s="38">
        <f>IF('Loads'!$B60&lt;0,0,IF($F51*$B$354+'Aggreg'!$F237&gt;0,$F51*$B$354,0-'Aggreg'!$F237))</f>
        <v>0</v>
      </c>
      <c r="G406" s="38">
        <f>IF('Loads'!$B60&lt;0,0,IF($G51*$B$354+'Aggreg'!$G237&gt;0,$G51*$B$354,0-'Aggreg'!$G237))</f>
        <v>0</v>
      </c>
      <c r="H406" s="21">
        <f>0.01*'Input'!$F$58*(E406*'Loads'!$E297+F406*'Loads'!$F297)+10*(B406*'Loads'!$B297+C406*'Loads'!$C297+D406*'Loads'!$D297+G406*'Loads'!$G297)</f>
        <v>0</v>
      </c>
      <c r="I406" s="17"/>
    </row>
    <row r="407" spans="1:9">
      <c r="A407" s="4" t="s">
        <v>184</v>
      </c>
      <c r="B407" s="38">
        <f>IF('Loads'!$B61&lt;0,0,IF($B52*$B$354+'Aggreg'!$B238&gt;0,$B52*$B$354,0-'Aggreg'!$B238))</f>
        <v>0</v>
      </c>
      <c r="C407" s="38">
        <f>IF('Loads'!$B61&lt;0,0,IF($C52*$B$354+'Aggreg'!$C238&gt;0,$C52*$B$354,0-'Aggreg'!$C238))</f>
        <v>0</v>
      </c>
      <c r="D407" s="38">
        <f>IF('Loads'!$B61&lt;0,0,IF($D52*$B$354+'Aggreg'!$D238&gt;0,$D52*$B$354,0-'Aggreg'!$D238))</f>
        <v>0</v>
      </c>
      <c r="E407" s="38">
        <f>IF('Loads'!$B61&lt;0,0,IF($E52*$B$354+'Aggreg'!$E238&gt;0,$E52*$B$354,0-'Aggreg'!$E238))</f>
        <v>0</v>
      </c>
      <c r="F407" s="38">
        <f>IF('Loads'!$B61&lt;0,0,IF($F52*$B$354+'Aggreg'!$F238&gt;0,$F52*$B$354,0-'Aggreg'!$F238))</f>
        <v>0</v>
      </c>
      <c r="G407" s="38">
        <f>IF('Loads'!$B61&lt;0,0,IF($G52*$B$354+'Aggreg'!$G238&gt;0,$G52*$B$354,0-'Aggreg'!$G238))</f>
        <v>0</v>
      </c>
      <c r="H407" s="21">
        <f>0.01*'Input'!$F$58*(E407*'Loads'!$E298+F407*'Loads'!$F298)+10*(B407*'Loads'!$B298+C407*'Loads'!$C298+D407*'Loads'!$D298+G407*'Loads'!$G298)</f>
        <v>0</v>
      </c>
      <c r="I407" s="17"/>
    </row>
    <row r="408" spans="1:9">
      <c r="A408" s="4" t="s">
        <v>185</v>
      </c>
      <c r="B408" s="38">
        <f>IF('Loads'!$B62&lt;0,0,IF($B53*$B$354+'Aggreg'!$B239&gt;0,$B53*$B$354,0-'Aggreg'!$B239))</f>
        <v>0</v>
      </c>
      <c r="C408" s="38">
        <f>IF('Loads'!$B62&lt;0,0,IF($C53*$B$354+'Aggreg'!$C239&gt;0,$C53*$B$354,0-'Aggreg'!$C239))</f>
        <v>0</v>
      </c>
      <c r="D408" s="38">
        <f>IF('Loads'!$B62&lt;0,0,IF($D53*$B$354+'Aggreg'!$D239&gt;0,$D53*$B$354,0-'Aggreg'!$D239))</f>
        <v>0</v>
      </c>
      <c r="E408" s="38">
        <f>IF('Loads'!$B62&lt;0,0,IF($E53*$B$354+'Aggreg'!$E239&gt;0,$E53*$B$354,0-'Aggreg'!$E239))</f>
        <v>0</v>
      </c>
      <c r="F408" s="38">
        <f>IF('Loads'!$B62&lt;0,0,IF($F53*$B$354+'Aggreg'!$F239&gt;0,$F53*$B$354,0-'Aggreg'!$F239))</f>
        <v>0</v>
      </c>
      <c r="G408" s="38">
        <f>IF('Loads'!$B62&lt;0,0,IF($G53*$B$354+'Aggreg'!$G239&gt;0,$G53*$B$354,0-'Aggreg'!$G239))</f>
        <v>0</v>
      </c>
      <c r="H408" s="21">
        <f>0.01*'Input'!$F$58*(E408*'Loads'!$E299+F408*'Loads'!$F299)+10*(B408*'Loads'!$B299+C408*'Loads'!$C299+D408*'Loads'!$D299+G408*'Loads'!$G299)</f>
        <v>0</v>
      </c>
      <c r="I408" s="17"/>
    </row>
    <row r="409" spans="1:9">
      <c r="A409" s="4" t="s">
        <v>186</v>
      </c>
      <c r="B409" s="38">
        <f>IF('Loads'!$B63&lt;0,0,IF($B54*$B$354+'Aggreg'!$B240&gt;0,$B54*$B$354,0-'Aggreg'!$B240))</f>
        <v>0</v>
      </c>
      <c r="C409" s="38">
        <f>IF('Loads'!$B63&lt;0,0,IF($C54*$B$354+'Aggreg'!$C240&gt;0,$C54*$B$354,0-'Aggreg'!$C240))</f>
        <v>0</v>
      </c>
      <c r="D409" s="38">
        <f>IF('Loads'!$B63&lt;0,0,IF($D54*$B$354+'Aggreg'!$D240&gt;0,$D54*$B$354,0-'Aggreg'!$D240))</f>
        <v>0</v>
      </c>
      <c r="E409" s="38">
        <f>IF('Loads'!$B63&lt;0,0,IF($E54*$B$354+'Aggreg'!$E240&gt;0,$E54*$B$354,0-'Aggreg'!$E240))</f>
        <v>0</v>
      </c>
      <c r="F409" s="38">
        <f>IF('Loads'!$B63&lt;0,0,IF($F54*$B$354+'Aggreg'!$F240&gt;0,$F54*$B$354,0-'Aggreg'!$F240))</f>
        <v>0</v>
      </c>
      <c r="G409" s="38">
        <f>IF('Loads'!$B63&lt;0,0,IF($G54*$B$354+'Aggreg'!$G240&gt;0,$G54*$B$354,0-'Aggreg'!$G240))</f>
        <v>0</v>
      </c>
      <c r="H409" s="21">
        <f>0.01*'Input'!$F$58*(E409*'Loads'!$E300+F409*'Loads'!$F300)+10*(B409*'Loads'!$B300+C409*'Loads'!$C300+D409*'Loads'!$D300+G409*'Loads'!$G300)</f>
        <v>0</v>
      </c>
      <c r="I409" s="17"/>
    </row>
    <row r="410" spans="1:9">
      <c r="A410" s="4" t="s">
        <v>187</v>
      </c>
      <c r="B410" s="38">
        <f>IF('Loads'!$B64&lt;0,0,IF($B55*$B$354+'Aggreg'!$B241&gt;0,$B55*$B$354,0-'Aggreg'!$B241))</f>
        <v>0</v>
      </c>
      <c r="C410" s="38">
        <f>IF('Loads'!$B64&lt;0,0,IF($C55*$B$354+'Aggreg'!$C241&gt;0,$C55*$B$354,0-'Aggreg'!$C241))</f>
        <v>0</v>
      </c>
      <c r="D410" s="38">
        <f>IF('Loads'!$B64&lt;0,0,IF($D55*$B$354+'Aggreg'!$D241&gt;0,$D55*$B$354,0-'Aggreg'!$D241))</f>
        <v>0</v>
      </c>
      <c r="E410" s="38">
        <f>IF('Loads'!$B64&lt;0,0,IF($E55*$B$354+'Aggreg'!$E241&gt;0,$E55*$B$354,0-'Aggreg'!$E241))</f>
        <v>0</v>
      </c>
      <c r="F410" s="38">
        <f>IF('Loads'!$B64&lt;0,0,IF($F55*$B$354+'Aggreg'!$F241&gt;0,$F55*$B$354,0-'Aggreg'!$F241))</f>
        <v>0</v>
      </c>
      <c r="G410" s="38">
        <f>IF('Loads'!$B64&lt;0,0,IF($G55*$B$354+'Aggreg'!$G241&gt;0,$G55*$B$354,0-'Aggreg'!$G241))</f>
        <v>0</v>
      </c>
      <c r="H410" s="21">
        <f>0.01*'Input'!$F$58*(E410*'Loads'!$E301+F410*'Loads'!$F301)+10*(B410*'Loads'!$B301+C410*'Loads'!$C301+D410*'Loads'!$D301+G410*'Loads'!$G301)</f>
        <v>0</v>
      </c>
      <c r="I410" s="17"/>
    </row>
    <row r="411" spans="1:9">
      <c r="A411" s="4" t="s">
        <v>194</v>
      </c>
      <c r="B411" s="38">
        <f>IF('Loads'!$B65&lt;0,0,IF($B56*$B$354+'Aggreg'!$B242&gt;0,$B56*$B$354,0-'Aggreg'!$B242))</f>
        <v>0</v>
      </c>
      <c r="C411" s="38">
        <f>IF('Loads'!$B65&lt;0,0,IF($C56*$B$354+'Aggreg'!$C242&gt;0,$C56*$B$354,0-'Aggreg'!$C242))</f>
        <v>0</v>
      </c>
      <c r="D411" s="38">
        <f>IF('Loads'!$B65&lt;0,0,IF($D56*$B$354+'Aggreg'!$D242&gt;0,$D56*$B$354,0-'Aggreg'!$D242))</f>
        <v>0</v>
      </c>
      <c r="E411" s="38">
        <f>IF('Loads'!$B65&lt;0,0,IF($E56*$B$354+'Aggreg'!$E242&gt;0,$E56*$B$354,0-'Aggreg'!$E242))</f>
        <v>0</v>
      </c>
      <c r="F411" s="38">
        <f>IF('Loads'!$B65&lt;0,0,IF($F56*$B$354+'Aggreg'!$F242&gt;0,$F56*$B$354,0-'Aggreg'!$F242))</f>
        <v>0</v>
      </c>
      <c r="G411" s="38">
        <f>IF('Loads'!$B65&lt;0,0,IF($G56*$B$354+'Aggreg'!$G242&gt;0,$G56*$B$354,0-'Aggreg'!$G242))</f>
        <v>0</v>
      </c>
      <c r="H411" s="21">
        <f>0.01*'Input'!$F$58*(E411*'Loads'!$E302+F411*'Loads'!$F302)+10*(B411*'Loads'!$B302+C411*'Loads'!$C302+D411*'Loads'!$D302+G411*'Loads'!$G302)</f>
        <v>0</v>
      </c>
      <c r="I411" s="17"/>
    </row>
    <row r="412" spans="1:9">
      <c r="A412" s="4" t="s">
        <v>195</v>
      </c>
      <c r="B412" s="38">
        <f>IF('Loads'!$B66&lt;0,0,IF($B57*$B$354+'Aggreg'!$B243&gt;0,$B57*$B$354,0-'Aggreg'!$B243))</f>
        <v>0</v>
      </c>
      <c r="C412" s="38">
        <f>IF('Loads'!$B66&lt;0,0,IF($C57*$B$354+'Aggreg'!$C243&gt;0,$C57*$B$354,0-'Aggreg'!$C243))</f>
        <v>0</v>
      </c>
      <c r="D412" s="38">
        <f>IF('Loads'!$B66&lt;0,0,IF($D57*$B$354+'Aggreg'!$D243&gt;0,$D57*$B$354,0-'Aggreg'!$D243))</f>
        <v>0</v>
      </c>
      <c r="E412" s="38">
        <f>IF('Loads'!$B66&lt;0,0,IF($E57*$B$354+'Aggreg'!$E243&gt;0,$E57*$B$354,0-'Aggreg'!$E243))</f>
        <v>0</v>
      </c>
      <c r="F412" s="38">
        <f>IF('Loads'!$B66&lt;0,0,IF($F57*$B$354+'Aggreg'!$F243&gt;0,$F57*$B$354,0-'Aggreg'!$F243))</f>
        <v>0</v>
      </c>
      <c r="G412" s="38">
        <f>IF('Loads'!$B66&lt;0,0,IF($G57*$B$354+'Aggreg'!$G243&gt;0,$G57*$B$354,0-'Aggreg'!$G243))</f>
        <v>0</v>
      </c>
      <c r="H412" s="21">
        <f>0.01*'Input'!$F$58*(E412*'Loads'!$E303+F412*'Loads'!$F303)+10*(B412*'Loads'!$B303+C412*'Loads'!$C303+D412*'Loads'!$D303+G412*'Loads'!$G303)</f>
        <v>0</v>
      </c>
      <c r="I412" s="17"/>
    </row>
  </sheetData>
  <sheetProtection sheet="1" objects="1" scenarios="1"/>
  <hyperlinks>
    <hyperlink ref="A6" location="'Yard'!B10" display="x1 = 2901. Unit cost at each level, £/kW/year (relative to system simultaneous maximum load)"/>
    <hyperlink ref="A14" location="'Scaler'!B9" display="x1 = 3501. Factor to scale to £1/kW at transmission exit level"/>
    <hyperlink ref="A23" location="'Aggreg'!B14" display="x1 = 3301. Unit rate 1 p/kWh (elements)"/>
    <hyperlink ref="A24" location="'Scaler'!B18" display="x2 = 3502. Applicability factor for £1/kW scaler"/>
    <hyperlink ref="A25" location="'Aggreg'!B49" display="x3 = 3302. Unit rate 2 p/kWh (elements)"/>
    <hyperlink ref="A26" location="'Aggreg'!B84" display="x4 = 3303. Unit rate 3 p/kWh (elements)"/>
    <hyperlink ref="A27" location="'Aggreg'!B119" display="x5 = 3304. Fixed charge p/MPAN/day (elements)"/>
    <hyperlink ref="A28" location="'Aggreg'!B150" display="x6 = 3305. Capacity charge p/kVA/day (elements)"/>
    <hyperlink ref="A29" location="'Aggreg'!B182" display="x7 = 3306. Reactive power charge p/kVArh (elements)"/>
    <hyperlink ref="A61" location="'Loads'!B42" display="x1 = 2302. Load coefficient"/>
    <hyperlink ref="A62" location="'Scaler'!B33" display="x2 = 3503. Unit rate 1 p/kWh scalable part (in Scalable elements of tariff components)"/>
    <hyperlink ref="A63" location="'Loads'!B279" display="x3 = 2305. Rate 1 units (MWh) (in Equivalent volume for each end user)"/>
    <hyperlink ref="A64" location="'Scaler'!C33" display="x4 = 3503. Unit rate 2 p/kWh scalable part (in Scalable elements of tariff components)"/>
    <hyperlink ref="A65" location="'Loads'!C279" display="x5 = 2305. Rate 2 units (MWh) (in Equivalent volume for each end user)"/>
    <hyperlink ref="A66" location="'Scaler'!D33" display="x6 = 3503. Unit rate 3 p/kWh scalable part (in Scalable elements of tariff components)"/>
    <hyperlink ref="A67" location="'Loads'!D279" display="x7 = 2305. Rate 3 units (MWh) (in Equivalent volume for each end user)"/>
    <hyperlink ref="A68" location="'Scaler'!E33" display="x8 = 3503. Fixed charge p/MPAN/day scalable part (in Scalable elements of tariff components)"/>
    <hyperlink ref="A69" location="'Input'!F57" display="x9 = 1010. Days in the charging year (in Financial and general assumptions)"/>
    <hyperlink ref="A70" location="'Loads'!E279" display="x10 = 2305. MPANs (in Equivalent volume for each end user)"/>
    <hyperlink ref="A71" location="'Scaler'!F33" display="x11 = 3503. Capacity charge p/kVA/day scalable part (in Scalable elements of tariff components)"/>
    <hyperlink ref="A72" location="'Loads'!F279" display="x12 = 2305. Import capacity (kVA) (in Equivalent volume for each end user)"/>
    <hyperlink ref="A73" location="'Scaler'!G33" display="x13 = 3503. Reactive power charge p/kVArh scalable part (in Scalable elements of tariff components)"/>
    <hyperlink ref="A74" location="'Loads'!G279" display="x14 = 2305. Reactive power units (MVArh) (in Equivalent volume for each end user)"/>
    <hyperlink ref="A106" location="'Scaler'!B33" display="x1 = 3503. Unit rate 1 p/kWh scalable part (in Scalable elements of tariff components)"/>
    <hyperlink ref="A107" location="'Aggreg'!B219" display="x2 = 3307. Unit rate 1 p/kWh (total) (in Summary of charges before revenue matching)"/>
    <hyperlink ref="A108" location="'Scaler'!C33" display="x3 = 3503. Unit rate 2 p/kWh scalable part (in Scalable elements of tariff components)"/>
    <hyperlink ref="A109" location="'Aggreg'!C219" display="x4 = 3307. Unit rate 2 p/kWh (total) (in Summary of charges before revenue matching)"/>
    <hyperlink ref="A110" location="'Scaler'!D33" display="x5 = 3503. Unit rate 3 p/kWh scalable part (in Scalable elements of tariff components)"/>
    <hyperlink ref="A111" location="'Aggreg'!D219" display="x6 = 3307. Unit rate 3 p/kWh (total) (in Summary of charges before revenue matching)"/>
    <hyperlink ref="A112" location="'Scaler'!E33" display="x7 = 3503. Fixed charge p/MPAN/day scalable part (in Scalable elements of tariff components)"/>
    <hyperlink ref="A113" location="'Aggreg'!E219" display="x8 = 3307. Fixed charge p/MPAN/day (total) (in Summary of charges before revenue matching)"/>
    <hyperlink ref="A114" location="'Scaler'!F33" display="x9 = 3503. Capacity charge p/kVA/day scalable part (in Scalable elements of tariff components)"/>
    <hyperlink ref="A115" location="'Aggreg'!F219" display="x10 = 3307. Capacity charge p/kVA/day (total) (in Summary of charges before revenue matching)"/>
    <hyperlink ref="A116" location="'Scaler'!G33" display="x11 = 3503. Reactive power charge p/kVArh scalable part (in Scalable elements of tariff components)"/>
    <hyperlink ref="A117" location="'Aggreg'!G219" display="x12 = 3307. Reactive power charge p/kVArh (in Summary of charges before revenue matching)"/>
    <hyperlink ref="A149" location="'Revenue'!C65" display="x1 = 3403. Revenue shortfall (surplus) £ (in Revenue surplus or shortfall)"/>
    <hyperlink ref="A150" location="'Scaler'!B78" display="x2 = 3504. Effect through Unit rate 1 p/kWh (in Marginal revenue effect of scaler)"/>
    <hyperlink ref="A151" location="'Scaler'!C78" display="x3 = 3504. Effect through Unit rate 2 p/kWh (in Marginal revenue effect of scaler)"/>
    <hyperlink ref="A152" location="'Scaler'!D78" display="x4 = 3504. Effect through Unit rate 3 p/kWh (in Marginal revenue effect of scaler)"/>
    <hyperlink ref="A153" location="'Scaler'!E78" display="x5 = 3504. Effect through Fixed charge p/MPAN/day (in Marginal revenue effect of scaler)"/>
    <hyperlink ref="A154" location="'Scaler'!F78" display="x6 = 3504. Effect through Capacity charge p/kVA/day (in Marginal revenue effect of scaler)"/>
    <hyperlink ref="A155" location="'Scaler'!G78" display="x7 = 3504. Effect through Reactive power charge p/kVArh (in Marginal revenue effect of scaler)"/>
    <hyperlink ref="A163" location="'Scaler'!B158" display="x1 = 3506. Constraint-free solution"/>
    <hyperlink ref="A164" location="'Scaler'!B121" display="x2 = 3505. Scaler threshold for Unit rate 1 p/kWh (in Scaler value at which the minimum is breached)"/>
    <hyperlink ref="A165" location="'Scaler'!C121" display="x3 = 3505. Scaler threshold for Unit rate 2 p/kWh (in Scaler value at which the minimum is breached)"/>
    <hyperlink ref="A166" location="'Scaler'!D121" display="x4 = 3505. Scaler threshold for Unit rate 3 p/kWh (in Scaler value at which the minimum is breached)"/>
    <hyperlink ref="A167" location="'Scaler'!E121" display="x5 = 3505. Scaler threshold for Fixed charge p/MPAN/day (in Scaler value at which the minimum is breached)"/>
    <hyperlink ref="A168" location="'Scaler'!F121" display="x6 = 3505. Scaler threshold for Capacity charge p/kVA/day (in Scaler value at which the minimum is breached)"/>
    <hyperlink ref="A169" location="'Scaler'!G121" display="x7 = 3505. Scaler threshold for Reactive power charge p/kVArh (in Scaler value at which the minimum is breached)"/>
    <hyperlink ref="A177" location="'Scaler'!B172" display="x1 = 3507. Starting point"/>
    <hyperlink ref="A178" location="'Scaler'!B78" display="x2 = 3504. Effect through Unit rate 1 p/kWh (in Marginal revenue effect of scaler)"/>
    <hyperlink ref="A179" location="'Scaler'!C78" display="x3 = 3504. Effect through Unit rate 2 p/kWh (in Marginal revenue effect of scaler)"/>
    <hyperlink ref="A180" location="'Scaler'!D78" display="x4 = 3504. Effect through Unit rate 3 p/kWh (in Marginal revenue effect of scaler)"/>
    <hyperlink ref="A181" location="'Scaler'!E78" display="x5 = 3504. Effect through Fixed charge p/MPAN/day (in Marginal revenue effect of scaler)"/>
    <hyperlink ref="A182" location="'Scaler'!F78" display="x6 = 3504. Effect through Capacity charge p/kVA/day (in Marginal revenue effect of scaler)"/>
    <hyperlink ref="A183" location="'Scaler'!G78" display="x7 = 3504. Effect through Reactive power charge p/kVArh (in Marginal revenue effect of scaler)"/>
    <hyperlink ref="A184" location="'Scaler'!B201" display="x8 = Location (in Solve for General scaler rate)"/>
    <hyperlink ref="A185" location="'Scaler'!C201" display="x9 = Kink (in Solve for General scaler rate)"/>
    <hyperlink ref="A186" location="'Scaler'!F201" display="x10 = Ranking before tie break (in Solve for General scaler rate)"/>
    <hyperlink ref="A187" location="'Scaler'!G201" display="x11 = Counter (in Solve for General scaler rate)"/>
    <hyperlink ref="A188" location="'Scaler'!H201" display="x12 = Tie breaker (in Solve for General scaler rate)"/>
    <hyperlink ref="A189" location="'Scaler'!I201" display="x13 = Ranking (in Solve for General scaler rate)"/>
    <hyperlink ref="A190" location="'Scaler'!J201" display="x14 = Kink reordering (in Solve for General scaler rate)"/>
    <hyperlink ref="A191" location="'Scaler'!D201" display="x15 = Starting slope contributions (in Solve for General scaler rate)"/>
    <hyperlink ref="A192" location="'Scaler'!L201" display="x16 = New slope (in Solve for General scaler rate)"/>
    <hyperlink ref="A193" location="'Scaler'!K201" display="x17 = Location (ordered) (in Solve for General scaler rate)"/>
    <hyperlink ref="A194" location="'Scaler'!E201" display="x18 = Starting values (in Solve for General scaler rate)"/>
    <hyperlink ref="A195" location="'Revenue'!C65" display="x19 = 3403. Revenue shortfall (surplus) £ (in Revenue surplus or shortfall)"/>
    <hyperlink ref="A196" location="'Scaler'!B158" display="x20 = 3506. Constraint-free solution"/>
    <hyperlink ref="A197" location="'Scaler'!M201" display="x21 = Value (in Solve for General scaler rate)"/>
    <hyperlink ref="A350" location="'Scaler'!N201" display="x1 = 3508. Root (in Solve for General scaler rate)"/>
    <hyperlink ref="A358" location="'Loads'!B42" display="x1 = 2302. Load coefficient"/>
    <hyperlink ref="A359" location="'Scaler'!B33" display="x2 = 3503. Unit rate 1 p/kWh scalable part (in Scalable elements of tariff components)"/>
    <hyperlink ref="A360" location="'Scaler'!B353" display="x3 = 3509. General scaler rate"/>
    <hyperlink ref="A361" location="'Aggreg'!B219" display="x4 = 3307. Unit rate 1 p/kWh (total) (in Summary of charges before revenue matching)"/>
    <hyperlink ref="A362" location="'Scaler'!C33" display="x5 = 3503. Unit rate 2 p/kWh scalable part (in Scalable elements of tariff components)"/>
    <hyperlink ref="A363" location="'Aggreg'!C219" display="x6 = 3307. Unit rate 2 p/kWh (total) (in Summary of charges before revenue matching)"/>
    <hyperlink ref="A364" location="'Scaler'!D33" display="x7 = 3503. Unit rate 3 p/kWh scalable part (in Scalable elements of tariff components)"/>
    <hyperlink ref="A365" location="'Aggreg'!D219" display="x8 = 3307. Unit rate 3 p/kWh (total) (in Summary of charges before revenue matching)"/>
    <hyperlink ref="A366" location="'Scaler'!E33" display="x9 = 3503. Fixed charge p/MPAN/day scalable part (in Scalable elements of tariff components)"/>
    <hyperlink ref="A367" location="'Aggreg'!E219" display="x10 = 3307. Fixed charge p/MPAN/day (total) (in Summary of charges before revenue matching)"/>
    <hyperlink ref="A368" location="'Scaler'!F33" display="x11 = 3503. Capacity charge p/kVA/day scalable part (in Scalable elements of tariff components)"/>
    <hyperlink ref="A369" location="'Aggreg'!F219" display="x12 = 3307. Capacity charge p/kVA/day (total) (in Summary of charges before revenue matching)"/>
    <hyperlink ref="A370" location="'Scaler'!G33" display="x13 = 3503. Reactive power charge p/kVArh scalable part (in Scalable elements of tariff components)"/>
    <hyperlink ref="A371" location="'Aggreg'!G219" display="x14 = 3307. Reactive power charge p/kVArh (in Summary of charges before revenue matching)"/>
    <hyperlink ref="A372" location="'Input'!F57" display="x15 = 1010. Days in the charging year (in Financial and general assumptions)"/>
    <hyperlink ref="A373" location="'Scaler'!E388" display="x16 = Fixed charge p/MPAN/day scaler (in Scaler)"/>
    <hyperlink ref="A374" location="'Loads'!E279" display="x17 = 2305. MPANs (in Equivalent volume for each end user)"/>
    <hyperlink ref="A375" location="'Scaler'!F388" display="x18 = Capacity charge p/kVA/day scaler (in Scaler)"/>
    <hyperlink ref="A376" location="'Loads'!F279" display="x19 = 2305. Import capacity (kVA) (in Equivalent volume for each end user)"/>
    <hyperlink ref="A377" location="'Scaler'!B388" display="x20 = Unit rate 1 p/kWh scaler (in Scaler)"/>
    <hyperlink ref="A378" location="'Loads'!B279" display="x21 = 2305. Rate 1 units (MWh) (in Equivalent volume for each end user)"/>
    <hyperlink ref="A379" location="'Scaler'!C388" display="x22 = Unit rate 2 p/kWh scaler (in Scaler)"/>
    <hyperlink ref="A380" location="'Loads'!C279" display="x23 = 2305. Rate 2 units (MWh) (in Equivalent volume for each end user)"/>
    <hyperlink ref="A381" location="'Scaler'!D388" display="x24 = Unit rate 3 p/kWh scaler (in Scaler)"/>
    <hyperlink ref="A382" location="'Loads'!D279" display="x25 = 2305. Rate 3 units (MWh) (in Equivalent volume for each end user)"/>
    <hyperlink ref="A383" location="'Scaler'!G388" display="x26 = Reactive power charge p/kVArh scaler (in Scaler)"/>
    <hyperlink ref="A384" location="'Loads'!G279" display="x27 = 2305. Reactive power units (MVArh) (in Equivalent volume for each end user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8.7109375" customWidth="1"/>
  </cols>
  <sheetData>
    <row r="1" spans="1:1" ht="21" customHeight="1">
      <c r="A1" s="1">
        <f>"Tariff component adjustment and rounding for "&amp;'Input'!B7&amp;" in "&amp;'Input'!C7&amp;" ("&amp;'Input'!D7&amp;")"</f>
        <v>0</v>
      </c>
    </row>
    <row r="3" spans="1:1" ht="21" customHeight="1">
      <c r="A3" s="1" t="s">
        <v>1447</v>
      </c>
    </row>
    <row r="4" spans="1:1">
      <c r="A4" s="2" t="s">
        <v>351</v>
      </c>
    </row>
    <row r="5" spans="1:1">
      <c r="A5" s="33" t="s">
        <v>1448</v>
      </c>
    </row>
    <row r="6" spans="1:1">
      <c r="A6" s="33" t="s">
        <v>1449</v>
      </c>
    </row>
    <row r="7" spans="1:1">
      <c r="A7" s="33" t="s">
        <v>1450</v>
      </c>
    </row>
    <row r="8" spans="1:1">
      <c r="A8" s="33" t="s">
        <v>1451</v>
      </c>
    </row>
    <row r="9" spans="1:1">
      <c r="A9" s="33" t="s">
        <v>1452</v>
      </c>
    </row>
    <row r="10" spans="1:1">
      <c r="A10" s="33" t="s">
        <v>1453</v>
      </c>
    </row>
    <row r="11" spans="1:1">
      <c r="A11" s="33" t="s">
        <v>1454</v>
      </c>
    </row>
    <row r="12" spans="1:1">
      <c r="A12" s="33" t="s">
        <v>1455</v>
      </c>
    </row>
    <row r="13" spans="1:1">
      <c r="A13" s="33" t="s">
        <v>1456</v>
      </c>
    </row>
    <row r="14" spans="1:1">
      <c r="A14" s="33" t="s">
        <v>1457</v>
      </c>
    </row>
    <row r="15" spans="1:1">
      <c r="A15" s="33" t="s">
        <v>1458</v>
      </c>
    </row>
    <row r="16" spans="1:1">
      <c r="A16" s="33" t="s">
        <v>1459</v>
      </c>
    </row>
    <row r="17" spans="1:8">
      <c r="A17" s="34" t="s">
        <v>354</v>
      </c>
      <c r="B17" s="34" t="s">
        <v>484</v>
      </c>
      <c r="C17" s="34" t="s">
        <v>484</v>
      </c>
      <c r="D17" s="34" t="s">
        <v>484</v>
      </c>
      <c r="E17" s="34" t="s">
        <v>484</v>
      </c>
      <c r="F17" s="34" t="s">
        <v>484</v>
      </c>
      <c r="G17" s="34" t="s">
        <v>484</v>
      </c>
    </row>
    <row r="18" spans="1:8">
      <c r="A18" s="34" t="s">
        <v>357</v>
      </c>
      <c r="B18" s="34" t="s">
        <v>1460</v>
      </c>
      <c r="C18" s="34" t="s">
        <v>1461</v>
      </c>
      <c r="D18" s="34" t="s">
        <v>1462</v>
      </c>
      <c r="E18" s="34" t="s">
        <v>1463</v>
      </c>
      <c r="F18" s="34" t="s">
        <v>1464</v>
      </c>
      <c r="G18" s="34" t="s">
        <v>1465</v>
      </c>
    </row>
    <row r="20" spans="1:8">
      <c r="B20" s="15" t="s">
        <v>1466</v>
      </c>
      <c r="C20" s="15" t="s">
        <v>1467</v>
      </c>
      <c r="D20" s="15" t="s">
        <v>1468</v>
      </c>
      <c r="E20" s="15" t="s">
        <v>1469</v>
      </c>
      <c r="F20" s="15" t="s">
        <v>1470</v>
      </c>
      <c r="G20" s="15" t="s">
        <v>1099</v>
      </c>
    </row>
    <row r="21" spans="1:8">
      <c r="A21" s="4" t="s">
        <v>174</v>
      </c>
      <c r="B21" s="45">
        <f>'Aggreg'!$B220+'Scaler'!$B389</f>
        <v>0</v>
      </c>
      <c r="C21" s="10"/>
      <c r="D21" s="10"/>
      <c r="E21" s="45">
        <f>'Aggreg'!$E220+'Scaler'!$E389</f>
        <v>0</v>
      </c>
      <c r="F21" s="10"/>
      <c r="G21" s="10"/>
      <c r="H21" s="17"/>
    </row>
    <row r="22" spans="1:8">
      <c r="A22" s="4" t="s">
        <v>175</v>
      </c>
      <c r="B22" s="45">
        <f>'Aggreg'!$B221+'Scaler'!$B390</f>
        <v>0</v>
      </c>
      <c r="C22" s="45">
        <f>'Aggreg'!$C221+'Scaler'!$C390</f>
        <v>0</v>
      </c>
      <c r="D22" s="10"/>
      <c r="E22" s="45">
        <f>'Aggreg'!$E221+'Scaler'!$E390</f>
        <v>0</v>
      </c>
      <c r="F22" s="10"/>
      <c r="G22" s="10"/>
      <c r="H22" s="17"/>
    </row>
    <row r="23" spans="1:8">
      <c r="A23" s="4" t="s">
        <v>211</v>
      </c>
      <c r="B23" s="45">
        <f>'Aggreg'!$B222+'Scaler'!$B391</f>
        <v>0</v>
      </c>
      <c r="C23" s="10"/>
      <c r="D23" s="10"/>
      <c r="E23" s="10"/>
      <c r="F23" s="10"/>
      <c r="G23" s="10"/>
      <c r="H23" s="17"/>
    </row>
    <row r="24" spans="1:8">
      <c r="A24" s="4" t="s">
        <v>176</v>
      </c>
      <c r="B24" s="45">
        <f>'Aggreg'!$B223+'Scaler'!$B392</f>
        <v>0</v>
      </c>
      <c r="C24" s="10"/>
      <c r="D24" s="10"/>
      <c r="E24" s="45">
        <f>'Aggreg'!$E223+'Scaler'!$E392</f>
        <v>0</v>
      </c>
      <c r="F24" s="10"/>
      <c r="G24" s="10"/>
      <c r="H24" s="17"/>
    </row>
    <row r="25" spans="1:8">
      <c r="A25" s="4" t="s">
        <v>177</v>
      </c>
      <c r="B25" s="45">
        <f>'Aggreg'!$B224+'Scaler'!$B393</f>
        <v>0</v>
      </c>
      <c r="C25" s="45">
        <f>'Aggreg'!$C224+'Scaler'!$C393</f>
        <v>0</v>
      </c>
      <c r="D25" s="10"/>
      <c r="E25" s="45">
        <f>'Aggreg'!$E224+'Scaler'!$E393</f>
        <v>0</v>
      </c>
      <c r="F25" s="10"/>
      <c r="G25" s="10"/>
      <c r="H25" s="17"/>
    </row>
    <row r="26" spans="1:8">
      <c r="A26" s="4" t="s">
        <v>212</v>
      </c>
      <c r="B26" s="45">
        <f>'Aggreg'!$B225+'Scaler'!$B394</f>
        <v>0</v>
      </c>
      <c r="C26" s="10"/>
      <c r="D26" s="10"/>
      <c r="E26" s="10"/>
      <c r="F26" s="10"/>
      <c r="G26" s="10"/>
      <c r="H26" s="17"/>
    </row>
    <row r="27" spans="1:8">
      <c r="A27" s="4" t="s">
        <v>178</v>
      </c>
      <c r="B27" s="45">
        <f>'Aggreg'!$B226+'Scaler'!$B395</f>
        <v>0</v>
      </c>
      <c r="C27" s="45">
        <f>'Aggreg'!$C226+'Scaler'!$C395</f>
        <v>0</v>
      </c>
      <c r="D27" s="45">
        <f>'Aggreg'!$D226+'Scaler'!$D395</f>
        <v>0</v>
      </c>
      <c r="E27" s="45">
        <f>'Aggreg'!$E226+'Scaler'!$E395</f>
        <v>0</v>
      </c>
      <c r="F27" s="10"/>
      <c r="G27" s="10"/>
      <c r="H27" s="17"/>
    </row>
    <row r="28" spans="1:8">
      <c r="A28" s="4" t="s">
        <v>179</v>
      </c>
      <c r="B28" s="45">
        <f>'Aggreg'!$B227+'Scaler'!$B396</f>
        <v>0</v>
      </c>
      <c r="C28" s="45">
        <f>'Aggreg'!$C227+'Scaler'!$C396</f>
        <v>0</v>
      </c>
      <c r="D28" s="45">
        <f>'Aggreg'!$D227+'Scaler'!$D396</f>
        <v>0</v>
      </c>
      <c r="E28" s="45">
        <f>'Aggreg'!$E227+'Scaler'!$E396</f>
        <v>0</v>
      </c>
      <c r="F28" s="10"/>
      <c r="G28" s="10"/>
      <c r="H28" s="17"/>
    </row>
    <row r="29" spans="1:8">
      <c r="A29" s="4" t="s">
        <v>180</v>
      </c>
      <c r="B29" s="45">
        <f>'Aggreg'!$B228+'Scaler'!$B397</f>
        <v>0</v>
      </c>
      <c r="C29" s="45">
        <f>'Aggreg'!$C228+'Scaler'!$C397</f>
        <v>0</v>
      </c>
      <c r="D29" s="45">
        <f>'Aggreg'!$D228+'Scaler'!$D397</f>
        <v>0</v>
      </c>
      <c r="E29" s="45">
        <f>'Aggreg'!$E228+'Scaler'!$E397</f>
        <v>0</v>
      </c>
      <c r="F29" s="45">
        <f>'Aggreg'!$F228+'Scaler'!$F397</f>
        <v>0</v>
      </c>
      <c r="G29" s="45">
        <f>'Aggreg'!$G228+'Scaler'!$G397</f>
        <v>0</v>
      </c>
      <c r="H29" s="17"/>
    </row>
    <row r="30" spans="1:8">
      <c r="A30" s="4" t="s">
        <v>181</v>
      </c>
      <c r="B30" s="45">
        <f>'Aggreg'!$B229+'Scaler'!$B398</f>
        <v>0</v>
      </c>
      <c r="C30" s="45">
        <f>'Aggreg'!$C229+'Scaler'!$C398</f>
        <v>0</v>
      </c>
      <c r="D30" s="45">
        <f>'Aggreg'!$D229+'Scaler'!$D398</f>
        <v>0</v>
      </c>
      <c r="E30" s="45">
        <f>'Aggreg'!$E229+'Scaler'!$E398</f>
        <v>0</v>
      </c>
      <c r="F30" s="45">
        <f>'Aggreg'!$F229+'Scaler'!$F398</f>
        <v>0</v>
      </c>
      <c r="G30" s="45">
        <f>'Aggreg'!$G229+'Scaler'!$G398</f>
        <v>0</v>
      </c>
      <c r="H30" s="17"/>
    </row>
    <row r="31" spans="1:8">
      <c r="A31" s="4" t="s">
        <v>193</v>
      </c>
      <c r="B31" s="45">
        <f>'Aggreg'!$B230+'Scaler'!$B399</f>
        <v>0</v>
      </c>
      <c r="C31" s="45">
        <f>'Aggreg'!$C230+'Scaler'!$C399</f>
        <v>0</v>
      </c>
      <c r="D31" s="45">
        <f>'Aggreg'!$D230+'Scaler'!$D399</f>
        <v>0</v>
      </c>
      <c r="E31" s="45">
        <f>'Aggreg'!$E230+'Scaler'!$E399</f>
        <v>0</v>
      </c>
      <c r="F31" s="45">
        <f>'Aggreg'!$F230+'Scaler'!$F399</f>
        <v>0</v>
      </c>
      <c r="G31" s="45">
        <f>'Aggreg'!$G230+'Scaler'!$G399</f>
        <v>0</v>
      </c>
      <c r="H31" s="17"/>
    </row>
    <row r="32" spans="1:8">
      <c r="A32" s="4" t="s">
        <v>213</v>
      </c>
      <c r="B32" s="45">
        <f>'Aggreg'!$B231+'Scaler'!$B400</f>
        <v>0</v>
      </c>
      <c r="C32" s="10"/>
      <c r="D32" s="10"/>
      <c r="E32" s="10"/>
      <c r="F32" s="10"/>
      <c r="G32" s="10"/>
      <c r="H32" s="17"/>
    </row>
    <row r="33" spans="1:8">
      <c r="A33" s="4" t="s">
        <v>214</v>
      </c>
      <c r="B33" s="45">
        <f>'Aggreg'!$B232+'Scaler'!$B401</f>
        <v>0</v>
      </c>
      <c r="C33" s="10"/>
      <c r="D33" s="10"/>
      <c r="E33" s="10"/>
      <c r="F33" s="10"/>
      <c r="G33" s="10"/>
      <c r="H33" s="17"/>
    </row>
    <row r="34" spans="1:8">
      <c r="A34" s="4" t="s">
        <v>215</v>
      </c>
      <c r="B34" s="45">
        <f>'Aggreg'!$B233+'Scaler'!$B402</f>
        <v>0</v>
      </c>
      <c r="C34" s="10"/>
      <c r="D34" s="10"/>
      <c r="E34" s="10"/>
      <c r="F34" s="10"/>
      <c r="G34" s="10"/>
      <c r="H34" s="17"/>
    </row>
    <row r="35" spans="1:8">
      <c r="A35" s="4" t="s">
        <v>216</v>
      </c>
      <c r="B35" s="45">
        <f>'Aggreg'!$B234+'Scaler'!$B403</f>
        <v>0</v>
      </c>
      <c r="C35" s="10"/>
      <c r="D35" s="10"/>
      <c r="E35" s="10"/>
      <c r="F35" s="10"/>
      <c r="G35" s="10"/>
      <c r="H35" s="17"/>
    </row>
    <row r="36" spans="1:8">
      <c r="A36" s="4" t="s">
        <v>217</v>
      </c>
      <c r="B36" s="45">
        <f>'Aggreg'!$B235+'Scaler'!$B404</f>
        <v>0</v>
      </c>
      <c r="C36" s="45">
        <f>'Aggreg'!$C235+'Scaler'!$C404</f>
        <v>0</v>
      </c>
      <c r="D36" s="45">
        <f>'Aggreg'!$D235+'Scaler'!$D404</f>
        <v>0</v>
      </c>
      <c r="E36" s="10"/>
      <c r="F36" s="10"/>
      <c r="G36" s="10"/>
      <c r="H36" s="17"/>
    </row>
    <row r="37" spans="1:8">
      <c r="A37" s="4" t="s">
        <v>182</v>
      </c>
      <c r="B37" s="45">
        <f>'Aggreg'!$B236+'Scaler'!$B405</f>
        <v>0</v>
      </c>
      <c r="C37" s="10"/>
      <c r="D37" s="10"/>
      <c r="E37" s="45">
        <f>'Aggreg'!$E236+'Scaler'!$E405</f>
        <v>0</v>
      </c>
      <c r="F37" s="10"/>
      <c r="G37" s="10"/>
      <c r="H37" s="17"/>
    </row>
    <row r="38" spans="1:8">
      <c r="A38" s="4" t="s">
        <v>183</v>
      </c>
      <c r="B38" s="45">
        <f>'Aggreg'!$B237+'Scaler'!$B406</f>
        <v>0</v>
      </c>
      <c r="C38" s="10"/>
      <c r="D38" s="10"/>
      <c r="E38" s="45">
        <f>'Aggreg'!$E237+'Scaler'!$E406</f>
        <v>0</v>
      </c>
      <c r="F38" s="10"/>
      <c r="G38" s="10"/>
      <c r="H38" s="17"/>
    </row>
    <row r="39" spans="1:8">
      <c r="A39" s="4" t="s">
        <v>184</v>
      </c>
      <c r="B39" s="45">
        <f>'Aggreg'!$B238+'Scaler'!$B407</f>
        <v>0</v>
      </c>
      <c r="C39" s="10"/>
      <c r="D39" s="10"/>
      <c r="E39" s="45">
        <f>'Aggreg'!$E238+'Scaler'!$E407</f>
        <v>0</v>
      </c>
      <c r="F39" s="10"/>
      <c r="G39" s="45">
        <f>'Aggreg'!$G238+'Scaler'!$G407</f>
        <v>0</v>
      </c>
      <c r="H39" s="17"/>
    </row>
    <row r="40" spans="1:8">
      <c r="A40" s="4" t="s">
        <v>185</v>
      </c>
      <c r="B40" s="45">
        <f>'Aggreg'!$B239+'Scaler'!$B408</f>
        <v>0</v>
      </c>
      <c r="C40" s="45">
        <f>'Aggreg'!$C239+'Scaler'!$C408</f>
        <v>0</v>
      </c>
      <c r="D40" s="45">
        <f>'Aggreg'!$D239+'Scaler'!$D408</f>
        <v>0</v>
      </c>
      <c r="E40" s="45">
        <f>'Aggreg'!$E239+'Scaler'!$E408</f>
        <v>0</v>
      </c>
      <c r="F40" s="10"/>
      <c r="G40" s="45">
        <f>'Aggreg'!$G239+'Scaler'!$G408</f>
        <v>0</v>
      </c>
      <c r="H40" s="17"/>
    </row>
    <row r="41" spans="1:8">
      <c r="A41" s="4" t="s">
        <v>186</v>
      </c>
      <c r="B41" s="45">
        <f>'Aggreg'!$B240+'Scaler'!$B409</f>
        <v>0</v>
      </c>
      <c r="C41" s="10"/>
      <c r="D41" s="10"/>
      <c r="E41" s="45">
        <f>'Aggreg'!$E240+'Scaler'!$E409</f>
        <v>0</v>
      </c>
      <c r="F41" s="10"/>
      <c r="G41" s="45">
        <f>'Aggreg'!$G240+'Scaler'!$G409</f>
        <v>0</v>
      </c>
      <c r="H41" s="17"/>
    </row>
    <row r="42" spans="1:8">
      <c r="A42" s="4" t="s">
        <v>187</v>
      </c>
      <c r="B42" s="45">
        <f>'Aggreg'!$B241+'Scaler'!$B410</f>
        <v>0</v>
      </c>
      <c r="C42" s="45">
        <f>'Aggreg'!$C241+'Scaler'!$C410</f>
        <v>0</v>
      </c>
      <c r="D42" s="45">
        <f>'Aggreg'!$D241+'Scaler'!$D410</f>
        <v>0</v>
      </c>
      <c r="E42" s="45">
        <f>'Aggreg'!$E241+'Scaler'!$E410</f>
        <v>0</v>
      </c>
      <c r="F42" s="10"/>
      <c r="G42" s="45">
        <f>'Aggreg'!$G241+'Scaler'!$G410</f>
        <v>0</v>
      </c>
      <c r="H42" s="17"/>
    </row>
    <row r="43" spans="1:8">
      <c r="A43" s="4" t="s">
        <v>194</v>
      </c>
      <c r="B43" s="45">
        <f>'Aggreg'!$B242+'Scaler'!$B411</f>
        <v>0</v>
      </c>
      <c r="C43" s="10"/>
      <c r="D43" s="10"/>
      <c r="E43" s="45">
        <f>'Aggreg'!$E242+'Scaler'!$E411</f>
        <v>0</v>
      </c>
      <c r="F43" s="10"/>
      <c r="G43" s="45">
        <f>'Aggreg'!$G242+'Scaler'!$G411</f>
        <v>0</v>
      </c>
      <c r="H43" s="17"/>
    </row>
    <row r="44" spans="1:8">
      <c r="A44" s="4" t="s">
        <v>195</v>
      </c>
      <c r="B44" s="45">
        <f>'Aggreg'!$B243+'Scaler'!$B412</f>
        <v>0</v>
      </c>
      <c r="C44" s="45">
        <f>'Aggreg'!$C243+'Scaler'!$C412</f>
        <v>0</v>
      </c>
      <c r="D44" s="45">
        <f>'Aggreg'!$D243+'Scaler'!$D412</f>
        <v>0</v>
      </c>
      <c r="E44" s="45">
        <f>'Aggreg'!$E243+'Scaler'!$E412</f>
        <v>0</v>
      </c>
      <c r="F44" s="10"/>
      <c r="G44" s="45">
        <f>'Aggreg'!$G243+'Scaler'!$G412</f>
        <v>0</v>
      </c>
      <c r="H44" s="17"/>
    </row>
    <row r="46" spans="1:8" ht="21" customHeight="1">
      <c r="A46" s="1" t="s">
        <v>1471</v>
      </c>
    </row>
    <row r="48" spans="1:8">
      <c r="B48" s="15" t="s">
        <v>1466</v>
      </c>
      <c r="C48" s="15" t="s">
        <v>1467</v>
      </c>
      <c r="D48" s="15" t="s">
        <v>1468</v>
      </c>
      <c r="E48" s="15" t="s">
        <v>1469</v>
      </c>
      <c r="F48" s="15" t="s">
        <v>1470</v>
      </c>
      <c r="G48" s="15" t="s">
        <v>1099</v>
      </c>
    </row>
    <row r="49" spans="1:8">
      <c r="A49" s="4" t="s">
        <v>1472</v>
      </c>
      <c r="B49" s="37">
        <v>3</v>
      </c>
      <c r="C49" s="37">
        <v>3</v>
      </c>
      <c r="D49" s="37">
        <v>3</v>
      </c>
      <c r="E49" s="37">
        <v>2</v>
      </c>
      <c r="F49" s="37">
        <v>2</v>
      </c>
      <c r="G49" s="37">
        <v>3</v>
      </c>
      <c r="H49" s="17"/>
    </row>
    <row r="51" spans="1:8" ht="21" customHeight="1">
      <c r="A51" s="1" t="s">
        <v>1473</v>
      </c>
    </row>
    <row r="52" spans="1:8">
      <c r="A52" s="2" t="s">
        <v>351</v>
      </c>
    </row>
    <row r="53" spans="1:8">
      <c r="A53" s="33" t="s">
        <v>1474</v>
      </c>
    </row>
    <row r="54" spans="1:8">
      <c r="A54" s="33" t="s">
        <v>1475</v>
      </c>
    </row>
    <row r="55" spans="1:8">
      <c r="A55" s="33" t="s">
        <v>1476</v>
      </c>
    </row>
    <row r="56" spans="1:8">
      <c r="A56" s="33" t="s">
        <v>1477</v>
      </c>
    </row>
    <row r="57" spans="1:8">
      <c r="A57" s="33" t="s">
        <v>1478</v>
      </c>
    </row>
    <row r="58" spans="1:8">
      <c r="A58" s="33" t="s">
        <v>1479</v>
      </c>
    </row>
    <row r="59" spans="1:8">
      <c r="A59" s="33" t="s">
        <v>1480</v>
      </c>
    </row>
    <row r="60" spans="1:8">
      <c r="A60" s="33" t="s">
        <v>1481</v>
      </c>
    </row>
    <row r="61" spans="1:8">
      <c r="A61" s="33" t="s">
        <v>1482</v>
      </c>
    </row>
    <row r="62" spans="1:8">
      <c r="A62" s="33" t="s">
        <v>1483</v>
      </c>
    </row>
    <row r="63" spans="1:8">
      <c r="A63" s="33" t="s">
        <v>1484</v>
      </c>
    </row>
    <row r="64" spans="1:8">
      <c r="A64" s="33" t="s">
        <v>1485</v>
      </c>
    </row>
    <row r="65" spans="1:8">
      <c r="A65" s="34" t="s">
        <v>354</v>
      </c>
      <c r="B65" s="34" t="s">
        <v>484</v>
      </c>
      <c r="C65" s="34" t="s">
        <v>484</v>
      </c>
      <c r="D65" s="34" t="s">
        <v>484</v>
      </c>
      <c r="E65" s="34" t="s">
        <v>484</v>
      </c>
      <c r="F65" s="34" t="s">
        <v>484</v>
      </c>
      <c r="G65" s="34" t="s">
        <v>484</v>
      </c>
    </row>
    <row r="66" spans="1:8">
      <c r="A66" s="34" t="s">
        <v>357</v>
      </c>
      <c r="B66" s="34" t="s">
        <v>1486</v>
      </c>
      <c r="C66" s="34" t="s">
        <v>1487</v>
      </c>
      <c r="D66" s="34" t="s">
        <v>1488</v>
      </c>
      <c r="E66" s="34" t="s">
        <v>1489</v>
      </c>
      <c r="F66" s="34" t="s">
        <v>1490</v>
      </c>
      <c r="G66" s="34" t="s">
        <v>1491</v>
      </c>
    </row>
    <row r="68" spans="1:8">
      <c r="B68" s="15" t="s">
        <v>1466</v>
      </c>
      <c r="C68" s="15" t="s">
        <v>1467</v>
      </c>
      <c r="D68" s="15" t="s">
        <v>1468</v>
      </c>
      <c r="E68" s="15" t="s">
        <v>1469</v>
      </c>
      <c r="F68" s="15" t="s">
        <v>1470</v>
      </c>
      <c r="G68" s="15" t="s">
        <v>1099</v>
      </c>
    </row>
    <row r="69" spans="1:8">
      <c r="A69" s="4" t="s">
        <v>174</v>
      </c>
      <c r="B69" s="45">
        <f>ROUND(B21,B$49)-B21</f>
        <v>0</v>
      </c>
      <c r="C69" s="10"/>
      <c r="D69" s="10"/>
      <c r="E69" s="45">
        <f>ROUND(E21,E$49)-E21</f>
        <v>0</v>
      </c>
      <c r="F69" s="10"/>
      <c r="G69" s="10"/>
      <c r="H69" s="17"/>
    </row>
    <row r="70" spans="1:8">
      <c r="A70" s="4" t="s">
        <v>175</v>
      </c>
      <c r="B70" s="45">
        <f>ROUND(B22,B$49)-B22</f>
        <v>0</v>
      </c>
      <c r="C70" s="45">
        <f>ROUND(C22,C$49)-C22</f>
        <v>0</v>
      </c>
      <c r="D70" s="10"/>
      <c r="E70" s="45">
        <f>ROUND(E22,E$49)-E22</f>
        <v>0</v>
      </c>
      <c r="F70" s="10"/>
      <c r="G70" s="10"/>
      <c r="H70" s="17"/>
    </row>
    <row r="71" spans="1:8">
      <c r="A71" s="4" t="s">
        <v>211</v>
      </c>
      <c r="B71" s="45">
        <f>ROUND(B23,B$49)-B23</f>
        <v>0</v>
      </c>
      <c r="C71" s="10"/>
      <c r="D71" s="10"/>
      <c r="E71" s="10"/>
      <c r="F71" s="10"/>
      <c r="G71" s="10"/>
      <c r="H71" s="17"/>
    </row>
    <row r="72" spans="1:8">
      <c r="A72" s="4" t="s">
        <v>176</v>
      </c>
      <c r="B72" s="45">
        <f>ROUND(B24,B$49)-B24</f>
        <v>0</v>
      </c>
      <c r="C72" s="10"/>
      <c r="D72" s="10"/>
      <c r="E72" s="45">
        <f>ROUND(E24,E$49)-E24</f>
        <v>0</v>
      </c>
      <c r="F72" s="10"/>
      <c r="G72" s="10"/>
      <c r="H72" s="17"/>
    </row>
    <row r="73" spans="1:8">
      <c r="A73" s="4" t="s">
        <v>177</v>
      </c>
      <c r="B73" s="45">
        <f>ROUND(B25,B$49)-B25</f>
        <v>0</v>
      </c>
      <c r="C73" s="45">
        <f>ROUND(C25,C$49)-C25</f>
        <v>0</v>
      </c>
      <c r="D73" s="10"/>
      <c r="E73" s="45">
        <f>ROUND(E25,E$49)-E25</f>
        <v>0</v>
      </c>
      <c r="F73" s="10"/>
      <c r="G73" s="10"/>
      <c r="H73" s="17"/>
    </row>
    <row r="74" spans="1:8">
      <c r="A74" s="4" t="s">
        <v>212</v>
      </c>
      <c r="B74" s="45">
        <f>ROUND(B26,B$49)-B26</f>
        <v>0</v>
      </c>
      <c r="C74" s="10"/>
      <c r="D74" s="10"/>
      <c r="E74" s="10"/>
      <c r="F74" s="10"/>
      <c r="G74" s="10"/>
      <c r="H74" s="17"/>
    </row>
    <row r="75" spans="1:8">
      <c r="A75" s="4" t="s">
        <v>178</v>
      </c>
      <c r="B75" s="45">
        <f>ROUND(B27,B$49)-B27</f>
        <v>0</v>
      </c>
      <c r="C75" s="45">
        <f>ROUND(C27,C$49)-C27</f>
        <v>0</v>
      </c>
      <c r="D75" s="45">
        <f>ROUND(D27,D$49)-D27</f>
        <v>0</v>
      </c>
      <c r="E75" s="45">
        <f>ROUND(E27,E$49)-E27</f>
        <v>0</v>
      </c>
      <c r="F75" s="10"/>
      <c r="G75" s="10"/>
      <c r="H75" s="17"/>
    </row>
    <row r="76" spans="1:8">
      <c r="A76" s="4" t="s">
        <v>179</v>
      </c>
      <c r="B76" s="45">
        <f>ROUND(B28,B$49)-B28</f>
        <v>0</v>
      </c>
      <c r="C76" s="45">
        <f>ROUND(C28,C$49)-C28</f>
        <v>0</v>
      </c>
      <c r="D76" s="45">
        <f>ROUND(D28,D$49)-D28</f>
        <v>0</v>
      </c>
      <c r="E76" s="45">
        <f>ROUND(E28,E$49)-E28</f>
        <v>0</v>
      </c>
      <c r="F76" s="10"/>
      <c r="G76" s="10"/>
      <c r="H76" s="17"/>
    </row>
    <row r="77" spans="1:8">
      <c r="A77" s="4" t="s">
        <v>180</v>
      </c>
      <c r="B77" s="45">
        <f>ROUND(B29,B$49)-B29</f>
        <v>0</v>
      </c>
      <c r="C77" s="45">
        <f>ROUND(C29,C$49)-C29</f>
        <v>0</v>
      </c>
      <c r="D77" s="45">
        <f>ROUND(D29,D$49)-D29</f>
        <v>0</v>
      </c>
      <c r="E77" s="45">
        <f>ROUND(E29,E$49)-E29</f>
        <v>0</v>
      </c>
      <c r="F77" s="45">
        <f>ROUND(F29,F$49)-F29</f>
        <v>0</v>
      </c>
      <c r="G77" s="45">
        <f>ROUND(G29,G$49)-G29</f>
        <v>0</v>
      </c>
      <c r="H77" s="17"/>
    </row>
    <row r="78" spans="1:8">
      <c r="A78" s="4" t="s">
        <v>181</v>
      </c>
      <c r="B78" s="45">
        <f>ROUND(B30,B$49)-B30</f>
        <v>0</v>
      </c>
      <c r="C78" s="45">
        <f>ROUND(C30,C$49)-C30</f>
        <v>0</v>
      </c>
      <c r="D78" s="45">
        <f>ROUND(D30,D$49)-D30</f>
        <v>0</v>
      </c>
      <c r="E78" s="45">
        <f>ROUND(E30,E$49)-E30</f>
        <v>0</v>
      </c>
      <c r="F78" s="45">
        <f>ROUND(F30,F$49)-F30</f>
        <v>0</v>
      </c>
      <c r="G78" s="45">
        <f>ROUND(G30,G$49)-G30</f>
        <v>0</v>
      </c>
      <c r="H78" s="17"/>
    </row>
    <row r="79" spans="1:8">
      <c r="A79" s="4" t="s">
        <v>193</v>
      </c>
      <c r="B79" s="45">
        <f>ROUND(B31,B$49)-B31</f>
        <v>0</v>
      </c>
      <c r="C79" s="45">
        <f>ROUND(C31,C$49)-C31</f>
        <v>0</v>
      </c>
      <c r="D79" s="45">
        <f>ROUND(D31,D$49)-D31</f>
        <v>0</v>
      </c>
      <c r="E79" s="45">
        <f>ROUND(E31,E$49)-E31</f>
        <v>0</v>
      </c>
      <c r="F79" s="45">
        <f>ROUND(F31,F$49)-F31</f>
        <v>0</v>
      </c>
      <c r="G79" s="45">
        <f>ROUND(G31,G$49)-G31</f>
        <v>0</v>
      </c>
      <c r="H79" s="17"/>
    </row>
    <row r="80" spans="1:8">
      <c r="A80" s="4" t="s">
        <v>213</v>
      </c>
      <c r="B80" s="45">
        <f>ROUND(B32,B$49)-B32</f>
        <v>0</v>
      </c>
      <c r="C80" s="10"/>
      <c r="D80" s="10"/>
      <c r="E80" s="10"/>
      <c r="F80" s="10"/>
      <c r="G80" s="10"/>
      <c r="H80" s="17"/>
    </row>
    <row r="81" spans="1:8">
      <c r="A81" s="4" t="s">
        <v>214</v>
      </c>
      <c r="B81" s="45">
        <f>ROUND(B33,B$49)-B33</f>
        <v>0</v>
      </c>
      <c r="C81" s="10"/>
      <c r="D81" s="10"/>
      <c r="E81" s="10"/>
      <c r="F81" s="10"/>
      <c r="G81" s="10"/>
      <c r="H81" s="17"/>
    </row>
    <row r="82" spans="1:8">
      <c r="A82" s="4" t="s">
        <v>215</v>
      </c>
      <c r="B82" s="45">
        <f>ROUND(B34,B$49)-B34</f>
        <v>0</v>
      </c>
      <c r="C82" s="10"/>
      <c r="D82" s="10"/>
      <c r="E82" s="10"/>
      <c r="F82" s="10"/>
      <c r="G82" s="10"/>
      <c r="H82" s="17"/>
    </row>
    <row r="83" spans="1:8">
      <c r="A83" s="4" t="s">
        <v>216</v>
      </c>
      <c r="B83" s="45">
        <f>ROUND(B35,B$49)-B35</f>
        <v>0</v>
      </c>
      <c r="C83" s="10"/>
      <c r="D83" s="10"/>
      <c r="E83" s="10"/>
      <c r="F83" s="10"/>
      <c r="G83" s="10"/>
      <c r="H83" s="17"/>
    </row>
    <row r="84" spans="1:8">
      <c r="A84" s="4" t="s">
        <v>217</v>
      </c>
      <c r="B84" s="45">
        <f>ROUND(B36,B$49)-B36</f>
        <v>0</v>
      </c>
      <c r="C84" s="45">
        <f>ROUND(C36,C$49)-C36</f>
        <v>0</v>
      </c>
      <c r="D84" s="45">
        <f>ROUND(D36,D$49)-D36</f>
        <v>0</v>
      </c>
      <c r="E84" s="10"/>
      <c r="F84" s="10"/>
      <c r="G84" s="10"/>
      <c r="H84" s="17"/>
    </row>
    <row r="85" spans="1:8">
      <c r="A85" s="4" t="s">
        <v>182</v>
      </c>
      <c r="B85" s="45">
        <f>ROUND(B37,B$49)-B37</f>
        <v>0</v>
      </c>
      <c r="C85" s="10"/>
      <c r="D85" s="10"/>
      <c r="E85" s="45">
        <f>ROUND(E37,E$49)-E37</f>
        <v>0</v>
      </c>
      <c r="F85" s="10"/>
      <c r="G85" s="10"/>
      <c r="H85" s="17"/>
    </row>
    <row r="86" spans="1:8">
      <c r="A86" s="4" t="s">
        <v>183</v>
      </c>
      <c r="B86" s="45">
        <f>ROUND(B38,B$49)-B38</f>
        <v>0</v>
      </c>
      <c r="C86" s="10"/>
      <c r="D86" s="10"/>
      <c r="E86" s="45">
        <f>ROUND(E38,E$49)-E38</f>
        <v>0</v>
      </c>
      <c r="F86" s="10"/>
      <c r="G86" s="10"/>
      <c r="H86" s="17"/>
    </row>
    <row r="87" spans="1:8">
      <c r="A87" s="4" t="s">
        <v>184</v>
      </c>
      <c r="B87" s="45">
        <f>ROUND(B39,B$49)-B39</f>
        <v>0</v>
      </c>
      <c r="C87" s="10"/>
      <c r="D87" s="10"/>
      <c r="E87" s="45">
        <f>ROUND(E39,E$49)-E39</f>
        <v>0</v>
      </c>
      <c r="F87" s="10"/>
      <c r="G87" s="45">
        <f>ROUND(G39,G$49)-G39</f>
        <v>0</v>
      </c>
      <c r="H87" s="17"/>
    </row>
    <row r="88" spans="1:8">
      <c r="A88" s="4" t="s">
        <v>185</v>
      </c>
      <c r="B88" s="45">
        <f>ROUND(B40,B$49)-B40</f>
        <v>0</v>
      </c>
      <c r="C88" s="45">
        <f>ROUND(C40,C$49)-C40</f>
        <v>0</v>
      </c>
      <c r="D88" s="45">
        <f>ROUND(D40,D$49)-D40</f>
        <v>0</v>
      </c>
      <c r="E88" s="45">
        <f>ROUND(E40,E$49)-E40</f>
        <v>0</v>
      </c>
      <c r="F88" s="10"/>
      <c r="G88" s="45">
        <f>ROUND(G40,G$49)-G40</f>
        <v>0</v>
      </c>
      <c r="H88" s="17"/>
    </row>
    <row r="89" spans="1:8">
      <c r="A89" s="4" t="s">
        <v>186</v>
      </c>
      <c r="B89" s="45">
        <f>ROUND(B41,B$49)-B41</f>
        <v>0</v>
      </c>
      <c r="C89" s="10"/>
      <c r="D89" s="10"/>
      <c r="E89" s="45">
        <f>ROUND(E41,E$49)-E41</f>
        <v>0</v>
      </c>
      <c r="F89" s="10"/>
      <c r="G89" s="45">
        <f>ROUND(G41,G$49)-G41</f>
        <v>0</v>
      </c>
      <c r="H89" s="17"/>
    </row>
    <row r="90" spans="1:8">
      <c r="A90" s="4" t="s">
        <v>187</v>
      </c>
      <c r="B90" s="45">
        <f>ROUND(B42,B$49)-B42</f>
        <v>0</v>
      </c>
      <c r="C90" s="45">
        <f>ROUND(C42,C$49)-C42</f>
        <v>0</v>
      </c>
      <c r="D90" s="45">
        <f>ROUND(D42,D$49)-D42</f>
        <v>0</v>
      </c>
      <c r="E90" s="45">
        <f>ROUND(E42,E$49)-E42</f>
        <v>0</v>
      </c>
      <c r="F90" s="10"/>
      <c r="G90" s="45">
        <f>ROUND(G42,G$49)-G42</f>
        <v>0</v>
      </c>
      <c r="H90" s="17"/>
    </row>
    <row r="91" spans="1:8">
      <c r="A91" s="4" t="s">
        <v>194</v>
      </c>
      <c r="B91" s="45">
        <f>ROUND(B43,B$49)-B43</f>
        <v>0</v>
      </c>
      <c r="C91" s="10"/>
      <c r="D91" s="10"/>
      <c r="E91" s="45">
        <f>ROUND(E43,E$49)-E43</f>
        <v>0</v>
      </c>
      <c r="F91" s="10"/>
      <c r="G91" s="45">
        <f>ROUND(G43,G$49)-G43</f>
        <v>0</v>
      </c>
      <c r="H91" s="17"/>
    </row>
    <row r="92" spans="1:8">
      <c r="A92" s="4" t="s">
        <v>195</v>
      </c>
      <c r="B92" s="45">
        <f>ROUND(B44,B$49)-B44</f>
        <v>0</v>
      </c>
      <c r="C92" s="45">
        <f>ROUND(C44,C$49)-C44</f>
        <v>0</v>
      </c>
      <c r="D92" s="45">
        <f>ROUND(D44,D$49)-D44</f>
        <v>0</v>
      </c>
      <c r="E92" s="45">
        <f>ROUND(E44,E$49)-E44</f>
        <v>0</v>
      </c>
      <c r="F92" s="10"/>
      <c r="G92" s="45">
        <f>ROUND(G44,G$49)-G44</f>
        <v>0</v>
      </c>
      <c r="H92" s="17"/>
    </row>
    <row r="94" spans="1:8" ht="21" customHeight="1">
      <c r="A94" s="1" t="s">
        <v>1492</v>
      </c>
    </row>
    <row r="95" spans="1:8">
      <c r="A95" s="2" t="s">
        <v>351</v>
      </c>
    </row>
    <row r="96" spans="1:8">
      <c r="A96" s="33" t="s">
        <v>1474</v>
      </c>
    </row>
    <row r="97" spans="1:8">
      <c r="A97" s="33" t="s">
        <v>1493</v>
      </c>
    </row>
    <row r="98" spans="1:8">
      <c r="A98" s="33" t="s">
        <v>1476</v>
      </c>
    </row>
    <row r="99" spans="1:8">
      <c r="A99" s="33" t="s">
        <v>1494</v>
      </c>
    </row>
    <row r="100" spans="1:8">
      <c r="A100" s="33" t="s">
        <v>1478</v>
      </c>
    </row>
    <row r="101" spans="1:8">
      <c r="A101" s="33" t="s">
        <v>1495</v>
      </c>
    </row>
    <row r="102" spans="1:8">
      <c r="A102" s="33" t="s">
        <v>1480</v>
      </c>
    </row>
    <row r="103" spans="1:8">
      <c r="A103" s="33" t="s">
        <v>1496</v>
      </c>
    </row>
    <row r="104" spans="1:8">
      <c r="A104" s="33" t="s">
        <v>1482</v>
      </c>
    </row>
    <row r="105" spans="1:8">
      <c r="A105" s="33" t="s">
        <v>1497</v>
      </c>
    </row>
    <row r="106" spans="1:8">
      <c r="A106" s="33" t="s">
        <v>1484</v>
      </c>
    </row>
    <row r="107" spans="1:8">
      <c r="A107" s="33" t="s">
        <v>1498</v>
      </c>
    </row>
    <row r="108" spans="1:8">
      <c r="A108" s="34" t="s">
        <v>354</v>
      </c>
      <c r="B108" s="34" t="s">
        <v>484</v>
      </c>
      <c r="C108" s="34" t="s">
        <v>484</v>
      </c>
      <c r="D108" s="34" t="s">
        <v>484</v>
      </c>
      <c r="E108" s="34" t="s">
        <v>484</v>
      </c>
      <c r="F108" s="34" t="s">
        <v>484</v>
      </c>
      <c r="G108" s="34" t="s">
        <v>484</v>
      </c>
    </row>
    <row r="109" spans="1:8">
      <c r="A109" s="34" t="s">
        <v>357</v>
      </c>
      <c r="B109" s="34" t="s">
        <v>1460</v>
      </c>
      <c r="C109" s="34" t="s">
        <v>1461</v>
      </c>
      <c r="D109" s="34" t="s">
        <v>1462</v>
      </c>
      <c r="E109" s="34" t="s">
        <v>1463</v>
      </c>
      <c r="F109" s="34" t="s">
        <v>1464</v>
      </c>
      <c r="G109" s="34" t="s">
        <v>1465</v>
      </c>
    </row>
    <row r="111" spans="1:8">
      <c r="B111" s="15" t="s">
        <v>1466</v>
      </c>
      <c r="C111" s="15" t="s">
        <v>1467</v>
      </c>
      <c r="D111" s="15" t="s">
        <v>1468</v>
      </c>
      <c r="E111" s="15" t="s">
        <v>1469</v>
      </c>
      <c r="F111" s="15" t="s">
        <v>1470</v>
      </c>
      <c r="G111" s="15" t="s">
        <v>1099</v>
      </c>
    </row>
    <row r="112" spans="1:8">
      <c r="A112" s="4" t="s">
        <v>174</v>
      </c>
      <c r="B112" s="38">
        <f>B21+B69</f>
        <v>0</v>
      </c>
      <c r="C112" s="10"/>
      <c r="D112" s="10"/>
      <c r="E112" s="46">
        <f>E21+E69</f>
        <v>0</v>
      </c>
      <c r="F112" s="10"/>
      <c r="G112" s="10"/>
      <c r="H112" s="17"/>
    </row>
    <row r="113" spans="1:8">
      <c r="A113" s="4" t="s">
        <v>175</v>
      </c>
      <c r="B113" s="38">
        <f>B22+B70</f>
        <v>0</v>
      </c>
      <c r="C113" s="38">
        <f>C22+C70</f>
        <v>0</v>
      </c>
      <c r="D113" s="10"/>
      <c r="E113" s="46">
        <f>E22+E70</f>
        <v>0</v>
      </c>
      <c r="F113" s="10"/>
      <c r="G113" s="10"/>
      <c r="H113" s="17"/>
    </row>
    <row r="114" spans="1:8">
      <c r="A114" s="4" t="s">
        <v>211</v>
      </c>
      <c r="B114" s="38">
        <f>B23+B71</f>
        <v>0</v>
      </c>
      <c r="C114" s="10"/>
      <c r="D114" s="10"/>
      <c r="E114" s="10"/>
      <c r="F114" s="10"/>
      <c r="G114" s="10"/>
      <c r="H114" s="17"/>
    </row>
    <row r="115" spans="1:8">
      <c r="A115" s="4" t="s">
        <v>176</v>
      </c>
      <c r="B115" s="38">
        <f>B24+B72</f>
        <v>0</v>
      </c>
      <c r="C115" s="10"/>
      <c r="D115" s="10"/>
      <c r="E115" s="46">
        <f>E24+E72</f>
        <v>0</v>
      </c>
      <c r="F115" s="10"/>
      <c r="G115" s="10"/>
      <c r="H115" s="17"/>
    </row>
    <row r="116" spans="1:8">
      <c r="A116" s="4" t="s">
        <v>177</v>
      </c>
      <c r="B116" s="38">
        <f>B25+B73</f>
        <v>0</v>
      </c>
      <c r="C116" s="38">
        <f>C25+C73</f>
        <v>0</v>
      </c>
      <c r="D116" s="10"/>
      <c r="E116" s="46">
        <f>E25+E73</f>
        <v>0</v>
      </c>
      <c r="F116" s="10"/>
      <c r="G116" s="10"/>
      <c r="H116" s="17"/>
    </row>
    <row r="117" spans="1:8">
      <c r="A117" s="4" t="s">
        <v>212</v>
      </c>
      <c r="B117" s="38">
        <f>B26+B74</f>
        <v>0</v>
      </c>
      <c r="C117" s="10"/>
      <c r="D117" s="10"/>
      <c r="E117" s="10"/>
      <c r="F117" s="10"/>
      <c r="G117" s="10"/>
      <c r="H117" s="17"/>
    </row>
    <row r="118" spans="1:8">
      <c r="A118" s="4" t="s">
        <v>178</v>
      </c>
      <c r="B118" s="38">
        <f>B27+B75</f>
        <v>0</v>
      </c>
      <c r="C118" s="38">
        <f>C27+C75</f>
        <v>0</v>
      </c>
      <c r="D118" s="38">
        <f>D27+D75</f>
        <v>0</v>
      </c>
      <c r="E118" s="46">
        <f>E27+E75</f>
        <v>0</v>
      </c>
      <c r="F118" s="10"/>
      <c r="G118" s="10"/>
      <c r="H118" s="17"/>
    </row>
    <row r="119" spans="1:8">
      <c r="A119" s="4" t="s">
        <v>179</v>
      </c>
      <c r="B119" s="38">
        <f>B28+B76</f>
        <v>0</v>
      </c>
      <c r="C119" s="38">
        <f>C28+C76</f>
        <v>0</v>
      </c>
      <c r="D119" s="38">
        <f>D28+D76</f>
        <v>0</v>
      </c>
      <c r="E119" s="46">
        <f>E28+E76</f>
        <v>0</v>
      </c>
      <c r="F119" s="10"/>
      <c r="G119" s="10"/>
      <c r="H119" s="17"/>
    </row>
    <row r="120" spans="1:8">
      <c r="A120" s="4" t="s">
        <v>180</v>
      </c>
      <c r="B120" s="38">
        <f>B29+B77</f>
        <v>0</v>
      </c>
      <c r="C120" s="38">
        <f>C29+C77</f>
        <v>0</v>
      </c>
      <c r="D120" s="38">
        <f>D29+D77</f>
        <v>0</v>
      </c>
      <c r="E120" s="46">
        <f>E29+E77</f>
        <v>0</v>
      </c>
      <c r="F120" s="46">
        <f>F29+F77</f>
        <v>0</v>
      </c>
      <c r="G120" s="38">
        <f>G29+G77</f>
        <v>0</v>
      </c>
      <c r="H120" s="17"/>
    </row>
    <row r="121" spans="1:8">
      <c r="A121" s="4" t="s">
        <v>181</v>
      </c>
      <c r="B121" s="38">
        <f>B30+B78</f>
        <v>0</v>
      </c>
      <c r="C121" s="38">
        <f>C30+C78</f>
        <v>0</v>
      </c>
      <c r="D121" s="38">
        <f>D30+D78</f>
        <v>0</v>
      </c>
      <c r="E121" s="46">
        <f>E30+E78</f>
        <v>0</v>
      </c>
      <c r="F121" s="46">
        <f>F30+F78</f>
        <v>0</v>
      </c>
      <c r="G121" s="38">
        <f>G30+G78</f>
        <v>0</v>
      </c>
      <c r="H121" s="17"/>
    </row>
    <row r="122" spans="1:8">
      <c r="A122" s="4" t="s">
        <v>193</v>
      </c>
      <c r="B122" s="38">
        <f>B31+B79</f>
        <v>0</v>
      </c>
      <c r="C122" s="38">
        <f>C31+C79</f>
        <v>0</v>
      </c>
      <c r="D122" s="38">
        <f>D31+D79</f>
        <v>0</v>
      </c>
      <c r="E122" s="46">
        <f>E31+E79</f>
        <v>0</v>
      </c>
      <c r="F122" s="46">
        <f>F31+F79</f>
        <v>0</v>
      </c>
      <c r="G122" s="38">
        <f>G31+G79</f>
        <v>0</v>
      </c>
      <c r="H122" s="17"/>
    </row>
    <row r="123" spans="1:8">
      <c r="A123" s="4" t="s">
        <v>213</v>
      </c>
      <c r="B123" s="38">
        <f>B32+B80</f>
        <v>0</v>
      </c>
      <c r="C123" s="10"/>
      <c r="D123" s="10"/>
      <c r="E123" s="10"/>
      <c r="F123" s="10"/>
      <c r="G123" s="10"/>
      <c r="H123" s="17"/>
    </row>
    <row r="124" spans="1:8">
      <c r="A124" s="4" t="s">
        <v>214</v>
      </c>
      <c r="B124" s="38">
        <f>B33+B81</f>
        <v>0</v>
      </c>
      <c r="C124" s="10"/>
      <c r="D124" s="10"/>
      <c r="E124" s="10"/>
      <c r="F124" s="10"/>
      <c r="G124" s="10"/>
      <c r="H124" s="17"/>
    </row>
    <row r="125" spans="1:8">
      <c r="A125" s="4" t="s">
        <v>215</v>
      </c>
      <c r="B125" s="38">
        <f>B34+B82</f>
        <v>0</v>
      </c>
      <c r="C125" s="10"/>
      <c r="D125" s="10"/>
      <c r="E125" s="10"/>
      <c r="F125" s="10"/>
      <c r="G125" s="10"/>
      <c r="H125" s="17"/>
    </row>
    <row r="126" spans="1:8">
      <c r="A126" s="4" t="s">
        <v>216</v>
      </c>
      <c r="B126" s="38">
        <f>B35+B83</f>
        <v>0</v>
      </c>
      <c r="C126" s="10"/>
      <c r="D126" s="10"/>
      <c r="E126" s="10"/>
      <c r="F126" s="10"/>
      <c r="G126" s="10"/>
      <c r="H126" s="17"/>
    </row>
    <row r="127" spans="1:8">
      <c r="A127" s="4" t="s">
        <v>217</v>
      </c>
      <c r="B127" s="38">
        <f>B36+B84</f>
        <v>0</v>
      </c>
      <c r="C127" s="38">
        <f>C36+C84</f>
        <v>0</v>
      </c>
      <c r="D127" s="38">
        <f>D36+D84</f>
        <v>0</v>
      </c>
      <c r="E127" s="10"/>
      <c r="F127" s="10"/>
      <c r="G127" s="10"/>
      <c r="H127" s="17"/>
    </row>
    <row r="128" spans="1:8">
      <c r="A128" s="4" t="s">
        <v>182</v>
      </c>
      <c r="B128" s="38">
        <f>B37+B85</f>
        <v>0</v>
      </c>
      <c r="C128" s="10"/>
      <c r="D128" s="10"/>
      <c r="E128" s="46">
        <f>E37+E85</f>
        <v>0</v>
      </c>
      <c r="F128" s="10"/>
      <c r="G128" s="10"/>
      <c r="H128" s="17"/>
    </row>
    <row r="129" spans="1:8">
      <c r="A129" s="4" t="s">
        <v>183</v>
      </c>
      <c r="B129" s="38">
        <f>B38+B86</f>
        <v>0</v>
      </c>
      <c r="C129" s="10"/>
      <c r="D129" s="10"/>
      <c r="E129" s="46">
        <f>E38+E86</f>
        <v>0</v>
      </c>
      <c r="F129" s="10"/>
      <c r="G129" s="10"/>
      <c r="H129" s="17"/>
    </row>
    <row r="130" spans="1:8">
      <c r="A130" s="4" t="s">
        <v>184</v>
      </c>
      <c r="B130" s="38">
        <f>B39+B87</f>
        <v>0</v>
      </c>
      <c r="C130" s="10"/>
      <c r="D130" s="10"/>
      <c r="E130" s="46">
        <f>E39+E87</f>
        <v>0</v>
      </c>
      <c r="F130" s="10"/>
      <c r="G130" s="38">
        <f>G39+G87</f>
        <v>0</v>
      </c>
      <c r="H130" s="17"/>
    </row>
    <row r="131" spans="1:8">
      <c r="A131" s="4" t="s">
        <v>185</v>
      </c>
      <c r="B131" s="38">
        <f>B40+B88</f>
        <v>0</v>
      </c>
      <c r="C131" s="38">
        <f>C40+C88</f>
        <v>0</v>
      </c>
      <c r="D131" s="38">
        <f>D40+D88</f>
        <v>0</v>
      </c>
      <c r="E131" s="46">
        <f>E40+E88</f>
        <v>0</v>
      </c>
      <c r="F131" s="10"/>
      <c r="G131" s="38">
        <f>G40+G88</f>
        <v>0</v>
      </c>
      <c r="H131" s="17"/>
    </row>
    <row r="132" spans="1:8">
      <c r="A132" s="4" t="s">
        <v>186</v>
      </c>
      <c r="B132" s="38">
        <f>B41+B89</f>
        <v>0</v>
      </c>
      <c r="C132" s="10"/>
      <c r="D132" s="10"/>
      <c r="E132" s="46">
        <f>E41+E89</f>
        <v>0</v>
      </c>
      <c r="F132" s="10"/>
      <c r="G132" s="38">
        <f>G41+G89</f>
        <v>0</v>
      </c>
      <c r="H132" s="17"/>
    </row>
    <row r="133" spans="1:8">
      <c r="A133" s="4" t="s">
        <v>187</v>
      </c>
      <c r="B133" s="38">
        <f>B42+B90</f>
        <v>0</v>
      </c>
      <c r="C133" s="38">
        <f>C42+C90</f>
        <v>0</v>
      </c>
      <c r="D133" s="38">
        <f>D42+D90</f>
        <v>0</v>
      </c>
      <c r="E133" s="46">
        <f>E42+E90</f>
        <v>0</v>
      </c>
      <c r="F133" s="10"/>
      <c r="G133" s="38">
        <f>G42+G90</f>
        <v>0</v>
      </c>
      <c r="H133" s="17"/>
    </row>
    <row r="134" spans="1:8">
      <c r="A134" s="4" t="s">
        <v>194</v>
      </c>
      <c r="B134" s="38">
        <f>B43+B91</f>
        <v>0</v>
      </c>
      <c r="C134" s="10"/>
      <c r="D134" s="10"/>
      <c r="E134" s="46">
        <f>E43+E91</f>
        <v>0</v>
      </c>
      <c r="F134" s="10"/>
      <c r="G134" s="38">
        <f>G43+G91</f>
        <v>0</v>
      </c>
      <c r="H134" s="17"/>
    </row>
    <row r="135" spans="1:8">
      <c r="A135" s="4" t="s">
        <v>195</v>
      </c>
      <c r="B135" s="38">
        <f>B44+B92</f>
        <v>0</v>
      </c>
      <c r="C135" s="38">
        <f>C44+C92</f>
        <v>0</v>
      </c>
      <c r="D135" s="38">
        <f>D44+D92</f>
        <v>0</v>
      </c>
      <c r="E135" s="46">
        <f>E44+E92</f>
        <v>0</v>
      </c>
      <c r="F135" s="10"/>
      <c r="G135" s="38">
        <f>G44+G92</f>
        <v>0</v>
      </c>
      <c r="H135" s="17"/>
    </row>
    <row r="137" spans="1:8" ht="21" customHeight="1">
      <c r="A137" s="1" t="s">
        <v>1499</v>
      </c>
    </row>
    <row r="138" spans="1:8">
      <c r="A138" s="2" t="s">
        <v>351</v>
      </c>
    </row>
    <row r="139" spans="1:8">
      <c r="A139" s="33" t="s">
        <v>480</v>
      </c>
    </row>
    <row r="140" spans="1:8">
      <c r="A140" s="33" t="s">
        <v>1500</v>
      </c>
    </row>
    <row r="141" spans="1:8">
      <c r="A141" s="33" t="s">
        <v>1102</v>
      </c>
    </row>
    <row r="142" spans="1:8">
      <c r="A142" s="33" t="s">
        <v>1501</v>
      </c>
    </row>
    <row r="143" spans="1:8">
      <c r="A143" s="33" t="s">
        <v>1104</v>
      </c>
    </row>
    <row r="144" spans="1:8">
      <c r="A144" s="33" t="s">
        <v>1502</v>
      </c>
    </row>
    <row r="145" spans="1:3">
      <c r="A145" s="33" t="s">
        <v>1106</v>
      </c>
    </row>
    <row r="146" spans="1:3">
      <c r="A146" s="33" t="s">
        <v>1503</v>
      </c>
    </row>
    <row r="147" spans="1:3">
      <c r="A147" s="33" t="s">
        <v>1108</v>
      </c>
    </row>
    <row r="148" spans="1:3">
      <c r="A148" s="33" t="s">
        <v>1504</v>
      </c>
    </row>
    <row r="149" spans="1:3">
      <c r="A149" s="33" t="s">
        <v>1110</v>
      </c>
    </row>
    <row r="150" spans="1:3">
      <c r="A150" s="33" t="s">
        <v>1498</v>
      </c>
    </row>
    <row r="151" spans="1:3">
      <c r="A151" s="33" t="s">
        <v>1112</v>
      </c>
    </row>
    <row r="152" spans="1:3">
      <c r="A152" s="2" t="s">
        <v>1113</v>
      </c>
    </row>
    <row r="154" spans="1:3">
      <c r="B154" s="15" t="s">
        <v>1505</v>
      </c>
    </row>
    <row r="155" spans="1:3">
      <c r="A155" s="4" t="s">
        <v>174</v>
      </c>
      <c r="B155" s="21">
        <f>0.01*'Input'!F$58*($E69*'Loads'!E280+$F69*'Loads'!F280)+10*($B69*'Loads'!B280+$C69*'Loads'!C280+$D69*'Loads'!D280+$G69*'Loads'!G280)</f>
        <v>0</v>
      </c>
      <c r="C155" s="17"/>
    </row>
    <row r="156" spans="1:3">
      <c r="A156" s="4" t="s">
        <v>175</v>
      </c>
      <c r="B156" s="21">
        <f>0.01*'Input'!F$58*($E70*'Loads'!E281+$F70*'Loads'!F281)+10*($B70*'Loads'!B281+$C70*'Loads'!C281+$D70*'Loads'!D281+$G70*'Loads'!G281)</f>
        <v>0</v>
      </c>
      <c r="C156" s="17"/>
    </row>
    <row r="157" spans="1:3">
      <c r="A157" s="4" t="s">
        <v>211</v>
      </c>
      <c r="B157" s="21">
        <f>0.01*'Input'!F$58*($E71*'Loads'!E282+$F71*'Loads'!F282)+10*($B71*'Loads'!B282+$C71*'Loads'!C282+$D71*'Loads'!D282+$G71*'Loads'!G282)</f>
        <v>0</v>
      </c>
      <c r="C157" s="17"/>
    </row>
    <row r="158" spans="1:3">
      <c r="A158" s="4" t="s">
        <v>176</v>
      </c>
      <c r="B158" s="21">
        <f>0.01*'Input'!F$58*($E72*'Loads'!E283+$F72*'Loads'!F283)+10*($B72*'Loads'!B283+$C72*'Loads'!C283+$D72*'Loads'!D283+$G72*'Loads'!G283)</f>
        <v>0</v>
      </c>
      <c r="C158" s="17"/>
    </row>
    <row r="159" spans="1:3">
      <c r="A159" s="4" t="s">
        <v>177</v>
      </c>
      <c r="B159" s="21">
        <f>0.01*'Input'!F$58*($E73*'Loads'!E284+$F73*'Loads'!F284)+10*($B73*'Loads'!B284+$C73*'Loads'!C284+$D73*'Loads'!D284+$G73*'Loads'!G284)</f>
        <v>0</v>
      </c>
      <c r="C159" s="17"/>
    </row>
    <row r="160" spans="1:3">
      <c r="A160" s="4" t="s">
        <v>212</v>
      </c>
      <c r="B160" s="21">
        <f>0.01*'Input'!F$58*($E74*'Loads'!E285+$F74*'Loads'!F285)+10*($B74*'Loads'!B285+$C74*'Loads'!C285+$D74*'Loads'!D285+$G74*'Loads'!G285)</f>
        <v>0</v>
      </c>
      <c r="C160" s="17"/>
    </row>
    <row r="161" spans="1:3">
      <c r="A161" s="4" t="s">
        <v>178</v>
      </c>
      <c r="B161" s="21">
        <f>0.01*'Input'!F$58*($E75*'Loads'!E286+$F75*'Loads'!F286)+10*($B75*'Loads'!B286+$C75*'Loads'!C286+$D75*'Loads'!D286+$G75*'Loads'!G286)</f>
        <v>0</v>
      </c>
      <c r="C161" s="17"/>
    </row>
    <row r="162" spans="1:3">
      <c r="A162" s="4" t="s">
        <v>179</v>
      </c>
      <c r="B162" s="21">
        <f>0.01*'Input'!F$58*($E76*'Loads'!E287+$F76*'Loads'!F287)+10*($B76*'Loads'!B287+$C76*'Loads'!C287+$D76*'Loads'!D287+$G76*'Loads'!G287)</f>
        <v>0</v>
      </c>
      <c r="C162" s="17"/>
    </row>
    <row r="163" spans="1:3">
      <c r="A163" s="4" t="s">
        <v>180</v>
      </c>
      <c r="B163" s="21">
        <f>0.01*'Input'!F$58*($E77*'Loads'!E288+$F77*'Loads'!F288)+10*($B77*'Loads'!B288+$C77*'Loads'!C288+$D77*'Loads'!D288+$G77*'Loads'!G288)</f>
        <v>0</v>
      </c>
      <c r="C163" s="17"/>
    </row>
    <row r="164" spans="1:3">
      <c r="A164" s="4" t="s">
        <v>181</v>
      </c>
      <c r="B164" s="21">
        <f>0.01*'Input'!F$58*($E78*'Loads'!E289+$F78*'Loads'!F289)+10*($B78*'Loads'!B289+$C78*'Loads'!C289+$D78*'Loads'!D289+$G78*'Loads'!G289)</f>
        <v>0</v>
      </c>
      <c r="C164" s="17"/>
    </row>
    <row r="165" spans="1:3">
      <c r="A165" s="4" t="s">
        <v>193</v>
      </c>
      <c r="B165" s="21">
        <f>0.01*'Input'!F$58*($E79*'Loads'!E290+$F79*'Loads'!F290)+10*($B79*'Loads'!B290+$C79*'Loads'!C290+$D79*'Loads'!D290+$G79*'Loads'!G290)</f>
        <v>0</v>
      </c>
      <c r="C165" s="17"/>
    </row>
    <row r="166" spans="1:3">
      <c r="A166" s="4" t="s">
        <v>213</v>
      </c>
      <c r="B166" s="21">
        <f>0.01*'Input'!F$58*($E80*'Loads'!E291+$F80*'Loads'!F291)+10*($B80*'Loads'!B291+$C80*'Loads'!C291+$D80*'Loads'!D291+$G80*'Loads'!G291)</f>
        <v>0</v>
      </c>
      <c r="C166" s="17"/>
    </row>
    <row r="167" spans="1:3">
      <c r="A167" s="4" t="s">
        <v>214</v>
      </c>
      <c r="B167" s="21">
        <f>0.01*'Input'!F$58*($E81*'Loads'!E292+$F81*'Loads'!F292)+10*($B81*'Loads'!B292+$C81*'Loads'!C292+$D81*'Loads'!D292+$G81*'Loads'!G292)</f>
        <v>0</v>
      </c>
      <c r="C167" s="17"/>
    </row>
    <row r="168" spans="1:3">
      <c r="A168" s="4" t="s">
        <v>215</v>
      </c>
      <c r="B168" s="21">
        <f>0.01*'Input'!F$58*($E82*'Loads'!E293+$F82*'Loads'!F293)+10*($B82*'Loads'!B293+$C82*'Loads'!C293+$D82*'Loads'!D293+$G82*'Loads'!G293)</f>
        <v>0</v>
      </c>
      <c r="C168" s="17"/>
    </row>
    <row r="169" spans="1:3">
      <c r="A169" s="4" t="s">
        <v>216</v>
      </c>
      <c r="B169" s="21">
        <f>0.01*'Input'!F$58*($E83*'Loads'!E294+$F83*'Loads'!F294)+10*($B83*'Loads'!B294+$C83*'Loads'!C294+$D83*'Loads'!D294+$G83*'Loads'!G294)</f>
        <v>0</v>
      </c>
      <c r="C169" s="17"/>
    </row>
    <row r="170" spans="1:3">
      <c r="A170" s="4" t="s">
        <v>217</v>
      </c>
      <c r="B170" s="21">
        <f>0.01*'Input'!F$58*($E84*'Loads'!E295+$F84*'Loads'!F295)+10*($B84*'Loads'!B295+$C84*'Loads'!C295+$D84*'Loads'!D295+$G84*'Loads'!G295)</f>
        <v>0</v>
      </c>
      <c r="C170" s="17"/>
    </row>
    <row r="171" spans="1:3">
      <c r="A171" s="4" t="s">
        <v>182</v>
      </c>
      <c r="B171" s="21">
        <f>0.01*'Input'!F$58*($E85*'Loads'!E296+$F85*'Loads'!F296)+10*($B85*'Loads'!B296+$C85*'Loads'!C296+$D85*'Loads'!D296+$G85*'Loads'!G296)</f>
        <v>0</v>
      </c>
      <c r="C171" s="17"/>
    </row>
    <row r="172" spans="1:3">
      <c r="A172" s="4" t="s">
        <v>183</v>
      </c>
      <c r="B172" s="21">
        <f>0.01*'Input'!F$58*($E86*'Loads'!E297+$F86*'Loads'!F297)+10*($B86*'Loads'!B297+$C86*'Loads'!C297+$D86*'Loads'!D297+$G86*'Loads'!G297)</f>
        <v>0</v>
      </c>
      <c r="C172" s="17"/>
    </row>
    <row r="173" spans="1:3">
      <c r="A173" s="4" t="s">
        <v>184</v>
      </c>
      <c r="B173" s="21">
        <f>0.01*'Input'!F$58*($E87*'Loads'!E298+$F87*'Loads'!F298)+10*($B87*'Loads'!B298+$C87*'Loads'!C298+$D87*'Loads'!D298+$G87*'Loads'!G298)</f>
        <v>0</v>
      </c>
      <c r="C173" s="17"/>
    </row>
    <row r="174" spans="1:3">
      <c r="A174" s="4" t="s">
        <v>185</v>
      </c>
      <c r="B174" s="21">
        <f>0.01*'Input'!F$58*($E88*'Loads'!E299+$F88*'Loads'!F299)+10*($B88*'Loads'!B299+$C88*'Loads'!C299+$D88*'Loads'!D299+$G88*'Loads'!G299)</f>
        <v>0</v>
      </c>
      <c r="C174" s="17"/>
    </row>
    <row r="175" spans="1:3">
      <c r="A175" s="4" t="s">
        <v>186</v>
      </c>
      <c r="B175" s="21">
        <f>0.01*'Input'!F$58*($E89*'Loads'!E300+$F89*'Loads'!F300)+10*($B89*'Loads'!B300+$C89*'Loads'!C300+$D89*'Loads'!D300+$G89*'Loads'!G300)</f>
        <v>0</v>
      </c>
      <c r="C175" s="17"/>
    </row>
    <row r="176" spans="1:3">
      <c r="A176" s="4" t="s">
        <v>187</v>
      </c>
      <c r="B176" s="21">
        <f>0.01*'Input'!F$58*($E90*'Loads'!E301+$F90*'Loads'!F301)+10*($B90*'Loads'!B301+$C90*'Loads'!C301+$D90*'Loads'!D301+$G90*'Loads'!G301)</f>
        <v>0</v>
      </c>
      <c r="C176" s="17"/>
    </row>
    <row r="177" spans="1:6">
      <c r="A177" s="4" t="s">
        <v>194</v>
      </c>
      <c r="B177" s="21">
        <f>0.01*'Input'!F$58*($E91*'Loads'!E302+$F91*'Loads'!F302)+10*($B91*'Loads'!B302+$C91*'Loads'!C302+$D91*'Loads'!D302+$G91*'Loads'!G302)</f>
        <v>0</v>
      </c>
      <c r="C177" s="17"/>
    </row>
    <row r="178" spans="1:6">
      <c r="A178" s="4" t="s">
        <v>195</v>
      </c>
      <c r="B178" s="21">
        <f>0.01*'Input'!F$58*($E92*'Loads'!E303+$F92*'Loads'!F303)+10*($B92*'Loads'!B303+$C92*'Loads'!C303+$D92*'Loads'!D303+$G92*'Loads'!G303)</f>
        <v>0</v>
      </c>
      <c r="C178" s="17"/>
    </row>
    <row r="180" spans="1:6" ht="21" customHeight="1">
      <c r="A180" s="1" t="s">
        <v>1506</v>
      </c>
    </row>
    <row r="181" spans="1:6">
      <c r="A181" s="2" t="s">
        <v>351</v>
      </c>
    </row>
    <row r="182" spans="1:6">
      <c r="A182" s="33" t="s">
        <v>1507</v>
      </c>
    </row>
    <row r="183" spans="1:6">
      <c r="A183" s="33" t="s">
        <v>1508</v>
      </c>
    </row>
    <row r="184" spans="1:6">
      <c r="A184" s="33" t="s">
        <v>1509</v>
      </c>
    </row>
    <row r="185" spans="1:6">
      <c r="A185" s="33" t="s">
        <v>1510</v>
      </c>
    </row>
    <row r="186" spans="1:6">
      <c r="A186" s="33" t="s">
        <v>1511</v>
      </c>
    </row>
    <row r="187" spans="1:6">
      <c r="A187" s="33" t="s">
        <v>1512</v>
      </c>
    </row>
    <row r="188" spans="1:6">
      <c r="A188" s="33" t="s">
        <v>1513</v>
      </c>
    </row>
    <row r="189" spans="1:6">
      <c r="A189" s="33" t="s">
        <v>1514</v>
      </c>
    </row>
    <row r="190" spans="1:6">
      <c r="A190" s="34" t="s">
        <v>354</v>
      </c>
      <c r="B190" s="34" t="s">
        <v>413</v>
      </c>
      <c r="C190" s="34" t="s">
        <v>485</v>
      </c>
      <c r="D190" s="34" t="s">
        <v>485</v>
      </c>
      <c r="E190" s="34" t="s">
        <v>484</v>
      </c>
      <c r="F190" s="34" t="s">
        <v>484</v>
      </c>
    </row>
    <row r="191" spans="1:6">
      <c r="A191" s="34" t="s">
        <v>357</v>
      </c>
      <c r="B191" s="34" t="s">
        <v>415</v>
      </c>
      <c r="C191" s="34" t="s">
        <v>536</v>
      </c>
      <c r="D191" s="34" t="s">
        <v>537</v>
      </c>
      <c r="E191" s="34" t="s">
        <v>1515</v>
      </c>
      <c r="F191" s="34" t="s">
        <v>1516</v>
      </c>
    </row>
    <row r="193" spans="1:7">
      <c r="B193" s="15" t="s">
        <v>1127</v>
      </c>
      <c r="C193" s="15" t="s">
        <v>1517</v>
      </c>
      <c r="D193" s="15" t="s">
        <v>1518</v>
      </c>
      <c r="E193" s="15" t="s">
        <v>1519</v>
      </c>
      <c r="F193" s="15" t="s">
        <v>1520</v>
      </c>
    </row>
    <row r="194" spans="1:7">
      <c r="A194" s="4" t="s">
        <v>1521</v>
      </c>
      <c r="B194" s="21">
        <f>'Revenue'!B66</f>
        <v>0</v>
      </c>
      <c r="C194" s="21">
        <f>SUM('Scaler'!$H$389:$H$412)</f>
        <v>0</v>
      </c>
      <c r="D194" s="21">
        <f>SUM(B$155:B$178)</f>
        <v>0</v>
      </c>
      <c r="E194" s="21">
        <f>B194+C194+D194</f>
        <v>0</v>
      </c>
      <c r="F194" s="21">
        <f>E194-'Revenue'!B$55</f>
        <v>0</v>
      </c>
      <c r="G194" s="17"/>
    </row>
    <row r="196" spans="1:7" ht="21" customHeight="1">
      <c r="A196" s="1" t="s">
        <v>1522</v>
      </c>
    </row>
    <row r="197" spans="1:7">
      <c r="A197" s="2" t="s">
        <v>351</v>
      </c>
    </row>
    <row r="198" spans="1:7">
      <c r="A198" s="33" t="s">
        <v>1523</v>
      </c>
    </row>
    <row r="199" spans="1:7">
      <c r="A199" s="33" t="s">
        <v>1524</v>
      </c>
    </row>
    <row r="200" spans="1:7">
      <c r="A200" s="33" t="s">
        <v>1525</v>
      </c>
    </row>
    <row r="201" spans="1:7">
      <c r="A201" s="33" t="s">
        <v>1526</v>
      </c>
    </row>
    <row r="202" spans="1:7">
      <c r="A202" s="33" t="s">
        <v>1527</v>
      </c>
    </row>
    <row r="203" spans="1:7">
      <c r="A203" s="33" t="s">
        <v>1528</v>
      </c>
    </row>
    <row r="204" spans="1:7">
      <c r="A204" s="33" t="s">
        <v>1529</v>
      </c>
    </row>
    <row r="205" spans="1:7">
      <c r="A205" s="33" t="s">
        <v>1530</v>
      </c>
    </row>
    <row r="206" spans="1:7">
      <c r="A206" s="34" t="s">
        <v>354</v>
      </c>
      <c r="B206" s="34" t="s">
        <v>484</v>
      </c>
      <c r="C206" s="34" t="s">
        <v>484</v>
      </c>
      <c r="D206" s="34" t="s">
        <v>484</v>
      </c>
      <c r="E206" s="34" t="s">
        <v>484</v>
      </c>
      <c r="F206" s="34" t="s">
        <v>484</v>
      </c>
      <c r="G206" s="34" t="s">
        <v>484</v>
      </c>
    </row>
    <row r="207" spans="1:7">
      <c r="A207" s="34" t="s">
        <v>357</v>
      </c>
      <c r="B207" s="34" t="s">
        <v>1531</v>
      </c>
      <c r="C207" s="34" t="s">
        <v>1532</v>
      </c>
      <c r="D207" s="34" t="s">
        <v>1533</v>
      </c>
      <c r="E207" s="34" t="s">
        <v>1534</v>
      </c>
      <c r="F207" s="34" t="s">
        <v>1535</v>
      </c>
      <c r="G207" s="34" t="s">
        <v>1536</v>
      </c>
    </row>
    <row r="209" spans="1:8">
      <c r="B209" s="15" t="s">
        <v>1466</v>
      </c>
      <c r="C209" s="15" t="s">
        <v>1467</v>
      </c>
      <c r="D209" s="15" t="s">
        <v>1468</v>
      </c>
      <c r="E209" s="15" t="s">
        <v>1469</v>
      </c>
      <c r="F209" s="15" t="s">
        <v>1470</v>
      </c>
      <c r="G209" s="15" t="s">
        <v>1099</v>
      </c>
    </row>
    <row r="210" spans="1:8">
      <c r="A210" s="29" t="s">
        <v>228</v>
      </c>
      <c r="H210" s="17"/>
    </row>
    <row r="211" spans="1:8">
      <c r="A211" s="4" t="s">
        <v>174</v>
      </c>
      <c r="B211" s="38">
        <f>ROUND(B$112*(1-'Loads'!$B179),3)</f>
        <v>0</v>
      </c>
      <c r="C211" s="38">
        <f>ROUND(C$112*(1-'Loads'!$B179),3)</f>
        <v>0</v>
      </c>
      <c r="D211" s="38">
        <f>ROUND(D$112*(1-'Loads'!$B179),3)</f>
        <v>0</v>
      </c>
      <c r="E211" s="47">
        <f>ROUND(E$112*(1-'Loads'!$C179),2)</f>
        <v>0</v>
      </c>
      <c r="F211" s="47">
        <f>ROUND(F$112*(1-'Loads'!$B179),2)</f>
        <v>0</v>
      </c>
      <c r="G211" s="38">
        <f>ROUND(G$112*(1-'Loads'!$B179),3)</f>
        <v>0</v>
      </c>
      <c r="H211" s="17"/>
    </row>
    <row r="212" spans="1:8">
      <c r="A212" s="4" t="s">
        <v>229</v>
      </c>
      <c r="B212" s="38">
        <f>ROUND(B$112*(1-'Loads'!$B180),3)</f>
        <v>0</v>
      </c>
      <c r="C212" s="38">
        <f>ROUND(C$112*(1-'Loads'!$B180),3)</f>
        <v>0</v>
      </c>
      <c r="D212" s="38">
        <f>ROUND(D$112*(1-'Loads'!$B180),3)</f>
        <v>0</v>
      </c>
      <c r="E212" s="47">
        <f>ROUND(E$112*(1-'Loads'!$C180),2)</f>
        <v>0</v>
      </c>
      <c r="F212" s="47">
        <f>ROUND(F$112*(1-'Loads'!$B180),2)</f>
        <v>0</v>
      </c>
      <c r="G212" s="38">
        <f>ROUND(G$112*(1-'Loads'!$B180),3)</f>
        <v>0</v>
      </c>
      <c r="H212" s="17"/>
    </row>
    <row r="213" spans="1:8">
      <c r="A213" s="4" t="s">
        <v>230</v>
      </c>
      <c r="B213" s="38">
        <f>ROUND(B$112*(1-'Loads'!$B181),3)</f>
        <v>0</v>
      </c>
      <c r="C213" s="38">
        <f>ROUND(C$112*(1-'Loads'!$B181),3)</f>
        <v>0</v>
      </c>
      <c r="D213" s="38">
        <f>ROUND(D$112*(1-'Loads'!$B181),3)</f>
        <v>0</v>
      </c>
      <c r="E213" s="47">
        <f>ROUND(E$112*(1-'Loads'!$C181),2)</f>
        <v>0</v>
      </c>
      <c r="F213" s="47">
        <f>ROUND(F$112*(1-'Loads'!$B181),2)</f>
        <v>0</v>
      </c>
      <c r="G213" s="38">
        <f>ROUND(G$112*(1-'Loads'!$B181),3)</f>
        <v>0</v>
      </c>
      <c r="H213" s="17"/>
    </row>
    <row r="214" spans="1:8">
      <c r="A214" s="29" t="s">
        <v>231</v>
      </c>
      <c r="H214" s="17"/>
    </row>
    <row r="215" spans="1:8">
      <c r="A215" s="4" t="s">
        <v>175</v>
      </c>
      <c r="B215" s="38">
        <f>ROUND(B$113*(1-'Loads'!$B183),3)</f>
        <v>0</v>
      </c>
      <c r="C215" s="38">
        <f>ROUND(C$113*(1-'Loads'!$B183),3)</f>
        <v>0</v>
      </c>
      <c r="D215" s="38">
        <f>ROUND(D$113*(1-'Loads'!$B183),3)</f>
        <v>0</v>
      </c>
      <c r="E215" s="47">
        <f>ROUND(E$113*(1-'Loads'!$C183),2)</f>
        <v>0</v>
      </c>
      <c r="F215" s="47">
        <f>ROUND(F$113*(1-'Loads'!$B183),2)</f>
        <v>0</v>
      </c>
      <c r="G215" s="38">
        <f>ROUND(G$113*(1-'Loads'!$B183),3)</f>
        <v>0</v>
      </c>
      <c r="H215" s="17"/>
    </row>
    <row r="216" spans="1:8">
      <c r="A216" s="4" t="s">
        <v>232</v>
      </c>
      <c r="B216" s="38">
        <f>ROUND(B$113*(1-'Loads'!$B184),3)</f>
        <v>0</v>
      </c>
      <c r="C216" s="38">
        <f>ROUND(C$113*(1-'Loads'!$B184),3)</f>
        <v>0</v>
      </c>
      <c r="D216" s="38">
        <f>ROUND(D$113*(1-'Loads'!$B184),3)</f>
        <v>0</v>
      </c>
      <c r="E216" s="47">
        <f>ROUND(E$113*(1-'Loads'!$C184),2)</f>
        <v>0</v>
      </c>
      <c r="F216" s="47">
        <f>ROUND(F$113*(1-'Loads'!$B184),2)</f>
        <v>0</v>
      </c>
      <c r="G216" s="38">
        <f>ROUND(G$113*(1-'Loads'!$B184),3)</f>
        <v>0</v>
      </c>
      <c r="H216" s="17"/>
    </row>
    <row r="217" spans="1:8">
      <c r="A217" s="4" t="s">
        <v>233</v>
      </c>
      <c r="B217" s="38">
        <f>ROUND(B$113*(1-'Loads'!$B185),3)</f>
        <v>0</v>
      </c>
      <c r="C217" s="38">
        <f>ROUND(C$113*(1-'Loads'!$B185),3)</f>
        <v>0</v>
      </c>
      <c r="D217" s="38">
        <f>ROUND(D$113*(1-'Loads'!$B185),3)</f>
        <v>0</v>
      </c>
      <c r="E217" s="47">
        <f>ROUND(E$113*(1-'Loads'!$C185),2)</f>
        <v>0</v>
      </c>
      <c r="F217" s="47">
        <f>ROUND(F$113*(1-'Loads'!$B185),2)</f>
        <v>0</v>
      </c>
      <c r="G217" s="38">
        <f>ROUND(G$113*(1-'Loads'!$B185),3)</f>
        <v>0</v>
      </c>
      <c r="H217" s="17"/>
    </row>
    <row r="218" spans="1:8">
      <c r="A218" s="29" t="s">
        <v>234</v>
      </c>
      <c r="H218" s="17"/>
    </row>
    <row r="219" spans="1:8">
      <c r="A219" s="4" t="s">
        <v>211</v>
      </c>
      <c r="B219" s="38">
        <f>ROUND(B$114*(1-'Loads'!$B187),3)</f>
        <v>0</v>
      </c>
      <c r="C219" s="38">
        <f>ROUND(C$114*(1-'Loads'!$B187),3)</f>
        <v>0</v>
      </c>
      <c r="D219" s="38">
        <f>ROUND(D$114*(1-'Loads'!$B187),3)</f>
        <v>0</v>
      </c>
      <c r="E219" s="47">
        <f>ROUND(E$114*(1-'Loads'!$C187),2)</f>
        <v>0</v>
      </c>
      <c r="F219" s="47">
        <f>ROUND(F$114*(1-'Loads'!$B187),2)</f>
        <v>0</v>
      </c>
      <c r="G219" s="38">
        <f>ROUND(G$114*(1-'Loads'!$B187),3)</f>
        <v>0</v>
      </c>
      <c r="H219" s="17"/>
    </row>
    <row r="220" spans="1:8">
      <c r="A220" s="4" t="s">
        <v>235</v>
      </c>
      <c r="B220" s="38">
        <f>ROUND(B$114*(1-'Loads'!$B188),3)</f>
        <v>0</v>
      </c>
      <c r="C220" s="38">
        <f>ROUND(C$114*(1-'Loads'!$B188),3)</f>
        <v>0</v>
      </c>
      <c r="D220" s="38">
        <f>ROUND(D$114*(1-'Loads'!$B188),3)</f>
        <v>0</v>
      </c>
      <c r="E220" s="47">
        <f>ROUND(E$114*(1-'Loads'!$C188),2)</f>
        <v>0</v>
      </c>
      <c r="F220" s="47">
        <f>ROUND(F$114*(1-'Loads'!$B188),2)</f>
        <v>0</v>
      </c>
      <c r="G220" s="38">
        <f>ROUND(G$114*(1-'Loads'!$B188),3)</f>
        <v>0</v>
      </c>
      <c r="H220" s="17"/>
    </row>
    <row r="221" spans="1:8">
      <c r="A221" s="4" t="s">
        <v>236</v>
      </c>
      <c r="B221" s="38">
        <f>ROUND(B$114*(1-'Loads'!$B189),3)</f>
        <v>0</v>
      </c>
      <c r="C221" s="38">
        <f>ROUND(C$114*(1-'Loads'!$B189),3)</f>
        <v>0</v>
      </c>
      <c r="D221" s="38">
        <f>ROUND(D$114*(1-'Loads'!$B189),3)</f>
        <v>0</v>
      </c>
      <c r="E221" s="47">
        <f>ROUND(E$114*(1-'Loads'!$C189),2)</f>
        <v>0</v>
      </c>
      <c r="F221" s="47">
        <f>ROUND(F$114*(1-'Loads'!$B189),2)</f>
        <v>0</v>
      </c>
      <c r="G221" s="38">
        <f>ROUND(G$114*(1-'Loads'!$B189),3)</f>
        <v>0</v>
      </c>
      <c r="H221" s="17"/>
    </row>
    <row r="222" spans="1:8">
      <c r="A222" s="29" t="s">
        <v>237</v>
      </c>
      <c r="H222" s="17"/>
    </row>
    <row r="223" spans="1:8">
      <c r="A223" s="4" t="s">
        <v>176</v>
      </c>
      <c r="B223" s="38">
        <f>ROUND(B$115*(1-'Loads'!$B191),3)</f>
        <v>0</v>
      </c>
      <c r="C223" s="38">
        <f>ROUND(C$115*(1-'Loads'!$B191),3)</f>
        <v>0</v>
      </c>
      <c r="D223" s="38">
        <f>ROUND(D$115*(1-'Loads'!$B191),3)</f>
        <v>0</v>
      </c>
      <c r="E223" s="47">
        <f>ROUND(E$115*(1-'Loads'!$C191),2)</f>
        <v>0</v>
      </c>
      <c r="F223" s="47">
        <f>ROUND(F$115*(1-'Loads'!$B191),2)</f>
        <v>0</v>
      </c>
      <c r="G223" s="38">
        <f>ROUND(G$115*(1-'Loads'!$B191),3)</f>
        <v>0</v>
      </c>
      <c r="H223" s="17"/>
    </row>
    <row r="224" spans="1:8">
      <c r="A224" s="4" t="s">
        <v>238</v>
      </c>
      <c r="B224" s="38">
        <f>ROUND(B$115*(1-'Loads'!$B192),3)</f>
        <v>0</v>
      </c>
      <c r="C224" s="38">
        <f>ROUND(C$115*(1-'Loads'!$B192),3)</f>
        <v>0</v>
      </c>
      <c r="D224" s="38">
        <f>ROUND(D$115*(1-'Loads'!$B192),3)</f>
        <v>0</v>
      </c>
      <c r="E224" s="47">
        <f>ROUND(E$115*(1-'Loads'!$C192),2)</f>
        <v>0</v>
      </c>
      <c r="F224" s="47">
        <f>ROUND(F$115*(1-'Loads'!$B192),2)</f>
        <v>0</v>
      </c>
      <c r="G224" s="38">
        <f>ROUND(G$115*(1-'Loads'!$B192),3)</f>
        <v>0</v>
      </c>
      <c r="H224" s="17"/>
    </row>
    <row r="225" spans="1:8">
      <c r="A225" s="4" t="s">
        <v>239</v>
      </c>
      <c r="B225" s="38">
        <f>ROUND(B$115*(1-'Loads'!$B193),3)</f>
        <v>0</v>
      </c>
      <c r="C225" s="38">
        <f>ROUND(C$115*(1-'Loads'!$B193),3)</f>
        <v>0</v>
      </c>
      <c r="D225" s="38">
        <f>ROUND(D$115*(1-'Loads'!$B193),3)</f>
        <v>0</v>
      </c>
      <c r="E225" s="47">
        <f>ROUND(E$115*(1-'Loads'!$C193),2)</f>
        <v>0</v>
      </c>
      <c r="F225" s="47">
        <f>ROUND(F$115*(1-'Loads'!$B193),2)</f>
        <v>0</v>
      </c>
      <c r="G225" s="38">
        <f>ROUND(G$115*(1-'Loads'!$B193),3)</f>
        <v>0</v>
      </c>
      <c r="H225" s="17"/>
    </row>
    <row r="226" spans="1:8">
      <c r="A226" s="29" t="s">
        <v>240</v>
      </c>
      <c r="H226" s="17"/>
    </row>
    <row r="227" spans="1:8">
      <c r="A227" s="4" t="s">
        <v>177</v>
      </c>
      <c r="B227" s="38">
        <f>ROUND(B$116*(1-'Loads'!$B195),3)</f>
        <v>0</v>
      </c>
      <c r="C227" s="38">
        <f>ROUND(C$116*(1-'Loads'!$B195),3)</f>
        <v>0</v>
      </c>
      <c r="D227" s="38">
        <f>ROUND(D$116*(1-'Loads'!$B195),3)</f>
        <v>0</v>
      </c>
      <c r="E227" s="47">
        <f>ROUND(E$116*(1-'Loads'!$C195),2)</f>
        <v>0</v>
      </c>
      <c r="F227" s="47">
        <f>ROUND(F$116*(1-'Loads'!$B195),2)</f>
        <v>0</v>
      </c>
      <c r="G227" s="38">
        <f>ROUND(G$116*(1-'Loads'!$B195),3)</f>
        <v>0</v>
      </c>
      <c r="H227" s="17"/>
    </row>
    <row r="228" spans="1:8">
      <c r="A228" s="4" t="s">
        <v>241</v>
      </c>
      <c r="B228" s="38">
        <f>ROUND(B$116*(1-'Loads'!$B196),3)</f>
        <v>0</v>
      </c>
      <c r="C228" s="38">
        <f>ROUND(C$116*(1-'Loads'!$B196),3)</f>
        <v>0</v>
      </c>
      <c r="D228" s="38">
        <f>ROUND(D$116*(1-'Loads'!$B196),3)</f>
        <v>0</v>
      </c>
      <c r="E228" s="47">
        <f>ROUND(E$116*(1-'Loads'!$C196),2)</f>
        <v>0</v>
      </c>
      <c r="F228" s="47">
        <f>ROUND(F$116*(1-'Loads'!$B196),2)</f>
        <v>0</v>
      </c>
      <c r="G228" s="38">
        <f>ROUND(G$116*(1-'Loads'!$B196),3)</f>
        <v>0</v>
      </c>
      <c r="H228" s="17"/>
    </row>
    <row r="229" spans="1:8">
      <c r="A229" s="4" t="s">
        <v>242</v>
      </c>
      <c r="B229" s="38">
        <f>ROUND(B$116*(1-'Loads'!$B197),3)</f>
        <v>0</v>
      </c>
      <c r="C229" s="38">
        <f>ROUND(C$116*(1-'Loads'!$B197),3)</f>
        <v>0</v>
      </c>
      <c r="D229" s="38">
        <f>ROUND(D$116*(1-'Loads'!$B197),3)</f>
        <v>0</v>
      </c>
      <c r="E229" s="47">
        <f>ROUND(E$116*(1-'Loads'!$C197),2)</f>
        <v>0</v>
      </c>
      <c r="F229" s="47">
        <f>ROUND(F$116*(1-'Loads'!$B197),2)</f>
        <v>0</v>
      </c>
      <c r="G229" s="38">
        <f>ROUND(G$116*(1-'Loads'!$B197),3)</f>
        <v>0</v>
      </c>
      <c r="H229" s="17"/>
    </row>
    <row r="230" spans="1:8">
      <c r="A230" s="29" t="s">
        <v>243</v>
      </c>
      <c r="H230" s="17"/>
    </row>
    <row r="231" spans="1:8">
      <c r="A231" s="4" t="s">
        <v>212</v>
      </c>
      <c r="B231" s="38">
        <f>ROUND(B$117*(1-'Loads'!$B199),3)</f>
        <v>0</v>
      </c>
      <c r="C231" s="38">
        <f>ROUND(C$117*(1-'Loads'!$B199),3)</f>
        <v>0</v>
      </c>
      <c r="D231" s="38">
        <f>ROUND(D$117*(1-'Loads'!$B199),3)</f>
        <v>0</v>
      </c>
      <c r="E231" s="47">
        <f>ROUND(E$117*(1-'Loads'!$C199),2)</f>
        <v>0</v>
      </c>
      <c r="F231" s="47">
        <f>ROUND(F$117*(1-'Loads'!$B199),2)</f>
        <v>0</v>
      </c>
      <c r="G231" s="38">
        <f>ROUND(G$117*(1-'Loads'!$B199),3)</f>
        <v>0</v>
      </c>
      <c r="H231" s="17"/>
    </row>
    <row r="232" spans="1:8">
      <c r="A232" s="4" t="s">
        <v>244</v>
      </c>
      <c r="B232" s="38">
        <f>ROUND(B$117*(1-'Loads'!$B200),3)</f>
        <v>0</v>
      </c>
      <c r="C232" s="38">
        <f>ROUND(C$117*(1-'Loads'!$B200),3)</f>
        <v>0</v>
      </c>
      <c r="D232" s="38">
        <f>ROUND(D$117*(1-'Loads'!$B200),3)</f>
        <v>0</v>
      </c>
      <c r="E232" s="47">
        <f>ROUND(E$117*(1-'Loads'!$C200),2)</f>
        <v>0</v>
      </c>
      <c r="F232" s="47">
        <f>ROUND(F$117*(1-'Loads'!$B200),2)</f>
        <v>0</v>
      </c>
      <c r="G232" s="38">
        <f>ROUND(G$117*(1-'Loads'!$B200),3)</f>
        <v>0</v>
      </c>
      <c r="H232" s="17"/>
    </row>
    <row r="233" spans="1:8">
      <c r="A233" s="4" t="s">
        <v>245</v>
      </c>
      <c r="B233" s="38">
        <f>ROUND(B$117*(1-'Loads'!$B201),3)</f>
        <v>0</v>
      </c>
      <c r="C233" s="38">
        <f>ROUND(C$117*(1-'Loads'!$B201),3)</f>
        <v>0</v>
      </c>
      <c r="D233" s="38">
        <f>ROUND(D$117*(1-'Loads'!$B201),3)</f>
        <v>0</v>
      </c>
      <c r="E233" s="47">
        <f>ROUND(E$117*(1-'Loads'!$C201),2)</f>
        <v>0</v>
      </c>
      <c r="F233" s="47">
        <f>ROUND(F$117*(1-'Loads'!$B201),2)</f>
        <v>0</v>
      </c>
      <c r="G233" s="38">
        <f>ROUND(G$117*(1-'Loads'!$B201),3)</f>
        <v>0</v>
      </c>
      <c r="H233" s="17"/>
    </row>
    <row r="234" spans="1:8">
      <c r="A234" s="29" t="s">
        <v>246</v>
      </c>
      <c r="H234" s="17"/>
    </row>
    <row r="235" spans="1:8">
      <c r="A235" s="4" t="s">
        <v>178</v>
      </c>
      <c r="B235" s="38">
        <f>ROUND(B$118*(1-'Loads'!$B203),3)</f>
        <v>0</v>
      </c>
      <c r="C235" s="38">
        <f>ROUND(C$118*(1-'Loads'!$B203),3)</f>
        <v>0</v>
      </c>
      <c r="D235" s="38">
        <f>ROUND(D$118*(1-'Loads'!$B203),3)</f>
        <v>0</v>
      </c>
      <c r="E235" s="47">
        <f>ROUND(E$118*(1-'Loads'!$C203),2)</f>
        <v>0</v>
      </c>
      <c r="F235" s="47">
        <f>ROUND(F$118*(1-'Loads'!$B203),2)</f>
        <v>0</v>
      </c>
      <c r="G235" s="38">
        <f>ROUND(G$118*(1-'Loads'!$B203),3)</f>
        <v>0</v>
      </c>
      <c r="H235" s="17"/>
    </row>
    <row r="236" spans="1:8">
      <c r="A236" s="4" t="s">
        <v>247</v>
      </c>
      <c r="B236" s="38">
        <f>ROUND(B$118*(1-'Loads'!$B204),3)</f>
        <v>0</v>
      </c>
      <c r="C236" s="38">
        <f>ROUND(C$118*(1-'Loads'!$B204),3)</f>
        <v>0</v>
      </c>
      <c r="D236" s="38">
        <f>ROUND(D$118*(1-'Loads'!$B204),3)</f>
        <v>0</v>
      </c>
      <c r="E236" s="47">
        <f>ROUND(E$118*(1-'Loads'!$C204),2)</f>
        <v>0</v>
      </c>
      <c r="F236" s="47">
        <f>ROUND(F$118*(1-'Loads'!$B204),2)</f>
        <v>0</v>
      </c>
      <c r="G236" s="38">
        <f>ROUND(G$118*(1-'Loads'!$B204),3)</f>
        <v>0</v>
      </c>
      <c r="H236" s="17"/>
    </row>
    <row r="237" spans="1:8">
      <c r="A237" s="4" t="s">
        <v>248</v>
      </c>
      <c r="B237" s="38">
        <f>ROUND(B$118*(1-'Loads'!$B205),3)</f>
        <v>0</v>
      </c>
      <c r="C237" s="38">
        <f>ROUND(C$118*(1-'Loads'!$B205),3)</f>
        <v>0</v>
      </c>
      <c r="D237" s="38">
        <f>ROUND(D$118*(1-'Loads'!$B205),3)</f>
        <v>0</v>
      </c>
      <c r="E237" s="47">
        <f>ROUND(E$118*(1-'Loads'!$C205),2)</f>
        <v>0</v>
      </c>
      <c r="F237" s="47">
        <f>ROUND(F$118*(1-'Loads'!$B205),2)</f>
        <v>0</v>
      </c>
      <c r="G237" s="38">
        <f>ROUND(G$118*(1-'Loads'!$B205),3)</f>
        <v>0</v>
      </c>
      <c r="H237" s="17"/>
    </row>
    <row r="238" spans="1:8">
      <c r="A238" s="29" t="s">
        <v>249</v>
      </c>
      <c r="H238" s="17"/>
    </row>
    <row r="239" spans="1:8">
      <c r="A239" s="4" t="s">
        <v>179</v>
      </c>
      <c r="B239" s="38">
        <f>ROUND(B$119*(1-'Loads'!$B207),3)</f>
        <v>0</v>
      </c>
      <c r="C239" s="38">
        <f>ROUND(C$119*(1-'Loads'!$B207),3)</f>
        <v>0</v>
      </c>
      <c r="D239" s="38">
        <f>ROUND(D$119*(1-'Loads'!$B207),3)</f>
        <v>0</v>
      </c>
      <c r="E239" s="47">
        <f>ROUND(E$119*(1-'Loads'!$C207),2)</f>
        <v>0</v>
      </c>
      <c r="F239" s="47">
        <f>ROUND(F$119*(1-'Loads'!$B207),2)</f>
        <v>0</v>
      </c>
      <c r="G239" s="38">
        <f>ROUND(G$119*(1-'Loads'!$B207),3)</f>
        <v>0</v>
      </c>
      <c r="H239" s="17"/>
    </row>
    <row r="240" spans="1:8">
      <c r="A240" s="4" t="s">
        <v>250</v>
      </c>
      <c r="B240" s="38">
        <f>ROUND(B$119*(1-'Loads'!$B208),3)</f>
        <v>0</v>
      </c>
      <c r="C240" s="38">
        <f>ROUND(C$119*(1-'Loads'!$B208),3)</f>
        <v>0</v>
      </c>
      <c r="D240" s="38">
        <f>ROUND(D$119*(1-'Loads'!$B208),3)</f>
        <v>0</v>
      </c>
      <c r="E240" s="47">
        <f>ROUND(E$119*(1-'Loads'!$C208),2)</f>
        <v>0</v>
      </c>
      <c r="F240" s="47">
        <f>ROUND(F$119*(1-'Loads'!$B208),2)</f>
        <v>0</v>
      </c>
      <c r="G240" s="38">
        <f>ROUND(G$119*(1-'Loads'!$B208),3)</f>
        <v>0</v>
      </c>
      <c r="H240" s="17"/>
    </row>
    <row r="241" spans="1:8">
      <c r="A241" s="4" t="s">
        <v>251</v>
      </c>
      <c r="B241" s="38">
        <f>ROUND(B$119*(1-'Loads'!$B209),3)</f>
        <v>0</v>
      </c>
      <c r="C241" s="38">
        <f>ROUND(C$119*(1-'Loads'!$B209),3)</f>
        <v>0</v>
      </c>
      <c r="D241" s="38">
        <f>ROUND(D$119*(1-'Loads'!$B209),3)</f>
        <v>0</v>
      </c>
      <c r="E241" s="47">
        <f>ROUND(E$119*(1-'Loads'!$C209),2)</f>
        <v>0</v>
      </c>
      <c r="F241" s="47">
        <f>ROUND(F$119*(1-'Loads'!$B209),2)</f>
        <v>0</v>
      </c>
      <c r="G241" s="38">
        <f>ROUND(G$119*(1-'Loads'!$B209),3)</f>
        <v>0</v>
      </c>
      <c r="H241" s="17"/>
    </row>
    <row r="242" spans="1:8">
      <c r="A242" s="29" t="s">
        <v>252</v>
      </c>
      <c r="H242" s="17"/>
    </row>
    <row r="243" spans="1:8">
      <c r="A243" s="4" t="s">
        <v>180</v>
      </c>
      <c r="B243" s="38">
        <f>ROUND(B$120*(1-'Loads'!$B211),3)</f>
        <v>0</v>
      </c>
      <c r="C243" s="38">
        <f>ROUND(C$120*(1-'Loads'!$B211),3)</f>
        <v>0</v>
      </c>
      <c r="D243" s="38">
        <f>ROUND(D$120*(1-'Loads'!$B211),3)</f>
        <v>0</v>
      </c>
      <c r="E243" s="47">
        <f>ROUND(E$120*(1-'Loads'!$C211),2)</f>
        <v>0</v>
      </c>
      <c r="F243" s="47">
        <f>ROUND(F$120*(1-'Loads'!$B211),2)</f>
        <v>0</v>
      </c>
      <c r="G243" s="38">
        <f>ROUND(G$120*(1-'Loads'!$B211),3)</f>
        <v>0</v>
      </c>
      <c r="H243" s="17"/>
    </row>
    <row r="244" spans="1:8">
      <c r="A244" s="4" t="s">
        <v>253</v>
      </c>
      <c r="B244" s="38">
        <f>ROUND(B$120*(1-'Loads'!$B212),3)</f>
        <v>0</v>
      </c>
      <c r="C244" s="38">
        <f>ROUND(C$120*(1-'Loads'!$B212),3)</f>
        <v>0</v>
      </c>
      <c r="D244" s="38">
        <f>ROUND(D$120*(1-'Loads'!$B212),3)</f>
        <v>0</v>
      </c>
      <c r="E244" s="47">
        <f>ROUND(E$120*(1-'Loads'!$C212),2)</f>
        <v>0</v>
      </c>
      <c r="F244" s="47">
        <f>ROUND(F$120*(1-'Loads'!$B212),2)</f>
        <v>0</v>
      </c>
      <c r="G244" s="38">
        <f>ROUND(G$120*(1-'Loads'!$B212),3)</f>
        <v>0</v>
      </c>
      <c r="H244" s="17"/>
    </row>
    <row r="245" spans="1:8">
      <c r="A245" s="4" t="s">
        <v>254</v>
      </c>
      <c r="B245" s="38">
        <f>ROUND(B$120*(1-'Loads'!$B213),3)</f>
        <v>0</v>
      </c>
      <c r="C245" s="38">
        <f>ROUND(C$120*(1-'Loads'!$B213),3)</f>
        <v>0</v>
      </c>
      <c r="D245" s="38">
        <f>ROUND(D$120*(1-'Loads'!$B213),3)</f>
        <v>0</v>
      </c>
      <c r="E245" s="47">
        <f>ROUND(E$120*(1-'Loads'!$C213),2)</f>
        <v>0</v>
      </c>
      <c r="F245" s="47">
        <f>ROUND(F$120*(1-'Loads'!$B213),2)</f>
        <v>0</v>
      </c>
      <c r="G245" s="38">
        <f>ROUND(G$120*(1-'Loads'!$B213),3)</f>
        <v>0</v>
      </c>
      <c r="H245" s="17"/>
    </row>
    <row r="246" spans="1:8">
      <c r="A246" s="29" t="s">
        <v>255</v>
      </c>
      <c r="H246" s="17"/>
    </row>
    <row r="247" spans="1:8">
      <c r="A247" s="4" t="s">
        <v>181</v>
      </c>
      <c r="B247" s="38">
        <f>ROUND(B$121*(1-'Loads'!$B215),3)</f>
        <v>0</v>
      </c>
      <c r="C247" s="38">
        <f>ROUND(C$121*(1-'Loads'!$B215),3)</f>
        <v>0</v>
      </c>
      <c r="D247" s="38">
        <f>ROUND(D$121*(1-'Loads'!$B215),3)</f>
        <v>0</v>
      </c>
      <c r="E247" s="47">
        <f>ROUND(E$121*(1-'Loads'!$C215),2)</f>
        <v>0</v>
      </c>
      <c r="F247" s="47">
        <f>ROUND(F$121*(1-'Loads'!$B215),2)</f>
        <v>0</v>
      </c>
      <c r="G247" s="38">
        <f>ROUND(G$121*(1-'Loads'!$B215),3)</f>
        <v>0</v>
      </c>
      <c r="H247" s="17"/>
    </row>
    <row r="248" spans="1:8">
      <c r="A248" s="4" t="s">
        <v>256</v>
      </c>
      <c r="B248" s="38">
        <f>ROUND(B$121*(1-'Loads'!$B216),3)</f>
        <v>0</v>
      </c>
      <c r="C248" s="38">
        <f>ROUND(C$121*(1-'Loads'!$B216),3)</f>
        <v>0</v>
      </c>
      <c r="D248" s="38">
        <f>ROUND(D$121*(1-'Loads'!$B216),3)</f>
        <v>0</v>
      </c>
      <c r="E248" s="47">
        <f>ROUND(E$121*(1-'Loads'!$C216),2)</f>
        <v>0</v>
      </c>
      <c r="F248" s="47">
        <f>ROUND(F$121*(1-'Loads'!$B216),2)</f>
        <v>0</v>
      </c>
      <c r="G248" s="38">
        <f>ROUND(G$121*(1-'Loads'!$B216),3)</f>
        <v>0</v>
      </c>
      <c r="H248" s="17"/>
    </row>
    <row r="249" spans="1:8">
      <c r="A249" s="29" t="s">
        <v>257</v>
      </c>
      <c r="H249" s="17"/>
    </row>
    <row r="250" spans="1:8">
      <c r="A250" s="4" t="s">
        <v>193</v>
      </c>
      <c r="B250" s="38">
        <f>ROUND(B$122*(1-'Loads'!$B218),3)</f>
        <v>0</v>
      </c>
      <c r="C250" s="38">
        <f>ROUND(C$122*(1-'Loads'!$B218),3)</f>
        <v>0</v>
      </c>
      <c r="D250" s="38">
        <f>ROUND(D$122*(1-'Loads'!$B218),3)</f>
        <v>0</v>
      </c>
      <c r="E250" s="47">
        <f>ROUND(E$122*(1-'Loads'!$C218),2)</f>
        <v>0</v>
      </c>
      <c r="F250" s="47">
        <f>ROUND(F$122*(1-'Loads'!$B218),2)</f>
        <v>0</v>
      </c>
      <c r="G250" s="38">
        <f>ROUND(G$122*(1-'Loads'!$B218),3)</f>
        <v>0</v>
      </c>
      <c r="H250" s="17"/>
    </row>
    <row r="251" spans="1:8">
      <c r="A251" s="4" t="s">
        <v>258</v>
      </c>
      <c r="B251" s="38">
        <f>ROUND(B$122*(1-'Loads'!$B219),3)</f>
        <v>0</v>
      </c>
      <c r="C251" s="38">
        <f>ROUND(C$122*(1-'Loads'!$B219),3)</f>
        <v>0</v>
      </c>
      <c r="D251" s="38">
        <f>ROUND(D$122*(1-'Loads'!$B219),3)</f>
        <v>0</v>
      </c>
      <c r="E251" s="47">
        <f>ROUND(E$122*(1-'Loads'!$C219),2)</f>
        <v>0</v>
      </c>
      <c r="F251" s="47">
        <f>ROUND(F$122*(1-'Loads'!$B219),2)</f>
        <v>0</v>
      </c>
      <c r="G251" s="38">
        <f>ROUND(G$122*(1-'Loads'!$B219),3)</f>
        <v>0</v>
      </c>
      <c r="H251" s="17"/>
    </row>
    <row r="252" spans="1:8">
      <c r="A252" s="29" t="s">
        <v>259</v>
      </c>
      <c r="H252" s="17"/>
    </row>
    <row r="253" spans="1:8">
      <c r="A253" s="4" t="s">
        <v>213</v>
      </c>
      <c r="B253" s="38">
        <f>ROUND(B$123*(1-'Loads'!$B221),3)</f>
        <v>0</v>
      </c>
      <c r="C253" s="38">
        <f>ROUND(C$123*(1-'Loads'!$B221),3)</f>
        <v>0</v>
      </c>
      <c r="D253" s="38">
        <f>ROUND(D$123*(1-'Loads'!$B221),3)</f>
        <v>0</v>
      </c>
      <c r="E253" s="47">
        <f>ROUND(E$123*(1-'Loads'!$C221),2)</f>
        <v>0</v>
      </c>
      <c r="F253" s="47">
        <f>ROUND(F$123*(1-'Loads'!$B221),2)</f>
        <v>0</v>
      </c>
      <c r="G253" s="38">
        <f>ROUND(G$123*(1-'Loads'!$B221),3)</f>
        <v>0</v>
      </c>
      <c r="H253" s="17"/>
    </row>
    <row r="254" spans="1:8">
      <c r="A254" s="4" t="s">
        <v>260</v>
      </c>
      <c r="B254" s="38">
        <f>ROUND(B$123*(1-'Loads'!$B222),3)</f>
        <v>0</v>
      </c>
      <c r="C254" s="38">
        <f>ROUND(C$123*(1-'Loads'!$B222),3)</f>
        <v>0</v>
      </c>
      <c r="D254" s="38">
        <f>ROUND(D$123*(1-'Loads'!$B222),3)</f>
        <v>0</v>
      </c>
      <c r="E254" s="47">
        <f>ROUND(E$123*(1-'Loads'!$C222),2)</f>
        <v>0</v>
      </c>
      <c r="F254" s="47">
        <f>ROUND(F$123*(1-'Loads'!$B222),2)</f>
        <v>0</v>
      </c>
      <c r="G254" s="38">
        <f>ROUND(G$123*(1-'Loads'!$B222),3)</f>
        <v>0</v>
      </c>
      <c r="H254" s="17"/>
    </row>
    <row r="255" spans="1:8">
      <c r="A255" s="4" t="s">
        <v>261</v>
      </c>
      <c r="B255" s="38">
        <f>ROUND(B$123*(1-'Loads'!$B223),3)</f>
        <v>0</v>
      </c>
      <c r="C255" s="38">
        <f>ROUND(C$123*(1-'Loads'!$B223),3)</f>
        <v>0</v>
      </c>
      <c r="D255" s="38">
        <f>ROUND(D$123*(1-'Loads'!$B223),3)</f>
        <v>0</v>
      </c>
      <c r="E255" s="47">
        <f>ROUND(E$123*(1-'Loads'!$C223),2)</f>
        <v>0</v>
      </c>
      <c r="F255" s="47">
        <f>ROUND(F$123*(1-'Loads'!$B223),2)</f>
        <v>0</v>
      </c>
      <c r="G255" s="38">
        <f>ROUND(G$123*(1-'Loads'!$B223),3)</f>
        <v>0</v>
      </c>
      <c r="H255" s="17"/>
    </row>
    <row r="256" spans="1:8">
      <c r="A256" s="29" t="s">
        <v>262</v>
      </c>
      <c r="H256" s="17"/>
    </row>
    <row r="257" spans="1:8">
      <c r="A257" s="4" t="s">
        <v>214</v>
      </c>
      <c r="B257" s="38">
        <f>ROUND(B$124*(1-'Loads'!$B225),3)</f>
        <v>0</v>
      </c>
      <c r="C257" s="38">
        <f>ROUND(C$124*(1-'Loads'!$B225),3)</f>
        <v>0</v>
      </c>
      <c r="D257" s="38">
        <f>ROUND(D$124*(1-'Loads'!$B225),3)</f>
        <v>0</v>
      </c>
      <c r="E257" s="47">
        <f>ROUND(E$124*(1-'Loads'!$C225),2)</f>
        <v>0</v>
      </c>
      <c r="F257" s="47">
        <f>ROUND(F$124*(1-'Loads'!$B225),2)</f>
        <v>0</v>
      </c>
      <c r="G257" s="38">
        <f>ROUND(G$124*(1-'Loads'!$B225),3)</f>
        <v>0</v>
      </c>
      <c r="H257" s="17"/>
    </row>
    <row r="258" spans="1:8">
      <c r="A258" s="4" t="s">
        <v>263</v>
      </c>
      <c r="B258" s="38">
        <f>ROUND(B$124*(1-'Loads'!$B226),3)</f>
        <v>0</v>
      </c>
      <c r="C258" s="38">
        <f>ROUND(C$124*(1-'Loads'!$B226),3)</f>
        <v>0</v>
      </c>
      <c r="D258" s="38">
        <f>ROUND(D$124*(1-'Loads'!$B226),3)</f>
        <v>0</v>
      </c>
      <c r="E258" s="47">
        <f>ROUND(E$124*(1-'Loads'!$C226),2)</f>
        <v>0</v>
      </c>
      <c r="F258" s="47">
        <f>ROUND(F$124*(1-'Loads'!$B226),2)</f>
        <v>0</v>
      </c>
      <c r="G258" s="38">
        <f>ROUND(G$124*(1-'Loads'!$B226),3)</f>
        <v>0</v>
      </c>
      <c r="H258" s="17"/>
    </row>
    <row r="259" spans="1:8">
      <c r="A259" s="4" t="s">
        <v>264</v>
      </c>
      <c r="B259" s="38">
        <f>ROUND(B$124*(1-'Loads'!$B227),3)</f>
        <v>0</v>
      </c>
      <c r="C259" s="38">
        <f>ROUND(C$124*(1-'Loads'!$B227),3)</f>
        <v>0</v>
      </c>
      <c r="D259" s="38">
        <f>ROUND(D$124*(1-'Loads'!$B227),3)</f>
        <v>0</v>
      </c>
      <c r="E259" s="47">
        <f>ROUND(E$124*(1-'Loads'!$C227),2)</f>
        <v>0</v>
      </c>
      <c r="F259" s="47">
        <f>ROUND(F$124*(1-'Loads'!$B227),2)</f>
        <v>0</v>
      </c>
      <c r="G259" s="38">
        <f>ROUND(G$124*(1-'Loads'!$B227),3)</f>
        <v>0</v>
      </c>
      <c r="H259" s="17"/>
    </row>
    <row r="260" spans="1:8">
      <c r="A260" s="29" t="s">
        <v>265</v>
      </c>
      <c r="H260" s="17"/>
    </row>
    <row r="261" spans="1:8">
      <c r="A261" s="4" t="s">
        <v>215</v>
      </c>
      <c r="B261" s="38">
        <f>ROUND(B$125*(1-'Loads'!$B229),3)</f>
        <v>0</v>
      </c>
      <c r="C261" s="38">
        <f>ROUND(C$125*(1-'Loads'!$B229),3)</f>
        <v>0</v>
      </c>
      <c r="D261" s="38">
        <f>ROUND(D$125*(1-'Loads'!$B229),3)</f>
        <v>0</v>
      </c>
      <c r="E261" s="47">
        <f>ROUND(E$125*(1-'Loads'!$C229),2)</f>
        <v>0</v>
      </c>
      <c r="F261" s="47">
        <f>ROUND(F$125*(1-'Loads'!$B229),2)</f>
        <v>0</v>
      </c>
      <c r="G261" s="38">
        <f>ROUND(G$125*(1-'Loads'!$B229),3)</f>
        <v>0</v>
      </c>
      <c r="H261" s="17"/>
    </row>
    <row r="262" spans="1:8">
      <c r="A262" s="4" t="s">
        <v>266</v>
      </c>
      <c r="B262" s="38">
        <f>ROUND(B$125*(1-'Loads'!$B230),3)</f>
        <v>0</v>
      </c>
      <c r="C262" s="38">
        <f>ROUND(C$125*(1-'Loads'!$B230),3)</f>
        <v>0</v>
      </c>
      <c r="D262" s="38">
        <f>ROUND(D$125*(1-'Loads'!$B230),3)</f>
        <v>0</v>
      </c>
      <c r="E262" s="47">
        <f>ROUND(E$125*(1-'Loads'!$C230),2)</f>
        <v>0</v>
      </c>
      <c r="F262" s="47">
        <f>ROUND(F$125*(1-'Loads'!$B230),2)</f>
        <v>0</v>
      </c>
      <c r="G262" s="38">
        <f>ROUND(G$125*(1-'Loads'!$B230),3)</f>
        <v>0</v>
      </c>
      <c r="H262" s="17"/>
    </row>
    <row r="263" spans="1:8">
      <c r="A263" s="4" t="s">
        <v>267</v>
      </c>
      <c r="B263" s="38">
        <f>ROUND(B$125*(1-'Loads'!$B231),3)</f>
        <v>0</v>
      </c>
      <c r="C263" s="38">
        <f>ROUND(C$125*(1-'Loads'!$B231),3)</f>
        <v>0</v>
      </c>
      <c r="D263" s="38">
        <f>ROUND(D$125*(1-'Loads'!$B231),3)</f>
        <v>0</v>
      </c>
      <c r="E263" s="47">
        <f>ROUND(E$125*(1-'Loads'!$C231),2)</f>
        <v>0</v>
      </c>
      <c r="F263" s="47">
        <f>ROUND(F$125*(1-'Loads'!$B231),2)</f>
        <v>0</v>
      </c>
      <c r="G263" s="38">
        <f>ROUND(G$125*(1-'Loads'!$B231),3)</f>
        <v>0</v>
      </c>
      <c r="H263" s="17"/>
    </row>
    <row r="264" spans="1:8">
      <c r="A264" s="29" t="s">
        <v>268</v>
      </c>
      <c r="H264" s="17"/>
    </row>
    <row r="265" spans="1:8">
      <c r="A265" s="4" t="s">
        <v>216</v>
      </c>
      <c r="B265" s="38">
        <f>ROUND(B$126*(1-'Loads'!$B233),3)</f>
        <v>0</v>
      </c>
      <c r="C265" s="38">
        <f>ROUND(C$126*(1-'Loads'!$B233),3)</f>
        <v>0</v>
      </c>
      <c r="D265" s="38">
        <f>ROUND(D$126*(1-'Loads'!$B233),3)</f>
        <v>0</v>
      </c>
      <c r="E265" s="47">
        <f>ROUND(E$126*(1-'Loads'!$C233),2)</f>
        <v>0</v>
      </c>
      <c r="F265" s="47">
        <f>ROUND(F$126*(1-'Loads'!$B233),2)</f>
        <v>0</v>
      </c>
      <c r="G265" s="38">
        <f>ROUND(G$126*(1-'Loads'!$B233),3)</f>
        <v>0</v>
      </c>
      <c r="H265" s="17"/>
    </row>
    <row r="266" spans="1:8">
      <c r="A266" s="4" t="s">
        <v>269</v>
      </c>
      <c r="B266" s="38">
        <f>ROUND(B$126*(1-'Loads'!$B234),3)</f>
        <v>0</v>
      </c>
      <c r="C266" s="38">
        <f>ROUND(C$126*(1-'Loads'!$B234),3)</f>
        <v>0</v>
      </c>
      <c r="D266" s="38">
        <f>ROUND(D$126*(1-'Loads'!$B234),3)</f>
        <v>0</v>
      </c>
      <c r="E266" s="47">
        <f>ROUND(E$126*(1-'Loads'!$C234),2)</f>
        <v>0</v>
      </c>
      <c r="F266" s="47">
        <f>ROUND(F$126*(1-'Loads'!$B234),2)</f>
        <v>0</v>
      </c>
      <c r="G266" s="38">
        <f>ROUND(G$126*(1-'Loads'!$B234),3)</f>
        <v>0</v>
      </c>
      <c r="H266" s="17"/>
    </row>
    <row r="267" spans="1:8">
      <c r="A267" s="4" t="s">
        <v>270</v>
      </c>
      <c r="B267" s="38">
        <f>ROUND(B$126*(1-'Loads'!$B235),3)</f>
        <v>0</v>
      </c>
      <c r="C267" s="38">
        <f>ROUND(C$126*(1-'Loads'!$B235),3)</f>
        <v>0</v>
      </c>
      <c r="D267" s="38">
        <f>ROUND(D$126*(1-'Loads'!$B235),3)</f>
        <v>0</v>
      </c>
      <c r="E267" s="47">
        <f>ROUND(E$126*(1-'Loads'!$C235),2)</f>
        <v>0</v>
      </c>
      <c r="F267" s="47">
        <f>ROUND(F$126*(1-'Loads'!$B235),2)</f>
        <v>0</v>
      </c>
      <c r="G267" s="38">
        <f>ROUND(G$126*(1-'Loads'!$B235),3)</f>
        <v>0</v>
      </c>
      <c r="H267" s="17"/>
    </row>
    <row r="268" spans="1:8">
      <c r="A268" s="29" t="s">
        <v>271</v>
      </c>
      <c r="H268" s="17"/>
    </row>
    <row r="269" spans="1:8">
      <c r="A269" s="4" t="s">
        <v>217</v>
      </c>
      <c r="B269" s="38">
        <f>ROUND(B$127*(1-'Loads'!$B237),3)</f>
        <v>0</v>
      </c>
      <c r="C269" s="38">
        <f>ROUND(C$127*(1-'Loads'!$B237),3)</f>
        <v>0</v>
      </c>
      <c r="D269" s="38">
        <f>ROUND(D$127*(1-'Loads'!$B237),3)</f>
        <v>0</v>
      </c>
      <c r="E269" s="47">
        <f>ROUND(E$127*(1-'Loads'!$C237),2)</f>
        <v>0</v>
      </c>
      <c r="F269" s="47">
        <f>ROUND(F$127*(1-'Loads'!$B237),2)</f>
        <v>0</v>
      </c>
      <c r="G269" s="38">
        <f>ROUND(G$127*(1-'Loads'!$B237),3)</f>
        <v>0</v>
      </c>
      <c r="H269" s="17"/>
    </row>
    <row r="270" spans="1:8">
      <c r="A270" s="4" t="s">
        <v>272</v>
      </c>
      <c r="B270" s="38">
        <f>ROUND(B$127*(1-'Loads'!$B238),3)</f>
        <v>0</v>
      </c>
      <c r="C270" s="38">
        <f>ROUND(C$127*(1-'Loads'!$B238),3)</f>
        <v>0</v>
      </c>
      <c r="D270" s="38">
        <f>ROUND(D$127*(1-'Loads'!$B238),3)</f>
        <v>0</v>
      </c>
      <c r="E270" s="47">
        <f>ROUND(E$127*(1-'Loads'!$C238),2)</f>
        <v>0</v>
      </c>
      <c r="F270" s="47">
        <f>ROUND(F$127*(1-'Loads'!$B238),2)</f>
        <v>0</v>
      </c>
      <c r="G270" s="38">
        <f>ROUND(G$127*(1-'Loads'!$B238),3)</f>
        <v>0</v>
      </c>
      <c r="H270" s="17"/>
    </row>
    <row r="271" spans="1:8">
      <c r="A271" s="4" t="s">
        <v>273</v>
      </c>
      <c r="B271" s="38">
        <f>ROUND(B$127*(1-'Loads'!$B239),3)</f>
        <v>0</v>
      </c>
      <c r="C271" s="38">
        <f>ROUND(C$127*(1-'Loads'!$B239),3)</f>
        <v>0</v>
      </c>
      <c r="D271" s="38">
        <f>ROUND(D$127*(1-'Loads'!$B239),3)</f>
        <v>0</v>
      </c>
      <c r="E271" s="47">
        <f>ROUND(E$127*(1-'Loads'!$C239),2)</f>
        <v>0</v>
      </c>
      <c r="F271" s="47">
        <f>ROUND(F$127*(1-'Loads'!$B239),2)</f>
        <v>0</v>
      </c>
      <c r="G271" s="38">
        <f>ROUND(G$127*(1-'Loads'!$B239),3)</f>
        <v>0</v>
      </c>
      <c r="H271" s="17"/>
    </row>
    <row r="272" spans="1:8">
      <c r="A272" s="29" t="s">
        <v>274</v>
      </c>
      <c r="H272" s="17"/>
    </row>
    <row r="273" spans="1:8">
      <c r="A273" s="4" t="s">
        <v>182</v>
      </c>
      <c r="B273" s="38">
        <f>ROUND(B$128*(1-'Loads'!$B241),3)</f>
        <v>0</v>
      </c>
      <c r="C273" s="38">
        <f>ROUND(C$128*(1-'Loads'!$B241),3)</f>
        <v>0</v>
      </c>
      <c r="D273" s="38">
        <f>ROUND(D$128*(1-'Loads'!$B241),3)</f>
        <v>0</v>
      </c>
      <c r="E273" s="47">
        <f>ROUND(E$128*(1-'Loads'!$C241),2)</f>
        <v>0</v>
      </c>
      <c r="F273" s="47">
        <f>ROUND(F$128*(1-'Loads'!$B241),2)</f>
        <v>0</v>
      </c>
      <c r="G273" s="38">
        <f>ROUND(G$128*(1-'Loads'!$B241),3)</f>
        <v>0</v>
      </c>
      <c r="H273" s="17"/>
    </row>
    <row r="274" spans="1:8">
      <c r="A274" s="4" t="s">
        <v>275</v>
      </c>
      <c r="B274" s="38">
        <f>ROUND(B$128*(1-'Loads'!$B242),3)</f>
        <v>0</v>
      </c>
      <c r="C274" s="38">
        <f>ROUND(C$128*(1-'Loads'!$B242),3)</f>
        <v>0</v>
      </c>
      <c r="D274" s="38">
        <f>ROUND(D$128*(1-'Loads'!$B242),3)</f>
        <v>0</v>
      </c>
      <c r="E274" s="47">
        <f>ROUND(E$128*(1-'Loads'!$C242),2)</f>
        <v>0</v>
      </c>
      <c r="F274" s="47">
        <f>ROUND(F$128*(1-'Loads'!$B242),2)</f>
        <v>0</v>
      </c>
      <c r="G274" s="38">
        <f>ROUND(G$128*(1-'Loads'!$B242),3)</f>
        <v>0</v>
      </c>
      <c r="H274" s="17"/>
    </row>
    <row r="275" spans="1:8">
      <c r="A275" s="4" t="s">
        <v>276</v>
      </c>
      <c r="B275" s="38">
        <f>ROUND(B$128*(1-'Loads'!$B243),3)</f>
        <v>0</v>
      </c>
      <c r="C275" s="38">
        <f>ROUND(C$128*(1-'Loads'!$B243),3)</f>
        <v>0</v>
      </c>
      <c r="D275" s="38">
        <f>ROUND(D$128*(1-'Loads'!$B243),3)</f>
        <v>0</v>
      </c>
      <c r="E275" s="47">
        <f>ROUND(E$128*(1-'Loads'!$C243),2)</f>
        <v>0</v>
      </c>
      <c r="F275" s="47">
        <f>ROUND(F$128*(1-'Loads'!$B243),2)</f>
        <v>0</v>
      </c>
      <c r="G275" s="38">
        <f>ROUND(G$128*(1-'Loads'!$B243),3)</f>
        <v>0</v>
      </c>
      <c r="H275" s="17"/>
    </row>
    <row r="276" spans="1:8">
      <c r="A276" s="29" t="s">
        <v>277</v>
      </c>
      <c r="H276" s="17"/>
    </row>
    <row r="277" spans="1:8">
      <c r="A277" s="4" t="s">
        <v>183</v>
      </c>
      <c r="B277" s="38">
        <f>ROUND(B$129*(1-'Loads'!$B245),3)</f>
        <v>0</v>
      </c>
      <c r="C277" s="38">
        <f>ROUND(C$129*(1-'Loads'!$B245),3)</f>
        <v>0</v>
      </c>
      <c r="D277" s="38">
        <f>ROUND(D$129*(1-'Loads'!$B245),3)</f>
        <v>0</v>
      </c>
      <c r="E277" s="47">
        <f>ROUND(E$129*(1-'Loads'!$C245),2)</f>
        <v>0</v>
      </c>
      <c r="F277" s="47">
        <f>ROUND(F$129*(1-'Loads'!$B245),2)</f>
        <v>0</v>
      </c>
      <c r="G277" s="38">
        <f>ROUND(G$129*(1-'Loads'!$B245),3)</f>
        <v>0</v>
      </c>
      <c r="H277" s="17"/>
    </row>
    <row r="278" spans="1:8">
      <c r="A278" s="4" t="s">
        <v>278</v>
      </c>
      <c r="B278" s="38">
        <f>ROUND(B$129*(1-'Loads'!$B246),3)</f>
        <v>0</v>
      </c>
      <c r="C278" s="38">
        <f>ROUND(C$129*(1-'Loads'!$B246),3)</f>
        <v>0</v>
      </c>
      <c r="D278" s="38">
        <f>ROUND(D$129*(1-'Loads'!$B246),3)</f>
        <v>0</v>
      </c>
      <c r="E278" s="47">
        <f>ROUND(E$129*(1-'Loads'!$C246),2)</f>
        <v>0</v>
      </c>
      <c r="F278" s="47">
        <f>ROUND(F$129*(1-'Loads'!$B246),2)</f>
        <v>0</v>
      </c>
      <c r="G278" s="38">
        <f>ROUND(G$129*(1-'Loads'!$B246),3)</f>
        <v>0</v>
      </c>
      <c r="H278" s="17"/>
    </row>
    <row r="279" spans="1:8">
      <c r="A279" s="29" t="s">
        <v>279</v>
      </c>
      <c r="H279" s="17"/>
    </row>
    <row r="280" spans="1:8">
      <c r="A280" s="4" t="s">
        <v>184</v>
      </c>
      <c r="B280" s="38">
        <f>ROUND(B$130*(1-'Loads'!$B248),3)</f>
        <v>0</v>
      </c>
      <c r="C280" s="38">
        <f>ROUND(C$130*(1-'Loads'!$B248),3)</f>
        <v>0</v>
      </c>
      <c r="D280" s="38">
        <f>ROUND(D$130*(1-'Loads'!$B248),3)</f>
        <v>0</v>
      </c>
      <c r="E280" s="47">
        <f>ROUND(E$130*(1-'Loads'!$C248),2)</f>
        <v>0</v>
      </c>
      <c r="F280" s="47">
        <f>ROUND(F$130*(1-'Loads'!$B248),2)</f>
        <v>0</v>
      </c>
      <c r="G280" s="38">
        <f>ROUND(G$130*(1-'Loads'!$B248),3)</f>
        <v>0</v>
      </c>
      <c r="H280" s="17"/>
    </row>
    <row r="281" spans="1:8">
      <c r="A281" s="4" t="s">
        <v>280</v>
      </c>
      <c r="B281" s="38">
        <f>ROUND(B$130*(1-'Loads'!$B249),3)</f>
        <v>0</v>
      </c>
      <c r="C281" s="38">
        <f>ROUND(C$130*(1-'Loads'!$B249),3)</f>
        <v>0</v>
      </c>
      <c r="D281" s="38">
        <f>ROUND(D$130*(1-'Loads'!$B249),3)</f>
        <v>0</v>
      </c>
      <c r="E281" s="47">
        <f>ROUND(E$130*(1-'Loads'!$C249),2)</f>
        <v>0</v>
      </c>
      <c r="F281" s="47">
        <f>ROUND(F$130*(1-'Loads'!$B249),2)</f>
        <v>0</v>
      </c>
      <c r="G281" s="38">
        <f>ROUND(G$130*(1-'Loads'!$B249),3)</f>
        <v>0</v>
      </c>
      <c r="H281" s="17"/>
    </row>
    <row r="282" spans="1:8">
      <c r="A282" s="4" t="s">
        <v>281</v>
      </c>
      <c r="B282" s="38">
        <f>ROUND(B$130*(1-'Loads'!$B250),3)</f>
        <v>0</v>
      </c>
      <c r="C282" s="38">
        <f>ROUND(C$130*(1-'Loads'!$B250),3)</f>
        <v>0</v>
      </c>
      <c r="D282" s="38">
        <f>ROUND(D$130*(1-'Loads'!$B250),3)</f>
        <v>0</v>
      </c>
      <c r="E282" s="47">
        <f>ROUND(E$130*(1-'Loads'!$C250),2)</f>
        <v>0</v>
      </c>
      <c r="F282" s="47">
        <f>ROUND(F$130*(1-'Loads'!$B250),2)</f>
        <v>0</v>
      </c>
      <c r="G282" s="38">
        <f>ROUND(G$130*(1-'Loads'!$B250),3)</f>
        <v>0</v>
      </c>
      <c r="H282" s="17"/>
    </row>
    <row r="283" spans="1:8">
      <c r="A283" s="29" t="s">
        <v>282</v>
      </c>
      <c r="H283" s="17"/>
    </row>
    <row r="284" spans="1:8">
      <c r="A284" s="4" t="s">
        <v>185</v>
      </c>
      <c r="B284" s="38">
        <f>ROUND(B$131*(1-'Loads'!$B252),3)</f>
        <v>0</v>
      </c>
      <c r="C284" s="38">
        <f>ROUND(C$131*(1-'Loads'!$B252),3)</f>
        <v>0</v>
      </c>
      <c r="D284" s="38">
        <f>ROUND(D$131*(1-'Loads'!$B252),3)</f>
        <v>0</v>
      </c>
      <c r="E284" s="47">
        <f>ROUND(E$131*(1-'Loads'!$C252),2)</f>
        <v>0</v>
      </c>
      <c r="F284" s="47">
        <f>ROUND(F$131*(1-'Loads'!$B252),2)</f>
        <v>0</v>
      </c>
      <c r="G284" s="38">
        <f>ROUND(G$131*(1-'Loads'!$B252),3)</f>
        <v>0</v>
      </c>
      <c r="H284" s="17"/>
    </row>
    <row r="285" spans="1:8">
      <c r="A285" s="4" t="s">
        <v>283</v>
      </c>
      <c r="B285" s="38">
        <f>ROUND(B$131*(1-'Loads'!$B253),3)</f>
        <v>0</v>
      </c>
      <c r="C285" s="38">
        <f>ROUND(C$131*(1-'Loads'!$B253),3)</f>
        <v>0</v>
      </c>
      <c r="D285" s="38">
        <f>ROUND(D$131*(1-'Loads'!$B253),3)</f>
        <v>0</v>
      </c>
      <c r="E285" s="47">
        <f>ROUND(E$131*(1-'Loads'!$C253),2)</f>
        <v>0</v>
      </c>
      <c r="F285" s="47">
        <f>ROUND(F$131*(1-'Loads'!$B253),2)</f>
        <v>0</v>
      </c>
      <c r="G285" s="38">
        <f>ROUND(G$131*(1-'Loads'!$B253),3)</f>
        <v>0</v>
      </c>
      <c r="H285" s="17"/>
    </row>
    <row r="286" spans="1:8">
      <c r="A286" s="4" t="s">
        <v>284</v>
      </c>
      <c r="B286" s="38">
        <f>ROUND(B$131*(1-'Loads'!$B254),3)</f>
        <v>0</v>
      </c>
      <c r="C286" s="38">
        <f>ROUND(C$131*(1-'Loads'!$B254),3)</f>
        <v>0</v>
      </c>
      <c r="D286" s="38">
        <f>ROUND(D$131*(1-'Loads'!$B254),3)</f>
        <v>0</v>
      </c>
      <c r="E286" s="47">
        <f>ROUND(E$131*(1-'Loads'!$C254),2)</f>
        <v>0</v>
      </c>
      <c r="F286" s="47">
        <f>ROUND(F$131*(1-'Loads'!$B254),2)</f>
        <v>0</v>
      </c>
      <c r="G286" s="38">
        <f>ROUND(G$131*(1-'Loads'!$B254),3)</f>
        <v>0</v>
      </c>
      <c r="H286" s="17"/>
    </row>
    <row r="287" spans="1:8">
      <c r="A287" s="29" t="s">
        <v>285</v>
      </c>
      <c r="H287" s="17"/>
    </row>
    <row r="288" spans="1:8">
      <c r="A288" s="4" t="s">
        <v>186</v>
      </c>
      <c r="B288" s="38">
        <f>ROUND(B$132*(1-'Loads'!$B256),3)</f>
        <v>0</v>
      </c>
      <c r="C288" s="38">
        <f>ROUND(C$132*(1-'Loads'!$B256),3)</f>
        <v>0</v>
      </c>
      <c r="D288" s="38">
        <f>ROUND(D$132*(1-'Loads'!$B256),3)</f>
        <v>0</v>
      </c>
      <c r="E288" s="47">
        <f>ROUND(E$132*(1-'Loads'!$C256),2)</f>
        <v>0</v>
      </c>
      <c r="F288" s="47">
        <f>ROUND(F$132*(1-'Loads'!$B256),2)</f>
        <v>0</v>
      </c>
      <c r="G288" s="38">
        <f>ROUND(G$132*(1-'Loads'!$B256),3)</f>
        <v>0</v>
      </c>
      <c r="H288" s="17"/>
    </row>
    <row r="289" spans="1:8">
      <c r="A289" s="4" t="s">
        <v>286</v>
      </c>
      <c r="B289" s="38">
        <f>ROUND(B$132*(1-'Loads'!$B257),3)</f>
        <v>0</v>
      </c>
      <c r="C289" s="38">
        <f>ROUND(C$132*(1-'Loads'!$B257),3)</f>
        <v>0</v>
      </c>
      <c r="D289" s="38">
        <f>ROUND(D$132*(1-'Loads'!$B257),3)</f>
        <v>0</v>
      </c>
      <c r="E289" s="47">
        <f>ROUND(E$132*(1-'Loads'!$C257),2)</f>
        <v>0</v>
      </c>
      <c r="F289" s="47">
        <f>ROUND(F$132*(1-'Loads'!$B257),2)</f>
        <v>0</v>
      </c>
      <c r="G289" s="38">
        <f>ROUND(G$132*(1-'Loads'!$B257),3)</f>
        <v>0</v>
      </c>
      <c r="H289" s="17"/>
    </row>
    <row r="290" spans="1:8">
      <c r="A290" s="29" t="s">
        <v>287</v>
      </c>
      <c r="H290" s="17"/>
    </row>
    <row r="291" spans="1:8">
      <c r="A291" s="4" t="s">
        <v>187</v>
      </c>
      <c r="B291" s="38">
        <f>ROUND(B$133*(1-'Loads'!$B259),3)</f>
        <v>0</v>
      </c>
      <c r="C291" s="38">
        <f>ROUND(C$133*(1-'Loads'!$B259),3)</f>
        <v>0</v>
      </c>
      <c r="D291" s="38">
        <f>ROUND(D$133*(1-'Loads'!$B259),3)</f>
        <v>0</v>
      </c>
      <c r="E291" s="47">
        <f>ROUND(E$133*(1-'Loads'!$C259),2)</f>
        <v>0</v>
      </c>
      <c r="F291" s="47">
        <f>ROUND(F$133*(1-'Loads'!$B259),2)</f>
        <v>0</v>
      </c>
      <c r="G291" s="38">
        <f>ROUND(G$133*(1-'Loads'!$B259),3)</f>
        <v>0</v>
      </c>
      <c r="H291" s="17"/>
    </row>
    <row r="292" spans="1:8">
      <c r="A292" s="4" t="s">
        <v>288</v>
      </c>
      <c r="B292" s="38">
        <f>ROUND(B$133*(1-'Loads'!$B260),3)</f>
        <v>0</v>
      </c>
      <c r="C292" s="38">
        <f>ROUND(C$133*(1-'Loads'!$B260),3)</f>
        <v>0</v>
      </c>
      <c r="D292" s="38">
        <f>ROUND(D$133*(1-'Loads'!$B260),3)</f>
        <v>0</v>
      </c>
      <c r="E292" s="47">
        <f>ROUND(E$133*(1-'Loads'!$C260),2)</f>
        <v>0</v>
      </c>
      <c r="F292" s="47">
        <f>ROUND(F$133*(1-'Loads'!$B260),2)</f>
        <v>0</v>
      </c>
      <c r="G292" s="38">
        <f>ROUND(G$133*(1-'Loads'!$B260),3)</f>
        <v>0</v>
      </c>
      <c r="H292" s="17"/>
    </row>
    <row r="293" spans="1:8">
      <c r="A293" s="29" t="s">
        <v>289</v>
      </c>
      <c r="H293" s="17"/>
    </row>
    <row r="294" spans="1:8">
      <c r="A294" s="4" t="s">
        <v>194</v>
      </c>
      <c r="B294" s="38">
        <f>ROUND(B$134*(1-'Loads'!$B262),3)</f>
        <v>0</v>
      </c>
      <c r="C294" s="38">
        <f>ROUND(C$134*(1-'Loads'!$B262),3)</f>
        <v>0</v>
      </c>
      <c r="D294" s="38">
        <f>ROUND(D$134*(1-'Loads'!$B262),3)</f>
        <v>0</v>
      </c>
      <c r="E294" s="47">
        <f>ROUND(E$134*(1-'Loads'!$C262),2)</f>
        <v>0</v>
      </c>
      <c r="F294" s="47">
        <f>ROUND(F$134*(1-'Loads'!$B262),2)</f>
        <v>0</v>
      </c>
      <c r="G294" s="38">
        <f>ROUND(G$134*(1-'Loads'!$B262),3)</f>
        <v>0</v>
      </c>
      <c r="H294" s="17"/>
    </row>
    <row r="295" spans="1:8">
      <c r="A295" s="4" t="s">
        <v>290</v>
      </c>
      <c r="B295" s="38">
        <f>ROUND(B$134*(1-'Loads'!$B263),3)</f>
        <v>0</v>
      </c>
      <c r="C295" s="38">
        <f>ROUND(C$134*(1-'Loads'!$B263),3)</f>
        <v>0</v>
      </c>
      <c r="D295" s="38">
        <f>ROUND(D$134*(1-'Loads'!$B263),3)</f>
        <v>0</v>
      </c>
      <c r="E295" s="47">
        <f>ROUND(E$134*(1-'Loads'!$C263),2)</f>
        <v>0</v>
      </c>
      <c r="F295" s="47">
        <f>ROUND(F$134*(1-'Loads'!$B263),2)</f>
        <v>0</v>
      </c>
      <c r="G295" s="38">
        <f>ROUND(G$134*(1-'Loads'!$B263),3)</f>
        <v>0</v>
      </c>
      <c r="H295" s="17"/>
    </row>
    <row r="296" spans="1:8">
      <c r="A296" s="29" t="s">
        <v>291</v>
      </c>
      <c r="H296" s="17"/>
    </row>
    <row r="297" spans="1:8">
      <c r="A297" s="4" t="s">
        <v>195</v>
      </c>
      <c r="B297" s="38">
        <f>ROUND(B$135*(1-'Loads'!$B265),3)</f>
        <v>0</v>
      </c>
      <c r="C297" s="38">
        <f>ROUND(C$135*(1-'Loads'!$B265),3)</f>
        <v>0</v>
      </c>
      <c r="D297" s="38">
        <f>ROUND(D$135*(1-'Loads'!$B265),3)</f>
        <v>0</v>
      </c>
      <c r="E297" s="47">
        <f>ROUND(E$135*(1-'Loads'!$C265),2)</f>
        <v>0</v>
      </c>
      <c r="F297" s="47">
        <f>ROUND(F$135*(1-'Loads'!$B265),2)</f>
        <v>0</v>
      </c>
      <c r="G297" s="38">
        <f>ROUND(G$135*(1-'Loads'!$B265),3)</f>
        <v>0</v>
      </c>
      <c r="H297" s="17"/>
    </row>
    <row r="298" spans="1:8">
      <c r="A298" s="4" t="s">
        <v>292</v>
      </c>
      <c r="B298" s="38">
        <f>ROUND(B$135*(1-'Loads'!$B266),3)</f>
        <v>0</v>
      </c>
      <c r="C298" s="38">
        <f>ROUND(C$135*(1-'Loads'!$B266),3)</f>
        <v>0</v>
      </c>
      <c r="D298" s="38">
        <f>ROUND(D$135*(1-'Loads'!$B266),3)</f>
        <v>0</v>
      </c>
      <c r="E298" s="47">
        <f>ROUND(E$135*(1-'Loads'!$C266),2)</f>
        <v>0</v>
      </c>
      <c r="F298" s="47">
        <f>ROUND(F$135*(1-'Loads'!$B266),2)</f>
        <v>0</v>
      </c>
      <c r="G298" s="38">
        <f>ROUND(G$135*(1-'Loads'!$B266),3)</f>
        <v>0</v>
      </c>
      <c r="H298" s="17"/>
    </row>
  </sheetData>
  <sheetProtection sheet="1" objects="1" scenarios="1"/>
  <hyperlinks>
    <hyperlink ref="A5" location="'Aggreg'!B219" display="x1 = 3307. Unit rate 1 p/kWh (total) (in Summary of charges before revenue matching)"/>
    <hyperlink ref="A6" location="'Scaler'!B388" display="x2 = 3510. Unit rate 1 p/kWh scaler (in Scaler)"/>
    <hyperlink ref="A7" location="'Aggreg'!C219" display="x3 = 3307. Unit rate 2 p/kWh (total) (in Summary of charges before revenue matching)"/>
    <hyperlink ref="A8" location="'Scaler'!C388" display="x4 = 3510. Unit rate 2 p/kWh scaler (in Scaler)"/>
    <hyperlink ref="A9" location="'Aggreg'!D219" display="x5 = 3307. Unit rate 3 p/kWh (total) (in Summary of charges before revenue matching)"/>
    <hyperlink ref="A10" location="'Scaler'!D388" display="x6 = 3510. Unit rate 3 p/kWh scaler (in Scaler)"/>
    <hyperlink ref="A11" location="'Aggreg'!E219" display="x7 = 3307. Fixed charge p/MPAN/day (total) (in Summary of charges before revenue matching)"/>
    <hyperlink ref="A12" location="'Scaler'!E388" display="x8 = 3510. Fixed charge p/MPAN/day scaler (in Scaler)"/>
    <hyperlink ref="A13" location="'Aggreg'!F219" display="x9 = 3307. Capacity charge p/kVA/day (total) (in Summary of charges before revenue matching)"/>
    <hyperlink ref="A14" location="'Scaler'!F388" display="x10 = 3510. Capacity charge p/kVA/day scaler (in Scaler)"/>
    <hyperlink ref="A15" location="'Aggreg'!G219" display="x11 = 3307. Reactive power charge p/kVArh (in Summary of charges before revenue matching)"/>
    <hyperlink ref="A16" location="'Scaler'!G388" display="x12 = 3510. Reactive power charge p/kVArh scaler (in Scaler)"/>
    <hyperlink ref="A53" location="'Adjust'!B20" display="x1 = 3601. Unit rate 1 p/kWh before rounding (in Tariffs before rounding)"/>
    <hyperlink ref="A54" location="'Adjust'!B48" display="x2 = 3602. Unit rate 1 p/kWh decimal places (in Decimal places)"/>
    <hyperlink ref="A55" location="'Adjust'!C20" display="x3 = 3601. Unit rate 2 p/kWh before rounding (in Tariffs before rounding)"/>
    <hyperlink ref="A56" location="'Adjust'!C48" display="x4 = 3602. Unit rate 2 p/kWh decimal places (in Decimal places)"/>
    <hyperlink ref="A57" location="'Adjust'!D20" display="x5 = 3601. Unit rate 3 p/kWh before rounding (in Tariffs before rounding)"/>
    <hyperlink ref="A58" location="'Adjust'!D48" display="x6 = 3602. Unit rate 3 p/kWh decimal places (in Decimal places)"/>
    <hyperlink ref="A59" location="'Adjust'!E20" display="x7 = 3601. Fixed charge p/MPAN/day before rounding (in Tariffs before rounding)"/>
    <hyperlink ref="A60" location="'Adjust'!E48" display="x8 = 3602. Fixed charge p/MPAN/day decimal places (in Decimal places)"/>
    <hyperlink ref="A61" location="'Adjust'!F20" display="x9 = 3601. Capacity charge p/kVA/day before rounding (in Tariffs before rounding)"/>
    <hyperlink ref="A62" location="'Adjust'!F48" display="x10 = 3602. Capacity charge p/kVA/day decimal places (in Decimal places)"/>
    <hyperlink ref="A63" location="'Adjust'!G20" display="x11 = 3601. Reactive power charge p/kVArh before rounding (in Tariffs before rounding)"/>
    <hyperlink ref="A64" location="'Adjust'!G48" display="x12 = 3602. Reactive power charge p/kVArh decimal places (in Decimal places)"/>
    <hyperlink ref="A96" location="'Adjust'!B20" display="x1 = 3601. Unit rate 1 p/kWh before rounding (in Tariffs before rounding)"/>
    <hyperlink ref="A97" location="'Adjust'!B68" display="x2 = 3603. Unit rate 1 p/kWh rounding (in Tariff rounding)"/>
    <hyperlink ref="A98" location="'Adjust'!C20" display="x3 = 3601. Unit rate 2 p/kWh before rounding (in Tariffs before rounding)"/>
    <hyperlink ref="A99" location="'Adjust'!C68" display="x4 = 3603. Unit rate 2 p/kWh rounding (in Tariff rounding)"/>
    <hyperlink ref="A100" location="'Adjust'!D20" display="x5 = 3601. Unit rate 3 p/kWh before rounding (in Tariffs before rounding)"/>
    <hyperlink ref="A101" location="'Adjust'!D68" display="x6 = 3603. Unit rate 3 p/kWh rounding (in Tariff rounding)"/>
    <hyperlink ref="A102" location="'Adjust'!E20" display="x7 = 3601. Fixed charge p/MPAN/day before rounding (in Tariffs before rounding)"/>
    <hyperlink ref="A103" location="'Adjust'!E68" display="x8 = 3603. Fixed charge p/MPAN/day rounding (in Tariff rounding)"/>
    <hyperlink ref="A104" location="'Adjust'!F20" display="x9 = 3601. Capacity charge p/kVA/day before rounding (in Tariffs before rounding)"/>
    <hyperlink ref="A105" location="'Adjust'!F68" display="x10 = 3603. Capacity charge p/kVA/day rounding (in Tariff rounding)"/>
    <hyperlink ref="A106" location="'Adjust'!G20" display="x11 = 3601. Reactive power charge p/kVArh before rounding (in Tariffs before rounding)"/>
    <hyperlink ref="A107" location="'Adjust'!G68" display="x12 = 3603. Reactive power charge p/kVArh rounding (in Tariff rounding)"/>
    <hyperlink ref="A139" location="'Input'!F57" display="x1 = 1010. Days in the charging year (in Financial and general assumptions)"/>
    <hyperlink ref="A140" location="'Adjust'!E68" display="x2 = 3603. Fixed charge p/MPAN/day rounding (in Tariff rounding)"/>
    <hyperlink ref="A141" location="'Loads'!E279" display="x3 = 2305. MPANs (in Equivalent volume for each end user)"/>
    <hyperlink ref="A142" location="'Adjust'!F68" display="x4 = 3603. Capacity charge p/kVA/day rounding (in Tariff rounding)"/>
    <hyperlink ref="A143" location="'Loads'!F279" display="x5 = 2305. Import capacity (kVA) (in Equivalent volume for each end user)"/>
    <hyperlink ref="A144" location="'Adjust'!B68" display="x6 = 3603. Unit rate 1 p/kWh rounding (in Tariff rounding)"/>
    <hyperlink ref="A145" location="'Loads'!B279" display="x7 = 2305. Rate 1 units (MWh) (in Equivalent volume for each end user)"/>
    <hyperlink ref="A146" location="'Adjust'!C68" display="x8 = 3603. Unit rate 2 p/kWh rounding (in Tariff rounding)"/>
    <hyperlink ref="A147" location="'Loads'!C279" display="x9 = 2305. Rate 2 units (MWh) (in Equivalent volume for each end user)"/>
    <hyperlink ref="A148" location="'Adjust'!D68" display="x10 = 3603. Unit rate 3 p/kWh rounding (in Tariff rounding)"/>
    <hyperlink ref="A149" location="'Loads'!D279" display="x11 = 2305. Rate 3 units (MWh) (in Equivalent volume for each end user)"/>
    <hyperlink ref="A150" location="'Adjust'!G68" display="x12 = 3603. Reactive power charge p/kVArh rounding (in Tariff rounding)"/>
    <hyperlink ref="A151" location="'Loads'!G279" display="x13 = 2305. Reactive power units (MVArh) (in Equivalent volume for each end user)"/>
    <hyperlink ref="A182" location="'Revenue'!B65" display="x1 = 3403. Total net revenues before matching (£) (in Revenue surplus or shortfall)"/>
    <hyperlink ref="A183" location="'Scaler'!H388" display="x2 = 3510. Net revenues by tariff from scaler (in Scaler)"/>
    <hyperlink ref="A184" location="'Adjust'!B154" display="x3 = 3605. Net revenues by tariff from rounding"/>
    <hyperlink ref="A185" location="'Adjust'!B193" display="x4 = Total net revenues before matching (£) (in Revenue forecast summary)"/>
    <hyperlink ref="A186" location="'Adjust'!C193" display="x5 = Total net revenues from scaler (£) (in Revenue forecast summary)"/>
    <hyperlink ref="A187" location="'Adjust'!D193" display="x6 = Total net revenues from rounding (£) (in Revenue forecast summary)"/>
    <hyperlink ref="A188" location="'Adjust'!E193" display="x7 = Total net revenues (£) (in Revenue forecast summary)"/>
    <hyperlink ref="A189" location="'Revenue'!B54" display="x8 = 3402. Target CDCM revenue (£/year) (in Target CDCM revenue)"/>
    <hyperlink ref="A198" location="'Adjust'!B111" display="x1 = 3604. Unit rate 1 p/kWh (in All the way tariffs)"/>
    <hyperlink ref="A199" location="'Loads'!B177" display="x2 = 2304. Discount for each tariff (except for fixed charges) (in LDNO discounts and volumes adjusted for discount)"/>
    <hyperlink ref="A200" location="'Adjust'!C111" display="x3 = 3604. Unit rate 2 p/kWh (in All the way tariffs)"/>
    <hyperlink ref="A201" location="'Adjust'!D111" display="x4 = 3604. Unit rate 3 p/kWh (in All the way tariffs)"/>
    <hyperlink ref="A202" location="'Adjust'!E111" display="x5 = 3604. Fixed charge p/MPAN/day (in All the way tariffs)"/>
    <hyperlink ref="A203" location="'Loads'!C177" display="x6 = 2304. Discount for each tariff for fixed charges only (in LDNO discounts and volumes adjusted for discount)"/>
    <hyperlink ref="A204" location="'Adjust'!F111" display="x7 = 3604. Capacity charge p/kVA/day (in All the way tariffs)"/>
    <hyperlink ref="A205" location="'Adjust'!G111" display="x8 = 3604. Reactive power charge p/kVArh (in All the way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64.7109375" customWidth="1"/>
    <col min="2" max="251" width="24.7109375" customWidth="1"/>
  </cols>
  <sheetData>
    <row r="1" spans="1:7" ht="21" customHeight="1">
      <c r="A1" s="1">
        <f>"Input data for "&amp;'Input'!B7&amp;" in "&amp;'Input'!C7&amp;" ("&amp;'Input'!D7&amp;")"</f>
        <v>0</v>
      </c>
    </row>
    <row r="2" spans="1:7">
      <c r="A2" s="2" t="s">
        <v>347</v>
      </c>
    </row>
    <row r="4" spans="1:7" ht="21" customHeight="1">
      <c r="A4" s="1" t="s">
        <v>0</v>
      </c>
    </row>
    <row r="6" spans="1:7">
      <c r="B6" s="15" t="s">
        <v>1</v>
      </c>
      <c r="C6" s="15" t="s">
        <v>2</v>
      </c>
      <c r="D6" s="15" t="s">
        <v>3</v>
      </c>
    </row>
    <row r="7" spans="1:7">
      <c r="A7" s="4" t="s">
        <v>4</v>
      </c>
      <c r="B7" s="16" t="s">
        <v>5</v>
      </c>
      <c r="C7" s="16" t="s">
        <v>6</v>
      </c>
      <c r="D7" s="16" t="s">
        <v>7</v>
      </c>
      <c r="E7" s="17"/>
    </row>
    <row r="9" spans="1:7" ht="21" customHeight="1">
      <c r="A9" s="1" t="s">
        <v>8</v>
      </c>
    </row>
    <row r="11" spans="1:7">
      <c r="B11" s="15" t="s">
        <v>9</v>
      </c>
      <c r="C11" s="15" t="s">
        <v>10</v>
      </c>
      <c r="D11" s="15" t="s">
        <v>11</v>
      </c>
      <c r="E11" s="15" t="s">
        <v>12</v>
      </c>
      <c r="F11" s="15" t="s">
        <v>13</v>
      </c>
    </row>
    <row r="12" spans="1:7">
      <c r="A12" s="4" t="s">
        <v>14</v>
      </c>
      <c r="B12" s="18" t="s">
        <v>53</v>
      </c>
      <c r="C12" s="19" t="s">
        <v>87</v>
      </c>
      <c r="D12" s="19" t="s">
        <v>115</v>
      </c>
      <c r="E12" s="20">
        <f>#VALUE!</f>
        <v>0</v>
      </c>
      <c r="F12" s="21">
        <f>E12</f>
        <v>0</v>
      </c>
      <c r="G12" s="17"/>
    </row>
    <row r="13" spans="1:7">
      <c r="A13" s="4" t="s">
        <v>15</v>
      </c>
      <c r="B13" s="18" t="s">
        <v>54</v>
      </c>
      <c r="C13" s="19" t="s">
        <v>88</v>
      </c>
      <c r="D13" s="19" t="s">
        <v>115</v>
      </c>
      <c r="E13" s="22">
        <f>#VALUE!</f>
        <v>0</v>
      </c>
      <c r="F13" s="21">
        <f>E12*(E13-1)</f>
        <v>0</v>
      </c>
      <c r="G13" s="17"/>
    </row>
    <row r="14" spans="1:7">
      <c r="A14" s="4" t="s">
        <v>16</v>
      </c>
      <c r="B14" s="18" t="s">
        <v>55</v>
      </c>
      <c r="C14" s="19" t="s">
        <v>89</v>
      </c>
      <c r="D14" s="19" t="s">
        <v>115</v>
      </c>
      <c r="E14" s="20">
        <f>#VALUE!</f>
        <v>0</v>
      </c>
      <c r="F14" s="21">
        <f>0-E14</f>
        <v>0</v>
      </c>
      <c r="G14" s="17"/>
    </row>
    <row r="15" spans="1:7">
      <c r="A15" s="4" t="s">
        <v>17</v>
      </c>
      <c r="B15" s="23" t="s">
        <v>56</v>
      </c>
      <c r="C15" s="24" t="s">
        <v>90</v>
      </c>
      <c r="D15" s="24" t="s">
        <v>115</v>
      </c>
      <c r="E15" s="25"/>
      <c r="F15" s="26">
        <f>F12+F13+F14</f>
        <v>0</v>
      </c>
      <c r="G15" s="17"/>
    </row>
    <row r="16" spans="1:7">
      <c r="A16" s="4" t="s">
        <v>18</v>
      </c>
      <c r="B16" s="18" t="s">
        <v>57</v>
      </c>
      <c r="C16" s="19" t="s">
        <v>91</v>
      </c>
      <c r="D16" s="19" t="s">
        <v>116</v>
      </c>
      <c r="E16" s="20">
        <f>#VALUE!</f>
        <v>0</v>
      </c>
      <c r="F16" s="21">
        <f>E16</f>
        <v>0</v>
      </c>
      <c r="G16" s="17"/>
    </row>
    <row r="17" spans="1:7">
      <c r="A17" s="4" t="s">
        <v>19</v>
      </c>
      <c r="B17" s="18" t="s">
        <v>58</v>
      </c>
      <c r="C17" s="19" t="s">
        <v>92</v>
      </c>
      <c r="D17" s="19" t="s">
        <v>116</v>
      </c>
      <c r="E17" s="20">
        <f>#VALUE!</f>
        <v>0</v>
      </c>
      <c r="F17" s="21">
        <f>E17</f>
        <v>0</v>
      </c>
      <c r="G17" s="17"/>
    </row>
    <row r="18" spans="1:7">
      <c r="A18" s="4" t="s">
        <v>20</v>
      </c>
      <c r="B18" s="18" t="s">
        <v>59</v>
      </c>
      <c r="C18" s="19" t="s">
        <v>93</v>
      </c>
      <c r="D18" s="19" t="s">
        <v>116</v>
      </c>
      <c r="E18" s="20">
        <f>#VALUE!</f>
        <v>0</v>
      </c>
      <c r="F18" s="21">
        <f>E18</f>
        <v>0</v>
      </c>
      <c r="G18" s="17"/>
    </row>
    <row r="19" spans="1:7">
      <c r="A19" s="4" t="s">
        <v>21</v>
      </c>
      <c r="B19" s="18" t="s">
        <v>60</v>
      </c>
      <c r="C19" s="19" t="s">
        <v>94</v>
      </c>
      <c r="D19" s="19" t="s">
        <v>116</v>
      </c>
      <c r="E19" s="20">
        <f>#VALUE!</f>
        <v>0</v>
      </c>
      <c r="F19" s="21">
        <f>E19</f>
        <v>0</v>
      </c>
      <c r="G19" s="17"/>
    </row>
    <row r="20" spans="1:7">
      <c r="A20" s="4" t="s">
        <v>22</v>
      </c>
      <c r="B20" s="18" t="s">
        <v>61</v>
      </c>
      <c r="C20" s="19" t="s">
        <v>95</v>
      </c>
      <c r="D20" s="19" t="s">
        <v>116</v>
      </c>
      <c r="E20" s="20">
        <f>#VALUE!</f>
        <v>0</v>
      </c>
      <c r="F20" s="21">
        <f>E20</f>
        <v>0</v>
      </c>
      <c r="G20" s="17"/>
    </row>
    <row r="21" spans="1:7">
      <c r="A21" s="4" t="s">
        <v>23</v>
      </c>
      <c r="B21" s="23" t="s">
        <v>62</v>
      </c>
      <c r="C21" s="24" t="s">
        <v>96</v>
      </c>
      <c r="D21" s="24" t="s">
        <v>115</v>
      </c>
      <c r="E21" s="25"/>
      <c r="F21" s="26">
        <f>F16+F17+F18+F19+F20</f>
        <v>0</v>
      </c>
      <c r="G21" s="17"/>
    </row>
    <row r="22" spans="1:7">
      <c r="A22" s="4" t="s">
        <v>24</v>
      </c>
      <c r="B22" s="18" t="s">
        <v>63</v>
      </c>
      <c r="C22" s="19" t="s">
        <v>97</v>
      </c>
      <c r="D22" s="19" t="s">
        <v>117</v>
      </c>
      <c r="E22" s="20">
        <f>#VALUE!</f>
        <v>0</v>
      </c>
      <c r="F22" s="21">
        <f>E22</f>
        <v>0</v>
      </c>
      <c r="G22" s="17"/>
    </row>
    <row r="23" spans="1:7">
      <c r="A23" s="4" t="s">
        <v>25</v>
      </c>
      <c r="B23" s="18" t="s">
        <v>63</v>
      </c>
      <c r="C23" s="19" t="s">
        <v>98</v>
      </c>
      <c r="D23" s="19" t="s">
        <v>117</v>
      </c>
      <c r="E23" s="20">
        <f>#VALUE!</f>
        <v>0</v>
      </c>
      <c r="F23" s="21">
        <f>E23</f>
        <v>0</v>
      </c>
      <c r="G23" s="17"/>
    </row>
    <row r="24" spans="1:7">
      <c r="A24" s="4" t="s">
        <v>26</v>
      </c>
      <c r="B24" s="18" t="s">
        <v>63</v>
      </c>
      <c r="C24" s="19" t="s">
        <v>99</v>
      </c>
      <c r="D24" s="19" t="s">
        <v>117</v>
      </c>
      <c r="E24" s="20">
        <f>#VALUE!</f>
        <v>0</v>
      </c>
      <c r="F24" s="21">
        <f>E24</f>
        <v>0</v>
      </c>
      <c r="G24" s="17"/>
    </row>
    <row r="25" spans="1:7">
      <c r="A25" s="4" t="s">
        <v>27</v>
      </c>
      <c r="B25" s="18" t="s">
        <v>63</v>
      </c>
      <c r="C25" s="19" t="s">
        <v>100</v>
      </c>
      <c r="D25" s="19" t="s">
        <v>117</v>
      </c>
      <c r="E25" s="20">
        <f>#VALUE!</f>
        <v>0</v>
      </c>
      <c r="F25" s="21">
        <f>E25</f>
        <v>0</v>
      </c>
      <c r="G25" s="17"/>
    </row>
    <row r="26" spans="1:7">
      <c r="A26" s="4" t="s">
        <v>28</v>
      </c>
      <c r="B26" s="18" t="s">
        <v>64</v>
      </c>
      <c r="C26" s="19" t="s">
        <v>101</v>
      </c>
      <c r="D26" s="19" t="s">
        <v>118</v>
      </c>
      <c r="E26" s="20">
        <f>#VALUE!</f>
        <v>0</v>
      </c>
      <c r="F26" s="21">
        <f>E26</f>
        <v>0</v>
      </c>
      <c r="G26" s="17"/>
    </row>
    <row r="27" spans="1:7">
      <c r="A27" s="4" t="s">
        <v>29</v>
      </c>
      <c r="B27" s="18" t="s">
        <v>65</v>
      </c>
      <c r="C27" s="19" t="s">
        <v>102</v>
      </c>
      <c r="D27" s="19" t="s">
        <v>119</v>
      </c>
      <c r="E27" s="20">
        <f>#VALUE!</f>
        <v>0</v>
      </c>
      <c r="F27" s="21">
        <f>E27</f>
        <v>0</v>
      </c>
      <c r="G27" s="17"/>
    </row>
    <row r="28" spans="1:7">
      <c r="A28" s="4" t="s">
        <v>30</v>
      </c>
      <c r="B28" s="18" t="s">
        <v>66</v>
      </c>
      <c r="C28" s="19" t="s">
        <v>103</v>
      </c>
      <c r="D28" s="19" t="s">
        <v>120</v>
      </c>
      <c r="E28" s="20">
        <f>#VALUE!</f>
        <v>0</v>
      </c>
      <c r="F28" s="21">
        <f>E28</f>
        <v>0</v>
      </c>
      <c r="G28" s="17"/>
    </row>
    <row r="29" spans="1:7">
      <c r="A29" s="4" t="s">
        <v>31</v>
      </c>
      <c r="B29" s="18" t="s">
        <v>67</v>
      </c>
      <c r="C29" s="19" t="s">
        <v>104</v>
      </c>
      <c r="D29" s="19" t="s">
        <v>121</v>
      </c>
      <c r="E29" s="20">
        <f>#VALUE!</f>
        <v>0</v>
      </c>
      <c r="F29" s="21">
        <f>E29</f>
        <v>0</v>
      </c>
      <c r="G29" s="17"/>
    </row>
    <row r="30" spans="1:7">
      <c r="A30" s="4" t="s">
        <v>32</v>
      </c>
      <c r="B30" s="18" t="s">
        <v>68</v>
      </c>
      <c r="C30" s="19" t="s">
        <v>105</v>
      </c>
      <c r="D30" s="19" t="s">
        <v>122</v>
      </c>
      <c r="E30" s="20">
        <f>#VALUE!</f>
        <v>0</v>
      </c>
      <c r="F30" s="21">
        <f>E30</f>
        <v>0</v>
      </c>
      <c r="G30" s="17"/>
    </row>
    <row r="31" spans="1:7">
      <c r="A31" s="4" t="s">
        <v>33</v>
      </c>
      <c r="B31" s="18" t="s">
        <v>69</v>
      </c>
      <c r="C31" s="19" t="s">
        <v>106</v>
      </c>
      <c r="D31" s="19" t="s">
        <v>123</v>
      </c>
      <c r="E31" s="20">
        <f>#VALUE!</f>
        <v>0</v>
      </c>
      <c r="F31" s="21">
        <f>E31</f>
        <v>0</v>
      </c>
      <c r="G31" s="17"/>
    </row>
    <row r="32" spans="1:7">
      <c r="A32" s="4" t="s">
        <v>34</v>
      </c>
      <c r="B32" s="18" t="s">
        <v>69</v>
      </c>
      <c r="C32" s="19" t="s">
        <v>107</v>
      </c>
      <c r="D32" s="19" t="s">
        <v>123</v>
      </c>
      <c r="E32" s="20">
        <f>#VALUE!</f>
        <v>0</v>
      </c>
      <c r="F32" s="21">
        <f>E32</f>
        <v>0</v>
      </c>
      <c r="G32" s="17"/>
    </row>
    <row r="33" spans="1:7">
      <c r="A33" s="4" t="s">
        <v>35</v>
      </c>
      <c r="B33" s="18" t="s">
        <v>69</v>
      </c>
      <c r="C33" s="19" t="s">
        <v>108</v>
      </c>
      <c r="D33" s="19" t="s">
        <v>123</v>
      </c>
      <c r="E33" s="20">
        <f>#VALUE!</f>
        <v>0</v>
      </c>
      <c r="F33" s="21">
        <f>E33</f>
        <v>0</v>
      </c>
      <c r="G33" s="17"/>
    </row>
    <row r="34" spans="1:7">
      <c r="A34" s="4" t="s">
        <v>36</v>
      </c>
      <c r="B34" s="23" t="s">
        <v>70</v>
      </c>
      <c r="C34" s="24"/>
      <c r="D34" s="24"/>
      <c r="E34" s="25"/>
      <c r="F34" s="26">
        <f>F22+F23+F24+F25+F26+F27+F28+F29+F30+F31+F32+F33</f>
        <v>0</v>
      </c>
      <c r="G34" s="17"/>
    </row>
    <row r="35" spans="1:7">
      <c r="A35" s="4" t="s">
        <v>37</v>
      </c>
      <c r="B35" s="18" t="s">
        <v>71</v>
      </c>
      <c r="C35" s="19" t="s">
        <v>109</v>
      </c>
      <c r="D35" s="19" t="s">
        <v>115</v>
      </c>
      <c r="E35" s="20">
        <f>#VALUE!</f>
        <v>0</v>
      </c>
      <c r="F35" s="21">
        <f>E35</f>
        <v>0</v>
      </c>
      <c r="G35" s="17"/>
    </row>
    <row r="36" spans="1:7">
      <c r="A36" s="4" t="s">
        <v>38</v>
      </c>
      <c r="B36" s="18" t="s">
        <v>72</v>
      </c>
      <c r="C36" s="19" t="s">
        <v>110</v>
      </c>
      <c r="D36" s="19" t="s">
        <v>115</v>
      </c>
      <c r="E36" s="20">
        <f>#VALUE!</f>
        <v>0</v>
      </c>
      <c r="F36" s="21">
        <f>E36</f>
        <v>0</v>
      </c>
      <c r="G36" s="17"/>
    </row>
    <row r="37" spans="1:7">
      <c r="A37" s="4" t="s">
        <v>39</v>
      </c>
      <c r="B37" s="23" t="s">
        <v>73</v>
      </c>
      <c r="C37" s="24" t="s">
        <v>111</v>
      </c>
      <c r="D37" s="24"/>
      <c r="E37" s="25"/>
      <c r="F37" s="26">
        <f>F12+F13+F14+F16+F17+F18+F19+F20+F22+F23+F24+F25+F26+F27+F28+F29+F30+F31+F32+F33+F35+F36</f>
        <v>0</v>
      </c>
      <c r="G37" s="17"/>
    </row>
    <row r="38" spans="1:7">
      <c r="A38" s="4" t="s">
        <v>40</v>
      </c>
      <c r="B38" s="18" t="s">
        <v>74</v>
      </c>
      <c r="C38" s="19" t="s">
        <v>112</v>
      </c>
      <c r="D38" s="19" t="s">
        <v>124</v>
      </c>
      <c r="E38" s="20">
        <f>#VALUE!</f>
        <v>0</v>
      </c>
      <c r="F38" s="21">
        <f>E38</f>
        <v>0</v>
      </c>
      <c r="G38" s="17"/>
    </row>
    <row r="39" spans="1:7">
      <c r="A39" s="4" t="s">
        <v>41</v>
      </c>
      <c r="B39" s="18" t="s">
        <v>75</v>
      </c>
      <c r="C39" s="19" t="s">
        <v>113</v>
      </c>
      <c r="D39" s="19" t="s">
        <v>124</v>
      </c>
      <c r="E39" s="20">
        <f>#VALUE!</f>
        <v>0</v>
      </c>
      <c r="F39" s="21">
        <f>E39</f>
        <v>0</v>
      </c>
      <c r="G39" s="17"/>
    </row>
    <row r="40" spans="1:7">
      <c r="A40" s="4" t="s">
        <v>42</v>
      </c>
      <c r="B40" s="18" t="s">
        <v>76</v>
      </c>
      <c r="C40" s="19" t="s">
        <v>114</v>
      </c>
      <c r="D40" s="19" t="s">
        <v>124</v>
      </c>
      <c r="E40" s="20">
        <f>#VALUE!</f>
        <v>0</v>
      </c>
      <c r="F40" s="21">
        <f>E40</f>
        <v>0</v>
      </c>
      <c r="G40" s="17"/>
    </row>
    <row r="41" spans="1:7">
      <c r="A41" s="4" t="s">
        <v>43</v>
      </c>
      <c r="B41" s="18" t="s">
        <v>77</v>
      </c>
      <c r="C41" s="19"/>
      <c r="D41" s="19"/>
      <c r="E41" s="20">
        <f>#VALUE!</f>
        <v>0</v>
      </c>
      <c r="F41" s="21">
        <f>E41</f>
        <v>0</v>
      </c>
      <c r="G41" s="17"/>
    </row>
    <row r="42" spans="1:7">
      <c r="A42" s="4" t="s">
        <v>44</v>
      </c>
      <c r="B42" s="18" t="s">
        <v>78</v>
      </c>
      <c r="C42" s="19"/>
      <c r="D42" s="19"/>
      <c r="E42" s="20">
        <f>#VALUE!</f>
        <v>0</v>
      </c>
      <c r="F42" s="21">
        <f>E42</f>
        <v>0</v>
      </c>
      <c r="G42" s="17"/>
    </row>
    <row r="43" spans="1:7">
      <c r="A43" s="4" t="s">
        <v>45</v>
      </c>
      <c r="B43" s="23" t="s">
        <v>79</v>
      </c>
      <c r="C43" s="24"/>
      <c r="D43" s="24"/>
      <c r="E43" s="25"/>
      <c r="F43" s="26">
        <f>F38+F39+F40+F41+F42</f>
        <v>0</v>
      </c>
      <c r="G43" s="17"/>
    </row>
    <row r="44" spans="1:7">
      <c r="A44" s="4" t="s">
        <v>46</v>
      </c>
      <c r="B44" s="23" t="s">
        <v>80</v>
      </c>
      <c r="C44" s="24"/>
      <c r="D44" s="24"/>
      <c r="E44" s="25"/>
      <c r="F44" s="26">
        <f>F12+F13+F14+F16+F17+F18+F19+F20+F22+F23+F24+F25+F26+F27+F28+F29+F30+F31+F32+F33+F35+F36+F38+F39+F40+F41+F42</f>
        <v>0</v>
      </c>
      <c r="G44" s="17"/>
    </row>
    <row r="45" spans="1:7">
      <c r="A45" s="4" t="s">
        <v>47</v>
      </c>
      <c r="B45" s="18" t="s">
        <v>81</v>
      </c>
      <c r="C45" s="19"/>
      <c r="D45" s="19"/>
      <c r="E45" s="20">
        <f>#VALUE!</f>
        <v>0</v>
      </c>
      <c r="F45" s="21">
        <f>0-E45</f>
        <v>0</v>
      </c>
      <c r="G45" s="17"/>
    </row>
    <row r="46" spans="1:7">
      <c r="A46" s="4" t="s">
        <v>48</v>
      </c>
      <c r="B46" s="18" t="s">
        <v>82</v>
      </c>
      <c r="C46" s="19"/>
      <c r="D46" s="19"/>
      <c r="E46" s="20">
        <f>#VALUE!</f>
        <v>0</v>
      </c>
      <c r="F46" s="21">
        <f>0-E46</f>
        <v>0</v>
      </c>
      <c r="G46" s="17"/>
    </row>
    <row r="47" spans="1:7">
      <c r="A47" s="4" t="s">
        <v>49</v>
      </c>
      <c r="B47" s="18" t="s">
        <v>83</v>
      </c>
      <c r="C47" s="19"/>
      <c r="D47" s="19"/>
      <c r="E47" s="20">
        <f>#VALUE!</f>
        <v>0</v>
      </c>
      <c r="F47" s="21">
        <f>0-E47</f>
        <v>0</v>
      </c>
      <c r="G47" s="17"/>
    </row>
    <row r="48" spans="1:7">
      <c r="A48" s="4" t="s">
        <v>50</v>
      </c>
      <c r="B48" s="18" t="s">
        <v>84</v>
      </c>
      <c r="C48" s="19"/>
      <c r="D48" s="19"/>
      <c r="E48" s="20">
        <f>#VALUE!</f>
        <v>0</v>
      </c>
      <c r="F48" s="21">
        <f>0-E48</f>
        <v>0</v>
      </c>
      <c r="G48" s="17"/>
    </row>
    <row r="49" spans="1:7">
      <c r="A49" s="4" t="s">
        <v>51</v>
      </c>
      <c r="B49" s="23" t="s">
        <v>85</v>
      </c>
      <c r="C49" s="24"/>
      <c r="D49" s="24"/>
      <c r="E49" s="25"/>
      <c r="F49" s="26">
        <f>F45+F46+F47+F48</f>
        <v>0</v>
      </c>
      <c r="G49" s="17"/>
    </row>
    <row r="50" spans="1:7">
      <c r="A50" s="4" t="s">
        <v>52</v>
      </c>
      <c r="B50" s="23" t="s">
        <v>86</v>
      </c>
      <c r="C50" s="24"/>
      <c r="D50" s="24"/>
      <c r="E50" s="25"/>
      <c r="F50" s="26">
        <f>F12+F13+F14+F16+F17+F18+F19+F20+F22+F23+F24+F25+F26+F27+F28+F29+F30+F31+F32+F33+F35+F36+F38+F39+F40+F41+F42+F45+F46+F47+F48</f>
        <v>0</v>
      </c>
      <c r="G50" s="17"/>
    </row>
    <row r="51" spans="1:7">
      <c r="A51" s="2" t="s">
        <v>125</v>
      </c>
    </row>
    <row r="53" spans="1:7" ht="21" customHeight="1">
      <c r="A53" s="1" t="s">
        <v>126</v>
      </c>
    </row>
    <row r="54" spans="1:7">
      <c r="A54" s="2" t="s">
        <v>127</v>
      </c>
    </row>
    <row r="55" spans="1:7">
      <c r="A55" s="2" t="s">
        <v>128</v>
      </c>
    </row>
    <row r="57" spans="1:7">
      <c r="B57" s="15" t="s">
        <v>129</v>
      </c>
      <c r="C57" s="15" t="s">
        <v>130</v>
      </c>
      <c r="D57" s="15" t="s">
        <v>131</v>
      </c>
      <c r="E57" s="15" t="s">
        <v>132</v>
      </c>
      <c r="F57" s="15" t="s">
        <v>133</v>
      </c>
    </row>
    <row r="58" spans="1:7">
      <c r="A58" s="4" t="s">
        <v>134</v>
      </c>
      <c r="B58" s="27">
        <f>#VALUE!</f>
        <v>0</v>
      </c>
      <c r="C58" s="20">
        <f>#VALUE!</f>
        <v>0</v>
      </c>
      <c r="D58" s="28">
        <v>0</v>
      </c>
      <c r="E58" s="22">
        <f>#VALUE!</f>
        <v>0</v>
      </c>
      <c r="F58" s="20">
        <f>#VALUE!</f>
        <v>0</v>
      </c>
      <c r="G58" s="17"/>
    </row>
    <row r="60" spans="1:7" ht="21" customHeight="1">
      <c r="A60" s="1" t="s">
        <v>135</v>
      </c>
    </row>
    <row r="61" spans="1:7">
      <c r="A61" s="2" t="s">
        <v>136</v>
      </c>
    </row>
    <row r="62" spans="1:7">
      <c r="A62" s="2" t="s">
        <v>137</v>
      </c>
    </row>
    <row r="63" spans="1:7">
      <c r="A63" s="2" t="s">
        <v>138</v>
      </c>
    </row>
    <row r="64" spans="1:7">
      <c r="A64" s="2" t="s">
        <v>139</v>
      </c>
    </row>
    <row r="65" spans="1:3">
      <c r="A65" s="2" t="s">
        <v>140</v>
      </c>
    </row>
    <row r="67" spans="1:3">
      <c r="B67" s="15" t="s">
        <v>141</v>
      </c>
    </row>
    <row r="68" spans="1:3">
      <c r="A68" s="4" t="s">
        <v>142</v>
      </c>
      <c r="B68" s="27">
        <f>#VALUE!</f>
        <v>0</v>
      </c>
      <c r="C68" s="17"/>
    </row>
    <row r="69" spans="1:3">
      <c r="A69" s="4" t="s">
        <v>143</v>
      </c>
      <c r="B69" s="27">
        <f>#VALUE!</f>
        <v>0</v>
      </c>
      <c r="C69" s="17"/>
    </row>
    <row r="70" spans="1:3">
      <c r="A70" s="4" t="s">
        <v>144</v>
      </c>
      <c r="B70" s="25"/>
      <c r="C70" s="17"/>
    </row>
    <row r="71" spans="1:3">
      <c r="A71" s="4" t="s">
        <v>145</v>
      </c>
      <c r="B71" s="27">
        <f>#VALUE!</f>
        <v>0</v>
      </c>
      <c r="C71" s="17"/>
    </row>
    <row r="72" spans="1:3">
      <c r="A72" s="4" t="s">
        <v>146</v>
      </c>
      <c r="B72" s="25"/>
      <c r="C72" s="17"/>
    </row>
    <row r="73" spans="1:3">
      <c r="A73" s="4" t="s">
        <v>147</v>
      </c>
      <c r="B73" s="27">
        <f>#VALUE!</f>
        <v>0</v>
      </c>
      <c r="C73" s="17"/>
    </row>
    <row r="74" spans="1:3">
      <c r="A74" s="4" t="s">
        <v>148</v>
      </c>
      <c r="B74" s="25"/>
      <c r="C74" s="17"/>
    </row>
    <row r="75" spans="1:3">
      <c r="A75" s="4" t="s">
        <v>149</v>
      </c>
      <c r="B75" s="25"/>
      <c r="C75" s="17"/>
    </row>
    <row r="77" spans="1:3" ht="21" customHeight="1">
      <c r="A77" s="1" t="s">
        <v>150</v>
      </c>
    </row>
    <row r="79" spans="1:3">
      <c r="B79" s="15" t="s">
        <v>151</v>
      </c>
    </row>
    <row r="80" spans="1:3">
      <c r="A80" s="4" t="s">
        <v>146</v>
      </c>
      <c r="B80" s="27">
        <f>#VALUE!</f>
        <v>0</v>
      </c>
      <c r="C80" s="17"/>
    </row>
    <row r="82" spans="1:3" ht="21" customHeight="1">
      <c r="A82" s="1" t="s">
        <v>152</v>
      </c>
    </row>
    <row r="84" spans="1:3">
      <c r="B84" s="15" t="s">
        <v>153</v>
      </c>
    </row>
    <row r="85" spans="1:3">
      <c r="A85" s="4" t="s">
        <v>153</v>
      </c>
      <c r="B85" s="20">
        <f>#VALUE!</f>
        <v>0</v>
      </c>
      <c r="C85" s="17"/>
    </row>
    <row r="87" spans="1:3" ht="21" customHeight="1">
      <c r="A87" s="1" t="s">
        <v>154</v>
      </c>
    </row>
    <row r="89" spans="1:3">
      <c r="B89" s="15" t="s">
        <v>155</v>
      </c>
    </row>
    <row r="90" spans="1:3">
      <c r="A90" s="4" t="s">
        <v>143</v>
      </c>
      <c r="B90" s="20">
        <f>#VALUE!</f>
        <v>0</v>
      </c>
      <c r="C90" s="17"/>
    </row>
    <row r="91" spans="1:3">
      <c r="A91" s="4" t="s">
        <v>144</v>
      </c>
      <c r="B91" s="20">
        <f>#VALUE!</f>
        <v>0</v>
      </c>
      <c r="C91" s="17"/>
    </row>
    <row r="92" spans="1:3">
      <c r="A92" s="4" t="s">
        <v>145</v>
      </c>
      <c r="B92" s="20">
        <f>#VALUE!</f>
        <v>0</v>
      </c>
      <c r="C92" s="17"/>
    </row>
    <row r="93" spans="1:3">
      <c r="A93" s="4" t="s">
        <v>146</v>
      </c>
      <c r="B93" s="20">
        <f>#VALUE!</f>
        <v>0</v>
      </c>
      <c r="C93" s="17"/>
    </row>
    <row r="94" spans="1:3">
      <c r="A94" s="4" t="s">
        <v>151</v>
      </c>
      <c r="B94" s="20">
        <f>#VALUE!</f>
        <v>0</v>
      </c>
      <c r="C94" s="17"/>
    </row>
    <row r="95" spans="1:3">
      <c r="A95" s="4" t="s">
        <v>147</v>
      </c>
      <c r="B95" s="20">
        <f>#VALUE!</f>
        <v>0</v>
      </c>
      <c r="C95" s="17"/>
    </row>
    <row r="96" spans="1:3">
      <c r="A96" s="4" t="s">
        <v>148</v>
      </c>
      <c r="B96" s="20">
        <f>#VALUE!</f>
        <v>0</v>
      </c>
      <c r="C96" s="17"/>
    </row>
    <row r="97" spans="1:10">
      <c r="A97" s="4" t="s">
        <v>149</v>
      </c>
      <c r="B97" s="20">
        <f>#VALUE!</f>
        <v>0</v>
      </c>
      <c r="C97" s="17"/>
    </row>
    <row r="99" spans="1:10" ht="21" customHeight="1">
      <c r="A99" s="1" t="s">
        <v>156</v>
      </c>
    </row>
    <row r="101" spans="1:10">
      <c r="B101" s="15" t="s">
        <v>157</v>
      </c>
      <c r="C101" s="15" t="s">
        <v>158</v>
      </c>
      <c r="D101" s="15" t="s">
        <v>159</v>
      </c>
      <c r="E101" s="15" t="s">
        <v>160</v>
      </c>
      <c r="F101" s="15" t="s">
        <v>161</v>
      </c>
      <c r="G101" s="15" t="s">
        <v>162</v>
      </c>
      <c r="H101" s="15" t="s">
        <v>163</v>
      </c>
      <c r="I101" s="15" t="s">
        <v>164</v>
      </c>
    </row>
    <row r="102" spans="1:10">
      <c r="A102" s="4" t="s">
        <v>165</v>
      </c>
      <c r="B102" s="20">
        <f>#VALUE!</f>
        <v>0</v>
      </c>
      <c r="C102" s="20">
        <f>#VALUE!</f>
        <v>0</v>
      </c>
      <c r="D102" s="20">
        <f>#VALUE!</f>
        <v>0</v>
      </c>
      <c r="E102" s="20">
        <f>#VALUE!</f>
        <v>0</v>
      </c>
      <c r="F102" s="20">
        <f>#VALUE!</f>
        <v>0</v>
      </c>
      <c r="G102" s="20">
        <f>#VALUE!</f>
        <v>0</v>
      </c>
      <c r="H102" s="20">
        <f>#VALUE!</f>
        <v>0</v>
      </c>
      <c r="I102" s="20">
        <f>#VALUE!</f>
        <v>0</v>
      </c>
      <c r="J102" s="17"/>
    </row>
    <row r="104" spans="1:10" ht="21" customHeight="1">
      <c r="A104" s="1" t="s">
        <v>166</v>
      </c>
    </row>
    <row r="106" spans="1:10">
      <c r="B106" s="15" t="s">
        <v>167</v>
      </c>
      <c r="C106" s="15" t="s">
        <v>168</v>
      </c>
      <c r="D106" s="15" t="s">
        <v>169</v>
      </c>
      <c r="E106" s="15" t="s">
        <v>170</v>
      </c>
      <c r="F106" s="15" t="s">
        <v>171</v>
      </c>
    </row>
    <row r="107" spans="1:10">
      <c r="A107" s="4" t="s">
        <v>172</v>
      </c>
      <c r="B107" s="20">
        <f>#VALUE!</f>
        <v>0</v>
      </c>
      <c r="C107" s="20">
        <f>#VALUE!</f>
        <v>0</v>
      </c>
      <c r="D107" s="20">
        <f>#VALUE!</f>
        <v>0</v>
      </c>
      <c r="E107" s="20">
        <f>#VALUE!</f>
        <v>0</v>
      </c>
      <c r="F107" s="20">
        <f>#VALUE!</f>
        <v>0</v>
      </c>
      <c r="G107" s="17"/>
    </row>
    <row r="109" spans="1:10" ht="21" customHeight="1">
      <c r="A109" s="1" t="s">
        <v>173</v>
      </c>
    </row>
    <row r="111" spans="1:10">
      <c r="B111" s="15" t="s">
        <v>157</v>
      </c>
      <c r="C111" s="15" t="s">
        <v>158</v>
      </c>
      <c r="D111" s="15" t="s">
        <v>159</v>
      </c>
      <c r="E111" s="15" t="s">
        <v>160</v>
      </c>
      <c r="F111" s="15" t="s">
        <v>161</v>
      </c>
      <c r="G111" s="15" t="s">
        <v>162</v>
      </c>
      <c r="H111" s="15" t="s">
        <v>163</v>
      </c>
      <c r="I111" s="15" t="s">
        <v>164</v>
      </c>
    </row>
    <row r="112" spans="1:10">
      <c r="A112" s="4" t="s">
        <v>174</v>
      </c>
      <c r="B112" s="27">
        <f>#VALUE!</f>
        <v>0</v>
      </c>
      <c r="C112" s="27">
        <f>#VALUE!</f>
        <v>0</v>
      </c>
      <c r="D112" s="27">
        <f>#VALUE!</f>
        <v>0</v>
      </c>
      <c r="E112" s="27">
        <f>#VALUE!</f>
        <v>0</v>
      </c>
      <c r="F112" s="27">
        <f>#VALUE!</f>
        <v>0</v>
      </c>
      <c r="G112" s="27">
        <f>#VALUE!</f>
        <v>0</v>
      </c>
      <c r="H112" s="27">
        <f>#VALUE!</f>
        <v>0</v>
      </c>
      <c r="I112" s="27">
        <f>#VALUE!</f>
        <v>0</v>
      </c>
      <c r="J112" s="17"/>
    </row>
    <row r="113" spans="1:10">
      <c r="A113" s="4" t="s">
        <v>175</v>
      </c>
      <c r="B113" s="27">
        <f>#VALUE!</f>
        <v>0</v>
      </c>
      <c r="C113" s="27">
        <f>#VALUE!</f>
        <v>0</v>
      </c>
      <c r="D113" s="27">
        <f>#VALUE!</f>
        <v>0</v>
      </c>
      <c r="E113" s="27">
        <f>#VALUE!</f>
        <v>0</v>
      </c>
      <c r="F113" s="27">
        <f>#VALUE!</f>
        <v>0</v>
      </c>
      <c r="G113" s="27">
        <f>#VALUE!</f>
        <v>0</v>
      </c>
      <c r="H113" s="27">
        <f>#VALUE!</f>
        <v>0</v>
      </c>
      <c r="I113" s="27">
        <f>#VALUE!</f>
        <v>0</v>
      </c>
      <c r="J113" s="17"/>
    </row>
    <row r="114" spans="1:10">
      <c r="A114" s="4" t="s">
        <v>176</v>
      </c>
      <c r="B114" s="27">
        <f>#VALUE!</f>
        <v>0</v>
      </c>
      <c r="C114" s="27">
        <f>#VALUE!</f>
        <v>0</v>
      </c>
      <c r="D114" s="27">
        <f>#VALUE!</f>
        <v>0</v>
      </c>
      <c r="E114" s="27">
        <f>#VALUE!</f>
        <v>0</v>
      </c>
      <c r="F114" s="27">
        <f>#VALUE!</f>
        <v>0</v>
      </c>
      <c r="G114" s="27">
        <f>#VALUE!</f>
        <v>0</v>
      </c>
      <c r="H114" s="27">
        <f>#VALUE!</f>
        <v>0</v>
      </c>
      <c r="I114" s="27">
        <f>#VALUE!</f>
        <v>0</v>
      </c>
      <c r="J114" s="17"/>
    </row>
    <row r="115" spans="1:10">
      <c r="A115" s="4" t="s">
        <v>177</v>
      </c>
      <c r="B115" s="27">
        <f>#VALUE!</f>
        <v>0</v>
      </c>
      <c r="C115" s="27">
        <f>#VALUE!</f>
        <v>0</v>
      </c>
      <c r="D115" s="27">
        <f>#VALUE!</f>
        <v>0</v>
      </c>
      <c r="E115" s="27">
        <f>#VALUE!</f>
        <v>0</v>
      </c>
      <c r="F115" s="27">
        <f>#VALUE!</f>
        <v>0</v>
      </c>
      <c r="G115" s="27">
        <f>#VALUE!</f>
        <v>0</v>
      </c>
      <c r="H115" s="27">
        <f>#VALUE!</f>
        <v>0</v>
      </c>
      <c r="I115" s="27">
        <f>#VALUE!</f>
        <v>0</v>
      </c>
      <c r="J115" s="17"/>
    </row>
    <row r="116" spans="1:10">
      <c r="A116" s="4" t="s">
        <v>178</v>
      </c>
      <c r="B116" s="27">
        <f>#VALUE!</f>
        <v>0</v>
      </c>
      <c r="C116" s="27">
        <f>#VALUE!</f>
        <v>0</v>
      </c>
      <c r="D116" s="27">
        <f>#VALUE!</f>
        <v>0</v>
      </c>
      <c r="E116" s="27">
        <f>#VALUE!</f>
        <v>0</v>
      </c>
      <c r="F116" s="27">
        <f>#VALUE!</f>
        <v>0</v>
      </c>
      <c r="G116" s="27">
        <f>#VALUE!</f>
        <v>0</v>
      </c>
      <c r="H116" s="27">
        <f>#VALUE!</f>
        <v>0</v>
      </c>
      <c r="I116" s="27">
        <f>#VALUE!</f>
        <v>0</v>
      </c>
      <c r="J116" s="17"/>
    </row>
    <row r="117" spans="1:10">
      <c r="A117" s="4" t="s">
        <v>179</v>
      </c>
      <c r="B117" s="27">
        <f>#VALUE!</f>
        <v>0</v>
      </c>
      <c r="C117" s="27">
        <f>#VALUE!</f>
        <v>0</v>
      </c>
      <c r="D117" s="27">
        <f>#VALUE!</f>
        <v>0</v>
      </c>
      <c r="E117" s="27">
        <f>#VALUE!</f>
        <v>0</v>
      </c>
      <c r="F117" s="27">
        <f>#VALUE!</f>
        <v>0</v>
      </c>
      <c r="G117" s="27">
        <f>#VALUE!</f>
        <v>0</v>
      </c>
      <c r="H117" s="27">
        <f>#VALUE!</f>
        <v>0</v>
      </c>
      <c r="I117" s="27">
        <f>#VALUE!</f>
        <v>0</v>
      </c>
      <c r="J117" s="17"/>
    </row>
    <row r="118" spans="1:10">
      <c r="A118" s="4" t="s">
        <v>180</v>
      </c>
      <c r="B118" s="27">
        <f>#VALUE!</f>
        <v>0</v>
      </c>
      <c r="C118" s="27">
        <f>#VALUE!</f>
        <v>0</v>
      </c>
      <c r="D118" s="27">
        <f>#VALUE!</f>
        <v>0</v>
      </c>
      <c r="E118" s="27">
        <f>#VALUE!</f>
        <v>0</v>
      </c>
      <c r="F118" s="27">
        <f>#VALUE!</f>
        <v>0</v>
      </c>
      <c r="G118" s="27">
        <f>#VALUE!</f>
        <v>0</v>
      </c>
      <c r="H118" s="27">
        <f>#VALUE!</f>
        <v>0</v>
      </c>
      <c r="I118" s="27">
        <f>#VALUE!</f>
        <v>0</v>
      </c>
      <c r="J118" s="17"/>
    </row>
    <row r="119" spans="1:10">
      <c r="A119" s="4" t="s">
        <v>181</v>
      </c>
      <c r="B119" s="27">
        <f>#VALUE!</f>
        <v>0</v>
      </c>
      <c r="C119" s="27">
        <f>#VALUE!</f>
        <v>0</v>
      </c>
      <c r="D119" s="27">
        <f>#VALUE!</f>
        <v>0</v>
      </c>
      <c r="E119" s="27">
        <f>#VALUE!</f>
        <v>0</v>
      </c>
      <c r="F119" s="27">
        <f>#VALUE!</f>
        <v>0</v>
      </c>
      <c r="G119" s="27">
        <f>#VALUE!</f>
        <v>0</v>
      </c>
      <c r="H119" s="27">
        <f>#VALUE!</f>
        <v>0</v>
      </c>
      <c r="I119" s="27">
        <f>#VALUE!</f>
        <v>0</v>
      </c>
      <c r="J119" s="17"/>
    </row>
    <row r="120" spans="1:10">
      <c r="A120" s="4" t="s">
        <v>182</v>
      </c>
      <c r="B120" s="27">
        <f>#VALUE!</f>
        <v>0</v>
      </c>
      <c r="C120" s="27">
        <f>#VALUE!</f>
        <v>0</v>
      </c>
      <c r="D120" s="27">
        <f>#VALUE!</f>
        <v>0</v>
      </c>
      <c r="E120" s="27">
        <f>#VALUE!</f>
        <v>0</v>
      </c>
      <c r="F120" s="27">
        <f>#VALUE!</f>
        <v>0</v>
      </c>
      <c r="G120" s="27">
        <f>#VALUE!</f>
        <v>0</v>
      </c>
      <c r="H120" s="27">
        <f>#VALUE!</f>
        <v>0</v>
      </c>
      <c r="I120" s="27">
        <f>#VALUE!</f>
        <v>0</v>
      </c>
      <c r="J120" s="17"/>
    </row>
    <row r="121" spans="1:10">
      <c r="A121" s="4" t="s">
        <v>183</v>
      </c>
      <c r="B121" s="27">
        <f>#VALUE!</f>
        <v>0</v>
      </c>
      <c r="C121" s="27">
        <f>#VALUE!</f>
        <v>0</v>
      </c>
      <c r="D121" s="27">
        <f>#VALUE!</f>
        <v>0</v>
      </c>
      <c r="E121" s="27">
        <f>#VALUE!</f>
        <v>0</v>
      </c>
      <c r="F121" s="27">
        <f>#VALUE!</f>
        <v>0</v>
      </c>
      <c r="G121" s="27">
        <f>#VALUE!</f>
        <v>0</v>
      </c>
      <c r="H121" s="27">
        <f>#VALUE!</f>
        <v>0</v>
      </c>
      <c r="I121" s="27">
        <f>#VALUE!</f>
        <v>0</v>
      </c>
      <c r="J121" s="17"/>
    </row>
    <row r="122" spans="1:10">
      <c r="A122" s="4" t="s">
        <v>184</v>
      </c>
      <c r="B122" s="27">
        <f>#VALUE!</f>
        <v>0</v>
      </c>
      <c r="C122" s="27">
        <f>#VALUE!</f>
        <v>0</v>
      </c>
      <c r="D122" s="27">
        <f>#VALUE!</f>
        <v>0</v>
      </c>
      <c r="E122" s="27">
        <f>#VALUE!</f>
        <v>0</v>
      </c>
      <c r="F122" s="27">
        <f>#VALUE!</f>
        <v>0</v>
      </c>
      <c r="G122" s="27">
        <f>#VALUE!</f>
        <v>0</v>
      </c>
      <c r="H122" s="27">
        <f>#VALUE!</f>
        <v>0</v>
      </c>
      <c r="I122" s="27">
        <f>#VALUE!</f>
        <v>0</v>
      </c>
      <c r="J122" s="17"/>
    </row>
    <row r="123" spans="1:10">
      <c r="A123" s="4" t="s">
        <v>185</v>
      </c>
      <c r="B123" s="27">
        <f>#VALUE!</f>
        <v>0</v>
      </c>
      <c r="C123" s="27">
        <f>#VALUE!</f>
        <v>0</v>
      </c>
      <c r="D123" s="27">
        <f>#VALUE!</f>
        <v>0</v>
      </c>
      <c r="E123" s="27">
        <f>#VALUE!</f>
        <v>0</v>
      </c>
      <c r="F123" s="27">
        <f>#VALUE!</f>
        <v>0</v>
      </c>
      <c r="G123" s="27">
        <f>#VALUE!</f>
        <v>0</v>
      </c>
      <c r="H123" s="27">
        <f>#VALUE!</f>
        <v>0</v>
      </c>
      <c r="I123" s="27">
        <f>#VALUE!</f>
        <v>0</v>
      </c>
      <c r="J123" s="17"/>
    </row>
    <row r="124" spans="1:10">
      <c r="A124" s="4" t="s">
        <v>186</v>
      </c>
      <c r="B124" s="27">
        <f>#VALUE!</f>
        <v>0</v>
      </c>
      <c r="C124" s="27">
        <f>#VALUE!</f>
        <v>0</v>
      </c>
      <c r="D124" s="27">
        <f>#VALUE!</f>
        <v>0</v>
      </c>
      <c r="E124" s="27">
        <f>#VALUE!</f>
        <v>0</v>
      </c>
      <c r="F124" s="27">
        <f>#VALUE!</f>
        <v>0</v>
      </c>
      <c r="G124" s="27">
        <f>#VALUE!</f>
        <v>0</v>
      </c>
      <c r="H124" s="27">
        <f>#VALUE!</f>
        <v>0</v>
      </c>
      <c r="I124" s="27">
        <f>#VALUE!</f>
        <v>0</v>
      </c>
      <c r="J124" s="17"/>
    </row>
    <row r="125" spans="1:10">
      <c r="A125" s="4" t="s">
        <v>187</v>
      </c>
      <c r="B125" s="27">
        <f>#VALUE!</f>
        <v>0</v>
      </c>
      <c r="C125" s="27">
        <f>#VALUE!</f>
        <v>0</v>
      </c>
      <c r="D125" s="27">
        <f>#VALUE!</f>
        <v>0</v>
      </c>
      <c r="E125" s="27">
        <f>#VALUE!</f>
        <v>0</v>
      </c>
      <c r="F125" s="27">
        <f>#VALUE!</f>
        <v>0</v>
      </c>
      <c r="G125" s="27">
        <f>#VALUE!</f>
        <v>0</v>
      </c>
      <c r="H125" s="27">
        <f>#VALUE!</f>
        <v>0</v>
      </c>
      <c r="I125" s="27">
        <f>#VALUE!</f>
        <v>0</v>
      </c>
      <c r="J125" s="17"/>
    </row>
    <row r="127" spans="1:10" ht="21" customHeight="1">
      <c r="A127" s="1" t="s">
        <v>188</v>
      </c>
    </row>
    <row r="128" spans="1:10">
      <c r="A128" s="2" t="s">
        <v>189</v>
      </c>
    </row>
    <row r="129" spans="1:10">
      <c r="A129" s="2" t="s">
        <v>190</v>
      </c>
    </row>
    <row r="131" spans="1:10">
      <c r="B131" s="15" t="s">
        <v>157</v>
      </c>
      <c r="C131" s="15" t="s">
        <v>158</v>
      </c>
      <c r="D131" s="15" t="s">
        <v>159</v>
      </c>
      <c r="E131" s="15" t="s">
        <v>160</v>
      </c>
      <c r="F131" s="15" t="s">
        <v>161</v>
      </c>
      <c r="G131" s="15" t="s">
        <v>162</v>
      </c>
      <c r="H131" s="15" t="s">
        <v>163</v>
      </c>
      <c r="I131" s="15" t="s">
        <v>164</v>
      </c>
    </row>
    <row r="132" spans="1:10">
      <c r="A132" s="4" t="s">
        <v>191</v>
      </c>
      <c r="B132" s="22">
        <f>#VALUE!</f>
        <v>0</v>
      </c>
      <c r="C132" s="22">
        <f>#VALUE!</f>
        <v>0</v>
      </c>
      <c r="D132" s="22">
        <f>#VALUE!</f>
        <v>0</v>
      </c>
      <c r="E132" s="22">
        <f>#VALUE!</f>
        <v>0</v>
      </c>
      <c r="F132" s="22">
        <f>#VALUE!</f>
        <v>0</v>
      </c>
      <c r="G132" s="22">
        <f>#VALUE!</f>
        <v>0</v>
      </c>
      <c r="H132" s="22">
        <f>#VALUE!</f>
        <v>0</v>
      </c>
      <c r="I132" s="22">
        <f>#VALUE!</f>
        <v>0</v>
      </c>
      <c r="J132" s="17"/>
    </row>
    <row r="134" spans="1:10" ht="21" customHeight="1">
      <c r="A134" s="1" t="s">
        <v>192</v>
      </c>
    </row>
    <row r="136" spans="1:10">
      <c r="B136" s="15" t="s">
        <v>167</v>
      </c>
      <c r="C136" s="15" t="s">
        <v>168</v>
      </c>
      <c r="D136" s="15" t="s">
        <v>169</v>
      </c>
      <c r="E136" s="15" t="s">
        <v>170</v>
      </c>
      <c r="F136" s="15" t="s">
        <v>171</v>
      </c>
    </row>
    <row r="137" spans="1:10">
      <c r="A137" s="4" t="s">
        <v>193</v>
      </c>
      <c r="B137" s="27">
        <f>#VALUE!</f>
        <v>0</v>
      </c>
      <c r="C137" s="27">
        <f>#VALUE!</f>
        <v>0</v>
      </c>
      <c r="D137" s="27">
        <f>#VALUE!</f>
        <v>0</v>
      </c>
      <c r="E137" s="27">
        <f>#VALUE!</f>
        <v>0</v>
      </c>
      <c r="F137" s="27">
        <f>#VALUE!</f>
        <v>0</v>
      </c>
      <c r="G137" s="17"/>
    </row>
    <row r="138" spans="1:10">
      <c r="A138" s="4" t="s">
        <v>194</v>
      </c>
      <c r="B138" s="27">
        <f>#VALUE!</f>
        <v>0</v>
      </c>
      <c r="C138" s="27">
        <f>#VALUE!</f>
        <v>0</v>
      </c>
      <c r="D138" s="27">
        <f>#VALUE!</f>
        <v>0</v>
      </c>
      <c r="E138" s="27">
        <f>#VALUE!</f>
        <v>0</v>
      </c>
      <c r="F138" s="27">
        <f>#VALUE!</f>
        <v>0</v>
      </c>
      <c r="G138" s="17"/>
    </row>
    <row r="139" spans="1:10">
      <c r="A139" s="4" t="s">
        <v>195</v>
      </c>
      <c r="B139" s="27">
        <f>#VALUE!</f>
        <v>0</v>
      </c>
      <c r="C139" s="27">
        <f>#VALUE!</f>
        <v>0</v>
      </c>
      <c r="D139" s="27">
        <f>#VALUE!</f>
        <v>0</v>
      </c>
      <c r="E139" s="27">
        <f>#VALUE!</f>
        <v>0</v>
      </c>
      <c r="F139" s="27">
        <f>#VALUE!</f>
        <v>0</v>
      </c>
      <c r="G139" s="17"/>
    </row>
    <row r="141" spans="1:10" ht="21" customHeight="1">
      <c r="A141" s="1" t="s">
        <v>196</v>
      </c>
    </row>
    <row r="142" spans="1:10">
      <c r="A142" s="2" t="s">
        <v>197</v>
      </c>
    </row>
    <row r="144" spans="1:10">
      <c r="B144" s="15" t="s">
        <v>143</v>
      </c>
      <c r="C144" s="15" t="s">
        <v>144</v>
      </c>
      <c r="D144" s="15" t="s">
        <v>145</v>
      </c>
      <c r="E144" s="15" t="s">
        <v>146</v>
      </c>
      <c r="F144" s="15" t="s">
        <v>147</v>
      </c>
      <c r="G144" s="15" t="s">
        <v>148</v>
      </c>
      <c r="H144" s="15" t="s">
        <v>149</v>
      </c>
    </row>
    <row r="145" spans="1:9">
      <c r="A145" s="4" t="s">
        <v>198</v>
      </c>
      <c r="B145" s="22">
        <f>#VALUE!</f>
        <v>0</v>
      </c>
      <c r="C145" s="22">
        <f>#VALUE!</f>
        <v>0</v>
      </c>
      <c r="D145" s="22">
        <f>#VALUE!</f>
        <v>0</v>
      </c>
      <c r="E145" s="22">
        <f>#VALUE!</f>
        <v>0</v>
      </c>
      <c r="F145" s="22">
        <f>#VALUE!</f>
        <v>0</v>
      </c>
      <c r="G145" s="22">
        <f>#VALUE!</f>
        <v>0</v>
      </c>
      <c r="H145" s="22">
        <f>#VALUE!</f>
        <v>0</v>
      </c>
      <c r="I145" s="17"/>
    </row>
    <row r="147" spans="1:9" ht="21" customHeight="1">
      <c r="A147" s="1" t="s">
        <v>199</v>
      </c>
    </row>
    <row r="148" spans="1:9">
      <c r="A148" s="2" t="s">
        <v>200</v>
      </c>
    </row>
    <row r="150" spans="1:9">
      <c r="B150" s="15" t="s">
        <v>201</v>
      </c>
      <c r="C150" s="15" t="s">
        <v>202</v>
      </c>
      <c r="D150" s="15" t="s">
        <v>203</v>
      </c>
      <c r="E150" s="15" t="s">
        <v>204</v>
      </c>
      <c r="F150" s="15" t="s">
        <v>205</v>
      </c>
    </row>
    <row r="151" spans="1:9">
      <c r="A151" s="4" t="s">
        <v>206</v>
      </c>
      <c r="B151" s="25"/>
      <c r="C151" s="27">
        <f>#VALUE!</f>
        <v>0</v>
      </c>
      <c r="D151" s="27">
        <f>#VALUE!</f>
        <v>0</v>
      </c>
      <c r="E151" s="27">
        <f>#VALUE!</f>
        <v>0</v>
      </c>
      <c r="F151" s="27">
        <f>#VALUE!</f>
        <v>0</v>
      </c>
      <c r="G151" s="17"/>
    </row>
    <row r="153" spans="1:9" ht="21" customHeight="1">
      <c r="A153" s="1" t="s">
        <v>207</v>
      </c>
    </row>
    <row r="154" spans="1:9">
      <c r="A154" s="2" t="s">
        <v>208</v>
      </c>
    </row>
    <row r="156" spans="1:9">
      <c r="B156" s="15" t="s">
        <v>209</v>
      </c>
      <c r="C156" s="15" t="s">
        <v>210</v>
      </c>
    </row>
    <row r="157" spans="1:9">
      <c r="A157" s="4" t="s">
        <v>174</v>
      </c>
      <c r="B157" s="22">
        <f>#VALUE!</f>
        <v>0</v>
      </c>
      <c r="C157" s="22">
        <f>#VALUE!</f>
        <v>0</v>
      </c>
      <c r="D157" s="17"/>
    </row>
    <row r="158" spans="1:9">
      <c r="A158" s="4" t="s">
        <v>175</v>
      </c>
      <c r="B158" s="22">
        <f>#VALUE!</f>
        <v>0</v>
      </c>
      <c r="C158" s="22">
        <f>#VALUE!</f>
        <v>0</v>
      </c>
      <c r="D158" s="17"/>
    </row>
    <row r="159" spans="1:9">
      <c r="A159" s="4" t="s">
        <v>211</v>
      </c>
      <c r="B159" s="25"/>
      <c r="C159" s="22">
        <f>#VALUE!</f>
        <v>0</v>
      </c>
      <c r="D159" s="17"/>
    </row>
    <row r="160" spans="1:9">
      <c r="A160" s="4" t="s">
        <v>176</v>
      </c>
      <c r="B160" s="22">
        <f>#VALUE!</f>
        <v>0</v>
      </c>
      <c r="C160" s="22">
        <f>#VALUE!</f>
        <v>0</v>
      </c>
      <c r="D160" s="17"/>
    </row>
    <row r="161" spans="1:4">
      <c r="A161" s="4" t="s">
        <v>177</v>
      </c>
      <c r="B161" s="22">
        <f>#VALUE!</f>
        <v>0</v>
      </c>
      <c r="C161" s="22">
        <f>#VALUE!</f>
        <v>0</v>
      </c>
      <c r="D161" s="17"/>
    </row>
    <row r="162" spans="1:4">
      <c r="A162" s="4" t="s">
        <v>212</v>
      </c>
      <c r="B162" s="25"/>
      <c r="C162" s="22">
        <f>#VALUE!</f>
        <v>0</v>
      </c>
      <c r="D162" s="17"/>
    </row>
    <row r="163" spans="1:4">
      <c r="A163" s="4" t="s">
        <v>178</v>
      </c>
      <c r="B163" s="22">
        <f>#VALUE!</f>
        <v>0</v>
      </c>
      <c r="C163" s="22">
        <f>#VALUE!</f>
        <v>0</v>
      </c>
      <c r="D163" s="17"/>
    </row>
    <row r="164" spans="1:4">
      <c r="A164" s="4" t="s">
        <v>179</v>
      </c>
      <c r="B164" s="22">
        <f>#VALUE!</f>
        <v>0</v>
      </c>
      <c r="C164" s="22">
        <f>#VALUE!</f>
        <v>0</v>
      </c>
      <c r="D164" s="17"/>
    </row>
    <row r="165" spans="1:4">
      <c r="A165" s="4" t="s">
        <v>180</v>
      </c>
      <c r="B165" s="22">
        <f>#VALUE!</f>
        <v>0</v>
      </c>
      <c r="C165" s="22">
        <f>#VALUE!</f>
        <v>0</v>
      </c>
      <c r="D165" s="17"/>
    </row>
    <row r="166" spans="1:4">
      <c r="A166" s="4" t="s">
        <v>181</v>
      </c>
      <c r="B166" s="22">
        <f>#VALUE!</f>
        <v>0</v>
      </c>
      <c r="C166" s="22">
        <f>#VALUE!</f>
        <v>0</v>
      </c>
      <c r="D166" s="17"/>
    </row>
    <row r="167" spans="1:4">
      <c r="A167" s="4" t="s">
        <v>193</v>
      </c>
      <c r="B167" s="22">
        <f>#VALUE!</f>
        <v>0</v>
      </c>
      <c r="C167" s="22">
        <f>#VALUE!</f>
        <v>0</v>
      </c>
      <c r="D167" s="17"/>
    </row>
    <row r="168" spans="1:4">
      <c r="A168" s="4" t="s">
        <v>213</v>
      </c>
      <c r="B168" s="22">
        <f>#VALUE!</f>
        <v>0</v>
      </c>
      <c r="C168" s="22">
        <f>#VALUE!</f>
        <v>0</v>
      </c>
      <c r="D168" s="17"/>
    </row>
    <row r="169" spans="1:4">
      <c r="A169" s="4" t="s">
        <v>214</v>
      </c>
      <c r="B169" s="22">
        <f>#VALUE!</f>
        <v>0</v>
      </c>
      <c r="C169" s="22">
        <f>#VALUE!</f>
        <v>0</v>
      </c>
      <c r="D169" s="17"/>
    </row>
    <row r="170" spans="1:4">
      <c r="A170" s="4" t="s">
        <v>215</v>
      </c>
      <c r="B170" s="22">
        <f>#VALUE!</f>
        <v>0</v>
      </c>
      <c r="C170" s="22">
        <f>#VALUE!</f>
        <v>0</v>
      </c>
      <c r="D170" s="17"/>
    </row>
    <row r="171" spans="1:4">
      <c r="A171" s="4" t="s">
        <v>216</v>
      </c>
      <c r="B171" s="22">
        <f>#VALUE!</f>
        <v>0</v>
      </c>
      <c r="C171" s="22">
        <f>#VALUE!</f>
        <v>0</v>
      </c>
      <c r="D171" s="17"/>
    </row>
    <row r="172" spans="1:4">
      <c r="A172" s="4" t="s">
        <v>217</v>
      </c>
      <c r="B172" s="22">
        <f>#VALUE!</f>
        <v>0</v>
      </c>
      <c r="C172" s="22">
        <f>#VALUE!</f>
        <v>0</v>
      </c>
      <c r="D172" s="17"/>
    </row>
    <row r="174" spans="1:4" ht="21" customHeight="1">
      <c r="A174" s="1" t="s">
        <v>218</v>
      </c>
    </row>
    <row r="175" spans="1:4">
      <c r="A175" s="2" t="s">
        <v>219</v>
      </c>
    </row>
    <row r="176" spans="1:4">
      <c r="A176" s="2" t="s">
        <v>220</v>
      </c>
    </row>
    <row r="177" spans="1:8">
      <c r="A177" s="2" t="s">
        <v>221</v>
      </c>
    </row>
    <row r="179" spans="1:8">
      <c r="B179" s="15" t="s">
        <v>222</v>
      </c>
      <c r="C179" s="15" t="s">
        <v>223</v>
      </c>
      <c r="D179" s="15" t="s">
        <v>224</v>
      </c>
      <c r="E179" s="15" t="s">
        <v>225</v>
      </c>
      <c r="F179" s="15" t="s">
        <v>226</v>
      </c>
      <c r="G179" s="15" t="s">
        <v>227</v>
      </c>
    </row>
    <row r="180" spans="1:8">
      <c r="A180" s="29" t="s">
        <v>228</v>
      </c>
      <c r="B180" s="18"/>
      <c r="C180" s="18"/>
      <c r="D180" s="18"/>
      <c r="E180" s="18"/>
      <c r="F180" s="18"/>
      <c r="G180" s="18"/>
      <c r="H180" s="17"/>
    </row>
    <row r="181" spans="1:8">
      <c r="A181" s="4" t="s">
        <v>174</v>
      </c>
      <c r="B181" s="22">
        <f>#VALUE!</f>
        <v>0</v>
      </c>
      <c r="C181" s="25"/>
      <c r="D181" s="25"/>
      <c r="E181" s="20">
        <f>#VALUE!</f>
        <v>0</v>
      </c>
      <c r="F181" s="25"/>
      <c r="G181" s="25"/>
      <c r="H181" s="17"/>
    </row>
    <row r="182" spans="1:8">
      <c r="A182" s="4" t="s">
        <v>229</v>
      </c>
      <c r="B182" s="22">
        <f>#VALUE!</f>
        <v>0</v>
      </c>
      <c r="C182" s="25"/>
      <c r="D182" s="25"/>
      <c r="E182" s="20">
        <f>#VALUE!</f>
        <v>0</v>
      </c>
      <c r="F182" s="25"/>
      <c r="G182" s="25"/>
      <c r="H182" s="17"/>
    </row>
    <row r="183" spans="1:8">
      <c r="A183" s="4" t="s">
        <v>230</v>
      </c>
      <c r="B183" s="22">
        <f>#VALUE!</f>
        <v>0</v>
      </c>
      <c r="C183" s="25"/>
      <c r="D183" s="25"/>
      <c r="E183" s="20">
        <f>#VALUE!</f>
        <v>0</v>
      </c>
      <c r="F183" s="25"/>
      <c r="G183" s="25"/>
      <c r="H183" s="17"/>
    </row>
    <row r="184" spans="1:8">
      <c r="A184" s="29" t="s">
        <v>231</v>
      </c>
      <c r="B184" s="18"/>
      <c r="C184" s="18"/>
      <c r="D184" s="18"/>
      <c r="E184" s="18"/>
      <c r="F184" s="18"/>
      <c r="G184" s="18"/>
      <c r="H184" s="17"/>
    </row>
    <row r="185" spans="1:8">
      <c r="A185" s="4" t="s">
        <v>175</v>
      </c>
      <c r="B185" s="22">
        <f>#VALUE!</f>
        <v>0</v>
      </c>
      <c r="C185" s="22">
        <f>#VALUE!</f>
        <v>0</v>
      </c>
      <c r="D185" s="25"/>
      <c r="E185" s="20">
        <f>#VALUE!</f>
        <v>0</v>
      </c>
      <c r="F185" s="25"/>
      <c r="G185" s="25"/>
      <c r="H185" s="17"/>
    </row>
    <row r="186" spans="1:8">
      <c r="A186" s="4" t="s">
        <v>232</v>
      </c>
      <c r="B186" s="22">
        <f>#VALUE!</f>
        <v>0</v>
      </c>
      <c r="C186" s="22">
        <f>#VALUE!</f>
        <v>0</v>
      </c>
      <c r="D186" s="25"/>
      <c r="E186" s="20">
        <f>#VALUE!</f>
        <v>0</v>
      </c>
      <c r="F186" s="25"/>
      <c r="G186" s="25"/>
      <c r="H186" s="17"/>
    </row>
    <row r="187" spans="1:8">
      <c r="A187" s="4" t="s">
        <v>233</v>
      </c>
      <c r="B187" s="22">
        <f>#VALUE!</f>
        <v>0</v>
      </c>
      <c r="C187" s="22">
        <f>#VALUE!</f>
        <v>0</v>
      </c>
      <c r="D187" s="25"/>
      <c r="E187" s="20">
        <f>#VALUE!</f>
        <v>0</v>
      </c>
      <c r="F187" s="25"/>
      <c r="G187" s="25"/>
      <c r="H187" s="17"/>
    </row>
    <row r="188" spans="1:8">
      <c r="A188" s="29" t="s">
        <v>234</v>
      </c>
      <c r="B188" s="18"/>
      <c r="C188" s="18"/>
      <c r="D188" s="18"/>
      <c r="E188" s="18"/>
      <c r="F188" s="18"/>
      <c r="G188" s="18"/>
      <c r="H188" s="17"/>
    </row>
    <row r="189" spans="1:8">
      <c r="A189" s="4" t="s">
        <v>211</v>
      </c>
      <c r="B189" s="22">
        <f>#VALUE!</f>
        <v>0</v>
      </c>
      <c r="C189" s="25"/>
      <c r="D189" s="25"/>
      <c r="E189" s="20">
        <f>#VALUE!</f>
        <v>0</v>
      </c>
      <c r="F189" s="25"/>
      <c r="G189" s="25"/>
      <c r="H189" s="17"/>
    </row>
    <row r="190" spans="1:8">
      <c r="A190" s="4" t="s">
        <v>235</v>
      </c>
      <c r="B190" s="22">
        <f>#VALUE!</f>
        <v>0</v>
      </c>
      <c r="C190" s="25"/>
      <c r="D190" s="25"/>
      <c r="E190" s="20">
        <f>#VALUE!</f>
        <v>0</v>
      </c>
      <c r="F190" s="25"/>
      <c r="G190" s="25"/>
      <c r="H190" s="17"/>
    </row>
    <row r="191" spans="1:8">
      <c r="A191" s="4" t="s">
        <v>236</v>
      </c>
      <c r="B191" s="22">
        <f>#VALUE!</f>
        <v>0</v>
      </c>
      <c r="C191" s="25"/>
      <c r="D191" s="25"/>
      <c r="E191" s="20">
        <f>#VALUE!</f>
        <v>0</v>
      </c>
      <c r="F191" s="25"/>
      <c r="G191" s="25"/>
      <c r="H191" s="17"/>
    </row>
    <row r="192" spans="1:8">
      <c r="A192" s="29" t="s">
        <v>237</v>
      </c>
      <c r="B192" s="18"/>
      <c r="C192" s="18"/>
      <c r="D192" s="18"/>
      <c r="E192" s="18"/>
      <c r="F192" s="18"/>
      <c r="G192" s="18"/>
      <c r="H192" s="17"/>
    </row>
    <row r="193" spans="1:8">
      <c r="A193" s="4" t="s">
        <v>176</v>
      </c>
      <c r="B193" s="22">
        <f>#VALUE!</f>
        <v>0</v>
      </c>
      <c r="C193" s="25"/>
      <c r="D193" s="25"/>
      <c r="E193" s="20">
        <f>#VALUE!</f>
        <v>0</v>
      </c>
      <c r="F193" s="25"/>
      <c r="G193" s="25"/>
      <c r="H193" s="17"/>
    </row>
    <row r="194" spans="1:8">
      <c r="A194" s="4" t="s">
        <v>238</v>
      </c>
      <c r="B194" s="22">
        <f>#VALUE!</f>
        <v>0</v>
      </c>
      <c r="C194" s="25"/>
      <c r="D194" s="25"/>
      <c r="E194" s="20">
        <f>#VALUE!</f>
        <v>0</v>
      </c>
      <c r="F194" s="25"/>
      <c r="G194" s="25"/>
      <c r="H194" s="17"/>
    </row>
    <row r="195" spans="1:8">
      <c r="A195" s="4" t="s">
        <v>239</v>
      </c>
      <c r="B195" s="22">
        <f>#VALUE!</f>
        <v>0</v>
      </c>
      <c r="C195" s="25"/>
      <c r="D195" s="25"/>
      <c r="E195" s="20">
        <f>#VALUE!</f>
        <v>0</v>
      </c>
      <c r="F195" s="25"/>
      <c r="G195" s="25"/>
      <c r="H195" s="17"/>
    </row>
    <row r="196" spans="1:8">
      <c r="A196" s="29" t="s">
        <v>240</v>
      </c>
      <c r="B196" s="18"/>
      <c r="C196" s="18"/>
      <c r="D196" s="18"/>
      <c r="E196" s="18"/>
      <c r="F196" s="18"/>
      <c r="G196" s="18"/>
      <c r="H196" s="17"/>
    </row>
    <row r="197" spans="1:8">
      <c r="A197" s="4" t="s">
        <v>177</v>
      </c>
      <c r="B197" s="22">
        <f>#VALUE!</f>
        <v>0</v>
      </c>
      <c r="C197" s="22">
        <f>#VALUE!</f>
        <v>0</v>
      </c>
      <c r="D197" s="25"/>
      <c r="E197" s="20">
        <f>#VALUE!</f>
        <v>0</v>
      </c>
      <c r="F197" s="25"/>
      <c r="G197" s="25"/>
      <c r="H197" s="17"/>
    </row>
    <row r="198" spans="1:8">
      <c r="A198" s="4" t="s">
        <v>241</v>
      </c>
      <c r="B198" s="22">
        <f>#VALUE!</f>
        <v>0</v>
      </c>
      <c r="C198" s="22">
        <f>#VALUE!</f>
        <v>0</v>
      </c>
      <c r="D198" s="25"/>
      <c r="E198" s="20">
        <f>#VALUE!</f>
        <v>0</v>
      </c>
      <c r="F198" s="25"/>
      <c r="G198" s="25"/>
      <c r="H198" s="17"/>
    </row>
    <row r="199" spans="1:8">
      <c r="A199" s="4" t="s">
        <v>242</v>
      </c>
      <c r="B199" s="22">
        <f>#VALUE!</f>
        <v>0</v>
      </c>
      <c r="C199" s="22">
        <f>#VALUE!</f>
        <v>0</v>
      </c>
      <c r="D199" s="25"/>
      <c r="E199" s="20">
        <f>#VALUE!</f>
        <v>0</v>
      </c>
      <c r="F199" s="25"/>
      <c r="G199" s="25"/>
      <c r="H199" s="17"/>
    </row>
    <row r="200" spans="1:8">
      <c r="A200" s="29" t="s">
        <v>243</v>
      </c>
      <c r="B200" s="18"/>
      <c r="C200" s="18"/>
      <c r="D200" s="18"/>
      <c r="E200" s="18"/>
      <c r="F200" s="18"/>
      <c r="G200" s="18"/>
      <c r="H200" s="17"/>
    </row>
    <row r="201" spans="1:8">
      <c r="A201" s="4" t="s">
        <v>212</v>
      </c>
      <c r="B201" s="22">
        <f>#VALUE!</f>
        <v>0</v>
      </c>
      <c r="C201" s="25"/>
      <c r="D201" s="25"/>
      <c r="E201" s="20">
        <f>#VALUE!</f>
        <v>0</v>
      </c>
      <c r="F201" s="25"/>
      <c r="G201" s="25"/>
      <c r="H201" s="17"/>
    </row>
    <row r="202" spans="1:8">
      <c r="A202" s="4" t="s">
        <v>244</v>
      </c>
      <c r="B202" s="22">
        <f>#VALUE!</f>
        <v>0</v>
      </c>
      <c r="C202" s="25"/>
      <c r="D202" s="25"/>
      <c r="E202" s="20">
        <f>#VALUE!</f>
        <v>0</v>
      </c>
      <c r="F202" s="25"/>
      <c r="G202" s="25"/>
      <c r="H202" s="17"/>
    </row>
    <row r="203" spans="1:8">
      <c r="A203" s="4" t="s">
        <v>245</v>
      </c>
      <c r="B203" s="22">
        <f>#VALUE!</f>
        <v>0</v>
      </c>
      <c r="C203" s="25"/>
      <c r="D203" s="25"/>
      <c r="E203" s="20">
        <f>#VALUE!</f>
        <v>0</v>
      </c>
      <c r="F203" s="25"/>
      <c r="G203" s="25"/>
      <c r="H203" s="17"/>
    </row>
    <row r="204" spans="1:8">
      <c r="A204" s="29" t="s">
        <v>246</v>
      </c>
      <c r="B204" s="18"/>
      <c r="C204" s="18"/>
      <c r="D204" s="18"/>
      <c r="E204" s="18"/>
      <c r="F204" s="18"/>
      <c r="G204" s="18"/>
      <c r="H204" s="17"/>
    </row>
    <row r="205" spans="1:8">
      <c r="A205" s="4" t="s">
        <v>178</v>
      </c>
      <c r="B205" s="22">
        <f>#VALUE!</f>
        <v>0</v>
      </c>
      <c r="C205" s="22">
        <f>#VALUE!</f>
        <v>0</v>
      </c>
      <c r="D205" s="22">
        <f>#VALUE!</f>
        <v>0</v>
      </c>
      <c r="E205" s="20">
        <f>#VALUE!</f>
        <v>0</v>
      </c>
      <c r="F205" s="25"/>
      <c r="G205" s="25"/>
      <c r="H205" s="17"/>
    </row>
    <row r="206" spans="1:8">
      <c r="A206" s="4" t="s">
        <v>247</v>
      </c>
      <c r="B206" s="22">
        <f>#VALUE!</f>
        <v>0</v>
      </c>
      <c r="C206" s="22">
        <f>#VALUE!</f>
        <v>0</v>
      </c>
      <c r="D206" s="22">
        <f>#VALUE!</f>
        <v>0</v>
      </c>
      <c r="E206" s="20">
        <f>#VALUE!</f>
        <v>0</v>
      </c>
      <c r="F206" s="25"/>
      <c r="G206" s="25"/>
      <c r="H206" s="17"/>
    </row>
    <row r="207" spans="1:8">
      <c r="A207" s="4" t="s">
        <v>248</v>
      </c>
      <c r="B207" s="22">
        <f>#VALUE!</f>
        <v>0</v>
      </c>
      <c r="C207" s="22">
        <f>#VALUE!</f>
        <v>0</v>
      </c>
      <c r="D207" s="22">
        <f>#VALUE!</f>
        <v>0</v>
      </c>
      <c r="E207" s="20">
        <f>#VALUE!</f>
        <v>0</v>
      </c>
      <c r="F207" s="25"/>
      <c r="G207" s="25"/>
      <c r="H207" s="17"/>
    </row>
    <row r="208" spans="1:8">
      <c r="A208" s="29" t="s">
        <v>249</v>
      </c>
      <c r="B208" s="18"/>
      <c r="C208" s="18"/>
      <c r="D208" s="18"/>
      <c r="E208" s="18"/>
      <c r="F208" s="18"/>
      <c r="G208" s="18"/>
      <c r="H208" s="17"/>
    </row>
    <row r="209" spans="1:8">
      <c r="A209" s="4" t="s">
        <v>179</v>
      </c>
      <c r="B209" s="22">
        <f>#VALUE!</f>
        <v>0</v>
      </c>
      <c r="C209" s="22">
        <f>#VALUE!</f>
        <v>0</v>
      </c>
      <c r="D209" s="22">
        <f>#VALUE!</f>
        <v>0</v>
      </c>
      <c r="E209" s="20">
        <f>#VALUE!</f>
        <v>0</v>
      </c>
      <c r="F209" s="25"/>
      <c r="G209" s="25"/>
      <c r="H209" s="17"/>
    </row>
    <row r="210" spans="1:8">
      <c r="A210" s="4" t="s">
        <v>250</v>
      </c>
      <c r="B210" s="22">
        <f>#VALUE!</f>
        <v>0</v>
      </c>
      <c r="C210" s="22">
        <f>#VALUE!</f>
        <v>0</v>
      </c>
      <c r="D210" s="22">
        <f>#VALUE!</f>
        <v>0</v>
      </c>
      <c r="E210" s="20">
        <f>#VALUE!</f>
        <v>0</v>
      </c>
      <c r="F210" s="25"/>
      <c r="G210" s="25"/>
      <c r="H210" s="17"/>
    </row>
    <row r="211" spans="1:8">
      <c r="A211" s="4" t="s">
        <v>251</v>
      </c>
      <c r="B211" s="22">
        <f>#VALUE!</f>
        <v>0</v>
      </c>
      <c r="C211" s="22">
        <f>#VALUE!</f>
        <v>0</v>
      </c>
      <c r="D211" s="22">
        <f>#VALUE!</f>
        <v>0</v>
      </c>
      <c r="E211" s="20">
        <f>#VALUE!</f>
        <v>0</v>
      </c>
      <c r="F211" s="25"/>
      <c r="G211" s="25"/>
      <c r="H211" s="17"/>
    </row>
    <row r="212" spans="1:8">
      <c r="A212" s="29" t="s">
        <v>252</v>
      </c>
      <c r="B212" s="18"/>
      <c r="C212" s="18"/>
      <c r="D212" s="18"/>
      <c r="E212" s="18"/>
      <c r="F212" s="18"/>
      <c r="G212" s="18"/>
      <c r="H212" s="17"/>
    </row>
    <row r="213" spans="1:8">
      <c r="A213" s="4" t="s">
        <v>180</v>
      </c>
      <c r="B213" s="22">
        <f>#VALUE!</f>
        <v>0</v>
      </c>
      <c r="C213" s="22">
        <f>#VALUE!</f>
        <v>0</v>
      </c>
      <c r="D213" s="22">
        <f>#VALUE!</f>
        <v>0</v>
      </c>
      <c r="E213" s="20">
        <f>#VALUE!</f>
        <v>0</v>
      </c>
      <c r="F213" s="20">
        <f>#VALUE!</f>
        <v>0</v>
      </c>
      <c r="G213" s="22">
        <f>#VALUE!</f>
        <v>0</v>
      </c>
      <c r="H213" s="17"/>
    </row>
    <row r="214" spans="1:8">
      <c r="A214" s="4" t="s">
        <v>253</v>
      </c>
      <c r="B214" s="22">
        <f>#VALUE!</f>
        <v>0</v>
      </c>
      <c r="C214" s="22">
        <f>#VALUE!</f>
        <v>0</v>
      </c>
      <c r="D214" s="22">
        <f>#VALUE!</f>
        <v>0</v>
      </c>
      <c r="E214" s="20">
        <f>#VALUE!</f>
        <v>0</v>
      </c>
      <c r="F214" s="20">
        <f>#VALUE!</f>
        <v>0</v>
      </c>
      <c r="G214" s="22">
        <f>#VALUE!</f>
        <v>0</v>
      </c>
      <c r="H214" s="17"/>
    </row>
    <row r="215" spans="1:8">
      <c r="A215" s="4" t="s">
        <v>254</v>
      </c>
      <c r="B215" s="22">
        <f>#VALUE!</f>
        <v>0</v>
      </c>
      <c r="C215" s="22">
        <f>#VALUE!</f>
        <v>0</v>
      </c>
      <c r="D215" s="22">
        <f>#VALUE!</f>
        <v>0</v>
      </c>
      <c r="E215" s="20">
        <f>#VALUE!</f>
        <v>0</v>
      </c>
      <c r="F215" s="20">
        <f>#VALUE!</f>
        <v>0</v>
      </c>
      <c r="G215" s="22">
        <f>#VALUE!</f>
        <v>0</v>
      </c>
      <c r="H215" s="17"/>
    </row>
    <row r="216" spans="1:8">
      <c r="A216" s="29" t="s">
        <v>255</v>
      </c>
      <c r="B216" s="18"/>
      <c r="C216" s="18"/>
      <c r="D216" s="18"/>
      <c r="E216" s="18"/>
      <c r="F216" s="18"/>
      <c r="G216" s="18"/>
      <c r="H216" s="17"/>
    </row>
    <row r="217" spans="1:8">
      <c r="A217" s="4" t="s">
        <v>181</v>
      </c>
      <c r="B217" s="22">
        <f>#VALUE!</f>
        <v>0</v>
      </c>
      <c r="C217" s="22">
        <f>#VALUE!</f>
        <v>0</v>
      </c>
      <c r="D217" s="22">
        <f>#VALUE!</f>
        <v>0</v>
      </c>
      <c r="E217" s="20">
        <f>#VALUE!</f>
        <v>0</v>
      </c>
      <c r="F217" s="20">
        <f>#VALUE!</f>
        <v>0</v>
      </c>
      <c r="G217" s="22">
        <f>#VALUE!</f>
        <v>0</v>
      </c>
      <c r="H217" s="17"/>
    </row>
    <row r="218" spans="1:8">
      <c r="A218" s="4" t="s">
        <v>256</v>
      </c>
      <c r="B218" s="22">
        <f>#VALUE!</f>
        <v>0</v>
      </c>
      <c r="C218" s="22">
        <f>#VALUE!</f>
        <v>0</v>
      </c>
      <c r="D218" s="22">
        <f>#VALUE!</f>
        <v>0</v>
      </c>
      <c r="E218" s="20">
        <f>#VALUE!</f>
        <v>0</v>
      </c>
      <c r="F218" s="20">
        <f>#VALUE!</f>
        <v>0</v>
      </c>
      <c r="G218" s="22">
        <f>#VALUE!</f>
        <v>0</v>
      </c>
      <c r="H218" s="17"/>
    </row>
    <row r="219" spans="1:8">
      <c r="A219" s="29" t="s">
        <v>257</v>
      </c>
      <c r="B219" s="18"/>
      <c r="C219" s="18"/>
      <c r="D219" s="18"/>
      <c r="E219" s="18"/>
      <c r="F219" s="18"/>
      <c r="G219" s="18"/>
      <c r="H219" s="17"/>
    </row>
    <row r="220" spans="1:8">
      <c r="A220" s="4" t="s">
        <v>193</v>
      </c>
      <c r="B220" s="22">
        <f>#VALUE!</f>
        <v>0</v>
      </c>
      <c r="C220" s="22">
        <f>#VALUE!</f>
        <v>0</v>
      </c>
      <c r="D220" s="22">
        <f>#VALUE!</f>
        <v>0</v>
      </c>
      <c r="E220" s="20">
        <f>#VALUE!</f>
        <v>0</v>
      </c>
      <c r="F220" s="20">
        <f>#VALUE!</f>
        <v>0</v>
      </c>
      <c r="G220" s="22">
        <f>#VALUE!</f>
        <v>0</v>
      </c>
      <c r="H220" s="17"/>
    </row>
    <row r="221" spans="1:8">
      <c r="A221" s="4" t="s">
        <v>258</v>
      </c>
      <c r="B221" s="22">
        <f>#VALUE!</f>
        <v>0</v>
      </c>
      <c r="C221" s="22">
        <f>#VALUE!</f>
        <v>0</v>
      </c>
      <c r="D221" s="22">
        <f>#VALUE!</f>
        <v>0</v>
      </c>
      <c r="E221" s="20">
        <f>#VALUE!</f>
        <v>0</v>
      </c>
      <c r="F221" s="20">
        <f>#VALUE!</f>
        <v>0</v>
      </c>
      <c r="G221" s="22">
        <f>#VALUE!</f>
        <v>0</v>
      </c>
      <c r="H221" s="17"/>
    </row>
    <row r="222" spans="1:8">
      <c r="A222" s="29" t="s">
        <v>259</v>
      </c>
      <c r="B222" s="18"/>
      <c r="C222" s="18"/>
      <c r="D222" s="18"/>
      <c r="E222" s="18"/>
      <c r="F222" s="18"/>
      <c r="G222" s="18"/>
      <c r="H222" s="17"/>
    </row>
    <row r="223" spans="1:8">
      <c r="A223" s="4" t="s">
        <v>213</v>
      </c>
      <c r="B223" s="22">
        <f>#VALUE!</f>
        <v>0</v>
      </c>
      <c r="C223" s="25"/>
      <c r="D223" s="25"/>
      <c r="E223" s="20">
        <f>#VALUE!</f>
        <v>0</v>
      </c>
      <c r="F223" s="25"/>
      <c r="G223" s="25"/>
      <c r="H223" s="17"/>
    </row>
    <row r="224" spans="1:8">
      <c r="A224" s="4" t="s">
        <v>260</v>
      </c>
      <c r="B224" s="22">
        <f>#VALUE!</f>
        <v>0</v>
      </c>
      <c r="C224" s="25"/>
      <c r="D224" s="25"/>
      <c r="E224" s="20">
        <f>#VALUE!</f>
        <v>0</v>
      </c>
      <c r="F224" s="25"/>
      <c r="G224" s="25"/>
      <c r="H224" s="17"/>
    </row>
    <row r="225" spans="1:8">
      <c r="A225" s="4" t="s">
        <v>261</v>
      </c>
      <c r="B225" s="22">
        <f>#VALUE!</f>
        <v>0</v>
      </c>
      <c r="C225" s="25"/>
      <c r="D225" s="25"/>
      <c r="E225" s="20">
        <f>#VALUE!</f>
        <v>0</v>
      </c>
      <c r="F225" s="25"/>
      <c r="G225" s="25"/>
      <c r="H225" s="17"/>
    </row>
    <row r="226" spans="1:8">
      <c r="A226" s="29" t="s">
        <v>262</v>
      </c>
      <c r="B226" s="18"/>
      <c r="C226" s="18"/>
      <c r="D226" s="18"/>
      <c r="E226" s="18"/>
      <c r="F226" s="18"/>
      <c r="G226" s="18"/>
      <c r="H226" s="17"/>
    </row>
    <row r="227" spans="1:8">
      <c r="A227" s="4" t="s">
        <v>214</v>
      </c>
      <c r="B227" s="22">
        <f>#VALUE!</f>
        <v>0</v>
      </c>
      <c r="C227" s="25"/>
      <c r="D227" s="25"/>
      <c r="E227" s="20">
        <f>#VALUE!</f>
        <v>0</v>
      </c>
      <c r="F227" s="25"/>
      <c r="G227" s="25"/>
      <c r="H227" s="17"/>
    </row>
    <row r="228" spans="1:8">
      <c r="A228" s="4" t="s">
        <v>263</v>
      </c>
      <c r="B228" s="22">
        <f>#VALUE!</f>
        <v>0</v>
      </c>
      <c r="C228" s="25"/>
      <c r="D228" s="25"/>
      <c r="E228" s="20">
        <f>#VALUE!</f>
        <v>0</v>
      </c>
      <c r="F228" s="25"/>
      <c r="G228" s="25"/>
      <c r="H228" s="17"/>
    </row>
    <row r="229" spans="1:8">
      <c r="A229" s="4" t="s">
        <v>264</v>
      </c>
      <c r="B229" s="22">
        <f>#VALUE!</f>
        <v>0</v>
      </c>
      <c r="C229" s="25"/>
      <c r="D229" s="25"/>
      <c r="E229" s="20">
        <f>#VALUE!</f>
        <v>0</v>
      </c>
      <c r="F229" s="25"/>
      <c r="G229" s="25"/>
      <c r="H229" s="17"/>
    </row>
    <row r="230" spans="1:8">
      <c r="A230" s="29" t="s">
        <v>265</v>
      </c>
      <c r="B230" s="18"/>
      <c r="C230" s="18"/>
      <c r="D230" s="18"/>
      <c r="E230" s="18"/>
      <c r="F230" s="18"/>
      <c r="G230" s="18"/>
      <c r="H230" s="17"/>
    </row>
    <row r="231" spans="1:8">
      <c r="A231" s="4" t="s">
        <v>215</v>
      </c>
      <c r="B231" s="22">
        <f>#VALUE!</f>
        <v>0</v>
      </c>
      <c r="C231" s="25"/>
      <c r="D231" s="25"/>
      <c r="E231" s="20">
        <f>#VALUE!</f>
        <v>0</v>
      </c>
      <c r="F231" s="25"/>
      <c r="G231" s="25"/>
      <c r="H231" s="17"/>
    </row>
    <row r="232" spans="1:8">
      <c r="A232" s="4" t="s">
        <v>266</v>
      </c>
      <c r="B232" s="22">
        <f>#VALUE!</f>
        <v>0</v>
      </c>
      <c r="C232" s="25"/>
      <c r="D232" s="25"/>
      <c r="E232" s="20">
        <f>#VALUE!</f>
        <v>0</v>
      </c>
      <c r="F232" s="25"/>
      <c r="G232" s="25"/>
      <c r="H232" s="17"/>
    </row>
    <row r="233" spans="1:8">
      <c r="A233" s="4" t="s">
        <v>267</v>
      </c>
      <c r="B233" s="22">
        <f>#VALUE!</f>
        <v>0</v>
      </c>
      <c r="C233" s="25"/>
      <c r="D233" s="25"/>
      <c r="E233" s="20">
        <f>#VALUE!</f>
        <v>0</v>
      </c>
      <c r="F233" s="25"/>
      <c r="G233" s="25"/>
      <c r="H233" s="17"/>
    </row>
    <row r="234" spans="1:8">
      <c r="A234" s="29" t="s">
        <v>268</v>
      </c>
      <c r="B234" s="18"/>
      <c r="C234" s="18"/>
      <c r="D234" s="18"/>
      <c r="E234" s="18"/>
      <c r="F234" s="18"/>
      <c r="G234" s="18"/>
      <c r="H234" s="17"/>
    </row>
    <row r="235" spans="1:8">
      <c r="A235" s="4" t="s">
        <v>216</v>
      </c>
      <c r="B235" s="22">
        <f>#VALUE!</f>
        <v>0</v>
      </c>
      <c r="C235" s="25"/>
      <c r="D235" s="25"/>
      <c r="E235" s="20">
        <f>#VALUE!</f>
        <v>0</v>
      </c>
      <c r="F235" s="25"/>
      <c r="G235" s="25"/>
      <c r="H235" s="17"/>
    </row>
    <row r="236" spans="1:8">
      <c r="A236" s="4" t="s">
        <v>269</v>
      </c>
      <c r="B236" s="22">
        <f>#VALUE!</f>
        <v>0</v>
      </c>
      <c r="C236" s="25"/>
      <c r="D236" s="25"/>
      <c r="E236" s="20">
        <f>#VALUE!</f>
        <v>0</v>
      </c>
      <c r="F236" s="25"/>
      <c r="G236" s="25"/>
      <c r="H236" s="17"/>
    </row>
    <row r="237" spans="1:8">
      <c r="A237" s="4" t="s">
        <v>270</v>
      </c>
      <c r="B237" s="22">
        <f>#VALUE!</f>
        <v>0</v>
      </c>
      <c r="C237" s="25"/>
      <c r="D237" s="25"/>
      <c r="E237" s="20">
        <f>#VALUE!</f>
        <v>0</v>
      </c>
      <c r="F237" s="25"/>
      <c r="G237" s="25"/>
      <c r="H237" s="17"/>
    </row>
    <row r="238" spans="1:8">
      <c r="A238" s="29" t="s">
        <v>271</v>
      </c>
      <c r="B238" s="18"/>
      <c r="C238" s="18"/>
      <c r="D238" s="18"/>
      <c r="E238" s="18"/>
      <c r="F238" s="18"/>
      <c r="G238" s="18"/>
      <c r="H238" s="17"/>
    </row>
    <row r="239" spans="1:8">
      <c r="A239" s="4" t="s">
        <v>217</v>
      </c>
      <c r="B239" s="22">
        <f>#VALUE!</f>
        <v>0</v>
      </c>
      <c r="C239" s="22">
        <f>#VALUE!</f>
        <v>0</v>
      </c>
      <c r="D239" s="22">
        <f>#VALUE!</f>
        <v>0</v>
      </c>
      <c r="E239" s="20">
        <f>#VALUE!</f>
        <v>0</v>
      </c>
      <c r="F239" s="25"/>
      <c r="G239" s="25"/>
      <c r="H239" s="17"/>
    </row>
    <row r="240" spans="1:8">
      <c r="A240" s="4" t="s">
        <v>272</v>
      </c>
      <c r="B240" s="22">
        <f>#VALUE!</f>
        <v>0</v>
      </c>
      <c r="C240" s="22">
        <f>#VALUE!</f>
        <v>0</v>
      </c>
      <c r="D240" s="22">
        <f>#VALUE!</f>
        <v>0</v>
      </c>
      <c r="E240" s="20">
        <f>#VALUE!</f>
        <v>0</v>
      </c>
      <c r="F240" s="25"/>
      <c r="G240" s="25"/>
      <c r="H240" s="17"/>
    </row>
    <row r="241" spans="1:8">
      <c r="A241" s="4" t="s">
        <v>273</v>
      </c>
      <c r="B241" s="22">
        <f>#VALUE!</f>
        <v>0</v>
      </c>
      <c r="C241" s="22">
        <f>#VALUE!</f>
        <v>0</v>
      </c>
      <c r="D241" s="22">
        <f>#VALUE!</f>
        <v>0</v>
      </c>
      <c r="E241" s="20">
        <f>#VALUE!</f>
        <v>0</v>
      </c>
      <c r="F241" s="25"/>
      <c r="G241" s="25"/>
      <c r="H241" s="17"/>
    </row>
    <row r="242" spans="1:8">
      <c r="A242" s="29" t="s">
        <v>274</v>
      </c>
      <c r="B242" s="18"/>
      <c r="C242" s="18"/>
      <c r="D242" s="18"/>
      <c r="E242" s="18"/>
      <c r="F242" s="18"/>
      <c r="G242" s="18"/>
      <c r="H242" s="17"/>
    </row>
    <row r="243" spans="1:8">
      <c r="A243" s="4" t="s">
        <v>182</v>
      </c>
      <c r="B243" s="22">
        <f>#VALUE!</f>
        <v>0</v>
      </c>
      <c r="C243" s="25"/>
      <c r="D243" s="25"/>
      <c r="E243" s="20">
        <f>#VALUE!</f>
        <v>0</v>
      </c>
      <c r="F243" s="25"/>
      <c r="G243" s="25"/>
      <c r="H243" s="17"/>
    </row>
    <row r="244" spans="1:8">
      <c r="A244" s="4" t="s">
        <v>275</v>
      </c>
      <c r="B244" s="22">
        <f>#VALUE!</f>
        <v>0</v>
      </c>
      <c r="C244" s="25"/>
      <c r="D244" s="25"/>
      <c r="E244" s="20">
        <f>#VALUE!</f>
        <v>0</v>
      </c>
      <c r="F244" s="25"/>
      <c r="G244" s="25"/>
      <c r="H244" s="17"/>
    </row>
    <row r="245" spans="1:8">
      <c r="A245" s="4" t="s">
        <v>276</v>
      </c>
      <c r="B245" s="22">
        <f>#VALUE!</f>
        <v>0</v>
      </c>
      <c r="C245" s="25"/>
      <c r="D245" s="25"/>
      <c r="E245" s="20">
        <f>#VALUE!</f>
        <v>0</v>
      </c>
      <c r="F245" s="25"/>
      <c r="G245" s="25"/>
      <c r="H245" s="17"/>
    </row>
    <row r="246" spans="1:8">
      <c r="A246" s="29" t="s">
        <v>277</v>
      </c>
      <c r="B246" s="18"/>
      <c r="C246" s="18"/>
      <c r="D246" s="18"/>
      <c r="E246" s="18"/>
      <c r="F246" s="18"/>
      <c r="G246" s="18"/>
      <c r="H246" s="17"/>
    </row>
    <row r="247" spans="1:8">
      <c r="A247" s="4" t="s">
        <v>183</v>
      </c>
      <c r="B247" s="22">
        <f>#VALUE!</f>
        <v>0</v>
      </c>
      <c r="C247" s="25"/>
      <c r="D247" s="25"/>
      <c r="E247" s="20">
        <f>#VALUE!</f>
        <v>0</v>
      </c>
      <c r="F247" s="25"/>
      <c r="G247" s="25"/>
      <c r="H247" s="17"/>
    </row>
    <row r="248" spans="1:8">
      <c r="A248" s="4" t="s">
        <v>278</v>
      </c>
      <c r="B248" s="22">
        <f>#VALUE!</f>
        <v>0</v>
      </c>
      <c r="C248" s="25"/>
      <c r="D248" s="25"/>
      <c r="E248" s="20">
        <f>#VALUE!</f>
        <v>0</v>
      </c>
      <c r="F248" s="25"/>
      <c r="G248" s="25"/>
      <c r="H248" s="17"/>
    </row>
    <row r="249" spans="1:8">
      <c r="A249" s="29" t="s">
        <v>279</v>
      </c>
      <c r="B249" s="18"/>
      <c r="C249" s="18"/>
      <c r="D249" s="18"/>
      <c r="E249" s="18"/>
      <c r="F249" s="18"/>
      <c r="G249" s="18"/>
      <c r="H249" s="17"/>
    </row>
    <row r="250" spans="1:8">
      <c r="A250" s="4" t="s">
        <v>184</v>
      </c>
      <c r="B250" s="22">
        <f>#VALUE!</f>
        <v>0</v>
      </c>
      <c r="C250" s="25"/>
      <c r="D250" s="25"/>
      <c r="E250" s="20">
        <f>#VALUE!</f>
        <v>0</v>
      </c>
      <c r="F250" s="25"/>
      <c r="G250" s="22">
        <f>#VALUE!</f>
        <v>0</v>
      </c>
      <c r="H250" s="17"/>
    </row>
    <row r="251" spans="1:8">
      <c r="A251" s="4" t="s">
        <v>280</v>
      </c>
      <c r="B251" s="22">
        <f>#VALUE!</f>
        <v>0</v>
      </c>
      <c r="C251" s="25"/>
      <c r="D251" s="25"/>
      <c r="E251" s="20">
        <f>#VALUE!</f>
        <v>0</v>
      </c>
      <c r="F251" s="25"/>
      <c r="G251" s="22">
        <f>#VALUE!</f>
        <v>0</v>
      </c>
      <c r="H251" s="17"/>
    </row>
    <row r="252" spans="1:8">
      <c r="A252" s="4" t="s">
        <v>281</v>
      </c>
      <c r="B252" s="22">
        <f>#VALUE!</f>
        <v>0</v>
      </c>
      <c r="C252" s="25"/>
      <c r="D252" s="25"/>
      <c r="E252" s="20">
        <f>#VALUE!</f>
        <v>0</v>
      </c>
      <c r="F252" s="25"/>
      <c r="G252" s="22">
        <f>#VALUE!</f>
        <v>0</v>
      </c>
      <c r="H252" s="17"/>
    </row>
    <row r="253" spans="1:8">
      <c r="A253" s="29" t="s">
        <v>282</v>
      </c>
      <c r="B253" s="18"/>
      <c r="C253" s="18"/>
      <c r="D253" s="18"/>
      <c r="E253" s="18"/>
      <c r="F253" s="18"/>
      <c r="G253" s="18"/>
      <c r="H253" s="17"/>
    </row>
    <row r="254" spans="1:8">
      <c r="A254" s="4" t="s">
        <v>185</v>
      </c>
      <c r="B254" s="22">
        <f>#VALUE!</f>
        <v>0</v>
      </c>
      <c r="C254" s="22">
        <f>#VALUE!</f>
        <v>0</v>
      </c>
      <c r="D254" s="22">
        <f>#VALUE!</f>
        <v>0</v>
      </c>
      <c r="E254" s="20">
        <f>#VALUE!</f>
        <v>0</v>
      </c>
      <c r="F254" s="25"/>
      <c r="G254" s="22">
        <f>#VALUE!</f>
        <v>0</v>
      </c>
      <c r="H254" s="17"/>
    </row>
    <row r="255" spans="1:8">
      <c r="A255" s="4" t="s">
        <v>283</v>
      </c>
      <c r="B255" s="22">
        <f>#VALUE!</f>
        <v>0</v>
      </c>
      <c r="C255" s="22">
        <f>#VALUE!</f>
        <v>0</v>
      </c>
      <c r="D255" s="22">
        <f>#VALUE!</f>
        <v>0</v>
      </c>
      <c r="E255" s="20">
        <f>#VALUE!</f>
        <v>0</v>
      </c>
      <c r="F255" s="25"/>
      <c r="G255" s="22">
        <f>#VALUE!</f>
        <v>0</v>
      </c>
      <c r="H255" s="17"/>
    </row>
    <row r="256" spans="1:8">
      <c r="A256" s="4" t="s">
        <v>284</v>
      </c>
      <c r="B256" s="22">
        <f>#VALUE!</f>
        <v>0</v>
      </c>
      <c r="C256" s="22">
        <f>#VALUE!</f>
        <v>0</v>
      </c>
      <c r="D256" s="22">
        <f>#VALUE!</f>
        <v>0</v>
      </c>
      <c r="E256" s="20">
        <f>#VALUE!</f>
        <v>0</v>
      </c>
      <c r="F256" s="25"/>
      <c r="G256" s="22">
        <f>#VALUE!</f>
        <v>0</v>
      </c>
      <c r="H256" s="17"/>
    </row>
    <row r="257" spans="1:8">
      <c r="A257" s="29" t="s">
        <v>285</v>
      </c>
      <c r="B257" s="18"/>
      <c r="C257" s="18"/>
      <c r="D257" s="18"/>
      <c r="E257" s="18"/>
      <c r="F257" s="18"/>
      <c r="G257" s="18"/>
      <c r="H257" s="17"/>
    </row>
    <row r="258" spans="1:8">
      <c r="A258" s="4" t="s">
        <v>186</v>
      </c>
      <c r="B258" s="22">
        <f>#VALUE!</f>
        <v>0</v>
      </c>
      <c r="C258" s="25"/>
      <c r="D258" s="25"/>
      <c r="E258" s="20">
        <f>#VALUE!</f>
        <v>0</v>
      </c>
      <c r="F258" s="25"/>
      <c r="G258" s="22">
        <f>#VALUE!</f>
        <v>0</v>
      </c>
      <c r="H258" s="17"/>
    </row>
    <row r="259" spans="1:8">
      <c r="A259" s="4" t="s">
        <v>286</v>
      </c>
      <c r="B259" s="22">
        <f>#VALUE!</f>
        <v>0</v>
      </c>
      <c r="C259" s="25"/>
      <c r="D259" s="25"/>
      <c r="E259" s="20">
        <f>#VALUE!</f>
        <v>0</v>
      </c>
      <c r="F259" s="25"/>
      <c r="G259" s="22">
        <f>#VALUE!</f>
        <v>0</v>
      </c>
      <c r="H259" s="17"/>
    </row>
    <row r="260" spans="1:8">
      <c r="A260" s="29" t="s">
        <v>287</v>
      </c>
      <c r="B260" s="18"/>
      <c r="C260" s="18"/>
      <c r="D260" s="18"/>
      <c r="E260" s="18"/>
      <c r="F260" s="18"/>
      <c r="G260" s="18"/>
      <c r="H260" s="17"/>
    </row>
    <row r="261" spans="1:8">
      <c r="A261" s="4" t="s">
        <v>187</v>
      </c>
      <c r="B261" s="22">
        <f>#VALUE!</f>
        <v>0</v>
      </c>
      <c r="C261" s="22">
        <f>#VALUE!</f>
        <v>0</v>
      </c>
      <c r="D261" s="22">
        <f>#VALUE!</f>
        <v>0</v>
      </c>
      <c r="E261" s="20">
        <f>#VALUE!</f>
        <v>0</v>
      </c>
      <c r="F261" s="25"/>
      <c r="G261" s="22">
        <f>#VALUE!</f>
        <v>0</v>
      </c>
      <c r="H261" s="17"/>
    </row>
    <row r="262" spans="1:8">
      <c r="A262" s="4" t="s">
        <v>288</v>
      </c>
      <c r="B262" s="22">
        <f>#VALUE!</f>
        <v>0</v>
      </c>
      <c r="C262" s="22">
        <f>#VALUE!</f>
        <v>0</v>
      </c>
      <c r="D262" s="22">
        <f>#VALUE!</f>
        <v>0</v>
      </c>
      <c r="E262" s="20">
        <f>#VALUE!</f>
        <v>0</v>
      </c>
      <c r="F262" s="25"/>
      <c r="G262" s="22">
        <f>#VALUE!</f>
        <v>0</v>
      </c>
      <c r="H262" s="17"/>
    </row>
    <row r="263" spans="1:8">
      <c r="A263" s="29" t="s">
        <v>289</v>
      </c>
      <c r="B263" s="18"/>
      <c r="C263" s="18"/>
      <c r="D263" s="18"/>
      <c r="E263" s="18"/>
      <c r="F263" s="18"/>
      <c r="G263" s="18"/>
      <c r="H263" s="17"/>
    </row>
    <row r="264" spans="1:8">
      <c r="A264" s="4" t="s">
        <v>194</v>
      </c>
      <c r="B264" s="22">
        <f>#VALUE!</f>
        <v>0</v>
      </c>
      <c r="C264" s="25"/>
      <c r="D264" s="25"/>
      <c r="E264" s="20">
        <f>#VALUE!</f>
        <v>0</v>
      </c>
      <c r="F264" s="25"/>
      <c r="G264" s="22">
        <f>#VALUE!</f>
        <v>0</v>
      </c>
      <c r="H264" s="17"/>
    </row>
    <row r="265" spans="1:8">
      <c r="A265" s="4" t="s">
        <v>290</v>
      </c>
      <c r="B265" s="22">
        <f>#VALUE!</f>
        <v>0</v>
      </c>
      <c r="C265" s="25"/>
      <c r="D265" s="25"/>
      <c r="E265" s="20">
        <f>#VALUE!</f>
        <v>0</v>
      </c>
      <c r="F265" s="25"/>
      <c r="G265" s="22">
        <f>#VALUE!</f>
        <v>0</v>
      </c>
      <c r="H265" s="17"/>
    </row>
    <row r="266" spans="1:8">
      <c r="A266" s="29" t="s">
        <v>291</v>
      </c>
      <c r="B266" s="18"/>
      <c r="C266" s="18"/>
      <c r="D266" s="18"/>
      <c r="E266" s="18"/>
      <c r="F266" s="18"/>
      <c r="G266" s="18"/>
      <c r="H266" s="17"/>
    </row>
    <row r="267" spans="1:8">
      <c r="A267" s="4" t="s">
        <v>195</v>
      </c>
      <c r="B267" s="22">
        <f>#VALUE!</f>
        <v>0</v>
      </c>
      <c r="C267" s="22">
        <f>#VALUE!</f>
        <v>0</v>
      </c>
      <c r="D267" s="22">
        <f>#VALUE!</f>
        <v>0</v>
      </c>
      <c r="E267" s="20">
        <f>#VALUE!</f>
        <v>0</v>
      </c>
      <c r="F267" s="25"/>
      <c r="G267" s="22">
        <f>#VALUE!</f>
        <v>0</v>
      </c>
      <c r="H267" s="17"/>
    </row>
    <row r="268" spans="1:8">
      <c r="A268" s="4" t="s">
        <v>292</v>
      </c>
      <c r="B268" s="22">
        <f>#VALUE!</f>
        <v>0</v>
      </c>
      <c r="C268" s="22">
        <f>#VALUE!</f>
        <v>0</v>
      </c>
      <c r="D268" s="22">
        <f>#VALUE!</f>
        <v>0</v>
      </c>
      <c r="E268" s="20">
        <f>#VALUE!</f>
        <v>0</v>
      </c>
      <c r="F268" s="25"/>
      <c r="G268" s="22">
        <f>#VALUE!</f>
        <v>0</v>
      </c>
      <c r="H268" s="17"/>
    </row>
    <row r="270" spans="1:8" ht="21" customHeight="1">
      <c r="A270" s="1" t="s">
        <v>293</v>
      </c>
    </row>
    <row r="271" spans="1:8">
      <c r="A271" s="2" t="s">
        <v>219</v>
      </c>
    </row>
    <row r="273" spans="1:10">
      <c r="B273" s="15" t="s">
        <v>294</v>
      </c>
    </row>
    <row r="274" spans="1:10">
      <c r="A274" s="4" t="s">
        <v>295</v>
      </c>
      <c r="B274" s="20">
        <f>#VALUE!</f>
        <v>0</v>
      </c>
      <c r="C274" s="17"/>
    </row>
    <row r="276" spans="1:10" ht="21" customHeight="1">
      <c r="A276" s="1" t="s">
        <v>296</v>
      </c>
    </row>
    <row r="278" spans="1:10">
      <c r="B278" s="15" t="s">
        <v>297</v>
      </c>
      <c r="C278" s="15" t="s">
        <v>298</v>
      </c>
      <c r="D278" s="15" t="s">
        <v>299</v>
      </c>
      <c r="E278" s="15" t="s">
        <v>300</v>
      </c>
    </row>
    <row r="279" spans="1:10">
      <c r="A279" s="4" t="s">
        <v>301</v>
      </c>
      <c r="B279" s="20">
        <f>#VALUE!</f>
        <v>0</v>
      </c>
      <c r="C279" s="20">
        <f>#VALUE!</f>
        <v>0</v>
      </c>
      <c r="D279" s="27">
        <f>#VALUE!</f>
        <v>0</v>
      </c>
      <c r="E279" s="20">
        <f>#VALUE!</f>
        <v>0</v>
      </c>
      <c r="F279" s="17"/>
    </row>
    <row r="281" spans="1:10" ht="21" customHeight="1">
      <c r="A281" s="1" t="s">
        <v>302</v>
      </c>
    </row>
    <row r="282" spans="1:10">
      <c r="A282" s="2" t="s">
        <v>303</v>
      </c>
    </row>
    <row r="283" spans="1:10">
      <c r="A283" s="2" t="s">
        <v>304</v>
      </c>
    </row>
    <row r="284" spans="1:10">
      <c r="A284" s="2" t="s">
        <v>305</v>
      </c>
    </row>
    <row r="286" spans="1:10">
      <c r="B286" s="15" t="s">
        <v>306</v>
      </c>
      <c r="C286" s="15" t="s">
        <v>307</v>
      </c>
      <c r="D286" s="15" t="s">
        <v>308</v>
      </c>
      <c r="E286" s="15" t="s">
        <v>309</v>
      </c>
      <c r="F286" s="15" t="s">
        <v>310</v>
      </c>
      <c r="G286" s="15" t="s">
        <v>311</v>
      </c>
      <c r="H286" s="15" t="s">
        <v>312</v>
      </c>
      <c r="I286" s="15" t="s">
        <v>313</v>
      </c>
    </row>
    <row r="287" spans="1:10">
      <c r="A287" s="4" t="s">
        <v>314</v>
      </c>
      <c r="B287" s="27">
        <f>#VALUE!</f>
        <v>0</v>
      </c>
      <c r="C287" s="27">
        <f>#VALUE!</f>
        <v>0</v>
      </c>
      <c r="D287" s="27">
        <f>#VALUE!</f>
        <v>0</v>
      </c>
      <c r="E287" s="27">
        <f>#VALUE!</f>
        <v>0</v>
      </c>
      <c r="F287" s="27">
        <f>#VALUE!</f>
        <v>0</v>
      </c>
      <c r="G287" s="27">
        <f>#VALUE!</f>
        <v>0</v>
      </c>
      <c r="H287" s="27">
        <f>#VALUE!</f>
        <v>0</v>
      </c>
      <c r="I287" s="27">
        <f>#VALUE!</f>
        <v>0</v>
      </c>
      <c r="J287" s="17"/>
    </row>
    <row r="288" spans="1:10">
      <c r="A288" s="4" t="s">
        <v>315</v>
      </c>
      <c r="B288" s="27">
        <f>#VALUE!</f>
        <v>0</v>
      </c>
      <c r="C288" s="27">
        <f>#VALUE!</f>
        <v>0</v>
      </c>
      <c r="D288" s="27">
        <f>#VALUE!</f>
        <v>0</v>
      </c>
      <c r="E288" s="27">
        <f>#VALUE!</f>
        <v>0</v>
      </c>
      <c r="F288" s="27">
        <f>#VALUE!</f>
        <v>0</v>
      </c>
      <c r="G288" s="27">
        <f>#VALUE!</f>
        <v>0</v>
      </c>
      <c r="H288" s="27">
        <f>#VALUE!</f>
        <v>0</v>
      </c>
      <c r="I288" s="25"/>
      <c r="J288" s="17"/>
    </row>
    <row r="289" spans="1:10">
      <c r="A289" s="4" t="s">
        <v>316</v>
      </c>
      <c r="B289" s="27">
        <f>#VALUE!</f>
        <v>0</v>
      </c>
      <c r="C289" s="27">
        <f>#VALUE!</f>
        <v>0</v>
      </c>
      <c r="D289" s="27">
        <f>#VALUE!</f>
        <v>0</v>
      </c>
      <c r="E289" s="27">
        <f>#VALUE!</f>
        <v>0</v>
      </c>
      <c r="F289" s="27">
        <f>#VALUE!</f>
        <v>0</v>
      </c>
      <c r="G289" s="27">
        <f>#VALUE!</f>
        <v>0</v>
      </c>
      <c r="H289" s="25"/>
      <c r="I289" s="25"/>
      <c r="J289" s="17"/>
    </row>
    <row r="290" spans="1:10">
      <c r="A290" s="4" t="s">
        <v>317</v>
      </c>
      <c r="B290" s="27">
        <f>#VALUE!</f>
        <v>0</v>
      </c>
      <c r="C290" s="27">
        <f>#VALUE!</f>
        <v>0</v>
      </c>
      <c r="D290" s="27">
        <f>#VALUE!</f>
        <v>0</v>
      </c>
      <c r="E290" s="27">
        <f>#VALUE!</f>
        <v>0</v>
      </c>
      <c r="F290" s="25"/>
      <c r="G290" s="25"/>
      <c r="H290" s="25"/>
      <c r="I290" s="25"/>
      <c r="J290" s="17"/>
    </row>
    <row r="292" spans="1:10" ht="21" customHeight="1">
      <c r="A292" s="1" t="s">
        <v>318</v>
      </c>
    </row>
    <row r="294" spans="1:10">
      <c r="B294" s="15" t="s">
        <v>319</v>
      </c>
      <c r="C294" s="15" t="s">
        <v>320</v>
      </c>
      <c r="D294" s="15" t="s">
        <v>321</v>
      </c>
    </row>
    <row r="295" spans="1:10">
      <c r="A295" s="4" t="s">
        <v>174</v>
      </c>
      <c r="B295" s="27">
        <f>#VALUE!</f>
        <v>0</v>
      </c>
      <c r="C295" s="27">
        <f>#VALUE!</f>
        <v>0</v>
      </c>
      <c r="D295" s="27">
        <f>#VALUE!</f>
        <v>0</v>
      </c>
      <c r="E295" s="17"/>
    </row>
    <row r="296" spans="1:10">
      <c r="A296" s="4" t="s">
        <v>175</v>
      </c>
      <c r="B296" s="27">
        <f>#VALUE!</f>
        <v>0</v>
      </c>
      <c r="C296" s="27">
        <f>#VALUE!</f>
        <v>0</v>
      </c>
      <c r="D296" s="27">
        <f>#VALUE!</f>
        <v>0</v>
      </c>
      <c r="E296" s="17"/>
    </row>
    <row r="297" spans="1:10">
      <c r="A297" s="4" t="s">
        <v>211</v>
      </c>
      <c r="B297" s="27">
        <f>#VALUE!</f>
        <v>0</v>
      </c>
      <c r="C297" s="27">
        <f>#VALUE!</f>
        <v>0</v>
      </c>
      <c r="D297" s="27">
        <f>#VALUE!</f>
        <v>0</v>
      </c>
      <c r="E297" s="17"/>
    </row>
    <row r="298" spans="1:10">
      <c r="A298" s="4" t="s">
        <v>176</v>
      </c>
      <c r="B298" s="27">
        <f>#VALUE!</f>
        <v>0</v>
      </c>
      <c r="C298" s="27">
        <f>#VALUE!</f>
        <v>0</v>
      </c>
      <c r="D298" s="27">
        <f>#VALUE!</f>
        <v>0</v>
      </c>
      <c r="E298" s="17"/>
    </row>
    <row r="299" spans="1:10">
      <c r="A299" s="4" t="s">
        <v>177</v>
      </c>
      <c r="B299" s="27">
        <f>#VALUE!</f>
        <v>0</v>
      </c>
      <c r="C299" s="27">
        <f>#VALUE!</f>
        <v>0</v>
      </c>
      <c r="D299" s="27">
        <f>#VALUE!</f>
        <v>0</v>
      </c>
      <c r="E299" s="17"/>
    </row>
    <row r="300" spans="1:10">
      <c r="A300" s="4" t="s">
        <v>212</v>
      </c>
      <c r="B300" s="27">
        <f>#VALUE!</f>
        <v>0</v>
      </c>
      <c r="C300" s="27">
        <f>#VALUE!</f>
        <v>0</v>
      </c>
      <c r="D300" s="27">
        <f>#VALUE!</f>
        <v>0</v>
      </c>
      <c r="E300" s="17"/>
    </row>
    <row r="302" spans="1:10" ht="21" customHeight="1">
      <c r="A302" s="1" t="s">
        <v>322</v>
      </c>
    </row>
    <row r="304" spans="1:10">
      <c r="B304" s="15" t="s">
        <v>319</v>
      </c>
      <c r="C304" s="15" t="s">
        <v>320</v>
      </c>
      <c r="D304" s="15" t="s">
        <v>321</v>
      </c>
    </row>
    <row r="305" spans="1:5">
      <c r="A305" s="4" t="s">
        <v>175</v>
      </c>
      <c r="B305" s="27">
        <f>#VALUE!</f>
        <v>0</v>
      </c>
      <c r="C305" s="27">
        <f>#VALUE!</f>
        <v>0</v>
      </c>
      <c r="D305" s="27">
        <f>#VALUE!</f>
        <v>0</v>
      </c>
      <c r="E305" s="17"/>
    </row>
    <row r="306" spans="1:5">
      <c r="A306" s="4" t="s">
        <v>177</v>
      </c>
      <c r="B306" s="27">
        <f>#VALUE!</f>
        <v>0</v>
      </c>
      <c r="C306" s="27">
        <f>#VALUE!</f>
        <v>0</v>
      </c>
      <c r="D306" s="27">
        <f>#VALUE!</f>
        <v>0</v>
      </c>
      <c r="E306" s="17"/>
    </row>
    <row r="308" spans="1:5" ht="21" customHeight="1">
      <c r="A308" s="1" t="s">
        <v>323</v>
      </c>
    </row>
    <row r="310" spans="1:5">
      <c r="B310" s="15" t="s">
        <v>324</v>
      </c>
      <c r="C310" s="15" t="s">
        <v>325</v>
      </c>
      <c r="D310" s="15" t="s">
        <v>321</v>
      </c>
    </row>
    <row r="311" spans="1:5">
      <c r="A311" s="4" t="s">
        <v>213</v>
      </c>
      <c r="B311" s="27">
        <f>#VALUE!</f>
        <v>0</v>
      </c>
      <c r="C311" s="27">
        <f>#VALUE!</f>
        <v>0</v>
      </c>
      <c r="D311" s="27">
        <f>#VALUE!</f>
        <v>0</v>
      </c>
      <c r="E311" s="17"/>
    </row>
    <row r="312" spans="1:5">
      <c r="A312" s="4" t="s">
        <v>214</v>
      </c>
      <c r="B312" s="27">
        <f>#VALUE!</f>
        <v>0</v>
      </c>
      <c r="C312" s="27">
        <f>#VALUE!</f>
        <v>0</v>
      </c>
      <c r="D312" s="27">
        <f>#VALUE!</f>
        <v>0</v>
      </c>
      <c r="E312" s="17"/>
    </row>
    <row r="313" spans="1:5">
      <c r="A313" s="4" t="s">
        <v>215</v>
      </c>
      <c r="B313" s="27">
        <f>#VALUE!</f>
        <v>0</v>
      </c>
      <c r="C313" s="27">
        <f>#VALUE!</f>
        <v>0</v>
      </c>
      <c r="D313" s="27">
        <f>#VALUE!</f>
        <v>0</v>
      </c>
      <c r="E313" s="17"/>
    </row>
    <row r="314" spans="1:5">
      <c r="A314" s="4" t="s">
        <v>216</v>
      </c>
      <c r="B314" s="27">
        <f>#VALUE!</f>
        <v>0</v>
      </c>
      <c r="C314" s="27">
        <f>#VALUE!</f>
        <v>0</v>
      </c>
      <c r="D314" s="27">
        <f>#VALUE!</f>
        <v>0</v>
      </c>
      <c r="E314" s="17"/>
    </row>
    <row r="316" spans="1:5" ht="21" customHeight="1">
      <c r="A316" s="1" t="s">
        <v>326</v>
      </c>
    </row>
    <row r="317" spans="1:5">
      <c r="A317" s="2" t="s">
        <v>327</v>
      </c>
    </row>
    <row r="318" spans="1:5">
      <c r="A318" s="2" t="s">
        <v>328</v>
      </c>
    </row>
    <row r="320" spans="1:5">
      <c r="B320" s="15" t="s">
        <v>324</v>
      </c>
      <c r="C320" s="15" t="s">
        <v>325</v>
      </c>
      <c r="D320" s="15" t="s">
        <v>321</v>
      </c>
    </row>
    <row r="321" spans="1:6">
      <c r="A321" s="4" t="s">
        <v>329</v>
      </c>
      <c r="B321" s="30">
        <f>#VALUE!</f>
        <v>0</v>
      </c>
      <c r="C321" s="30">
        <f>#VALUE!</f>
        <v>0</v>
      </c>
      <c r="D321" s="30">
        <f>#VALUE!</f>
        <v>0</v>
      </c>
      <c r="E321" s="17"/>
    </row>
    <row r="323" spans="1:6" ht="21" customHeight="1">
      <c r="A323" s="1" t="s">
        <v>330</v>
      </c>
    </row>
    <row r="324" spans="1:6">
      <c r="A324" s="2" t="s">
        <v>327</v>
      </c>
    </row>
    <row r="325" spans="1:6">
      <c r="A325" s="2" t="s">
        <v>328</v>
      </c>
    </row>
    <row r="327" spans="1:6">
      <c r="B327" s="15" t="s">
        <v>319</v>
      </c>
      <c r="C327" s="15" t="s">
        <v>320</v>
      </c>
      <c r="D327" s="15" t="s">
        <v>321</v>
      </c>
    </row>
    <row r="328" spans="1:6">
      <c r="A328" s="4" t="s">
        <v>329</v>
      </c>
      <c r="B328" s="30">
        <f>#VALUE!</f>
        <v>0</v>
      </c>
      <c r="C328" s="30">
        <f>#VALUE!</f>
        <v>0</v>
      </c>
      <c r="D328" s="30">
        <f>#VALUE!</f>
        <v>0</v>
      </c>
      <c r="E328" s="17"/>
    </row>
    <row r="330" spans="1:6" ht="21" customHeight="1">
      <c r="A330" s="1" t="s">
        <v>331</v>
      </c>
    </row>
    <row r="331" spans="1:6">
      <c r="A331" s="2" t="s">
        <v>332</v>
      </c>
    </row>
    <row r="333" spans="1:6">
      <c r="B333" s="31" t="s">
        <v>333</v>
      </c>
      <c r="C333" s="31"/>
      <c r="D333" s="31"/>
    </row>
    <row r="334" spans="1:6">
      <c r="B334" s="15" t="s">
        <v>319</v>
      </c>
      <c r="C334" s="15" t="s">
        <v>320</v>
      </c>
      <c r="D334" s="15" t="s">
        <v>321</v>
      </c>
      <c r="E334" s="15" t="s">
        <v>334</v>
      </c>
    </row>
    <row r="335" spans="1:6">
      <c r="A335" s="4" t="s">
        <v>142</v>
      </c>
      <c r="B335" s="27">
        <f>#VALUE!</f>
        <v>0</v>
      </c>
      <c r="C335" s="27">
        <f>#VALUE!</f>
        <v>0</v>
      </c>
      <c r="D335" s="27">
        <f>#VALUE!</f>
        <v>0</v>
      </c>
      <c r="E335" s="27">
        <f>#VALUE!</f>
        <v>0</v>
      </c>
      <c r="F335" s="17"/>
    </row>
    <row r="336" spans="1:6">
      <c r="A336" s="4" t="s">
        <v>143</v>
      </c>
      <c r="B336" s="27">
        <f>#VALUE!</f>
        <v>0</v>
      </c>
      <c r="C336" s="27">
        <f>#VALUE!</f>
        <v>0</v>
      </c>
      <c r="D336" s="27">
        <f>#VALUE!</f>
        <v>0</v>
      </c>
      <c r="E336" s="27">
        <f>#VALUE!</f>
        <v>0</v>
      </c>
      <c r="F336" s="17"/>
    </row>
    <row r="337" spans="1:11">
      <c r="A337" s="4" t="s">
        <v>144</v>
      </c>
      <c r="B337" s="27">
        <f>#VALUE!</f>
        <v>0</v>
      </c>
      <c r="C337" s="27">
        <f>#VALUE!</f>
        <v>0</v>
      </c>
      <c r="D337" s="27">
        <f>#VALUE!</f>
        <v>0</v>
      </c>
      <c r="E337" s="27">
        <f>#VALUE!</f>
        <v>0</v>
      </c>
      <c r="F337" s="17"/>
    </row>
    <row r="338" spans="1:11">
      <c r="A338" s="4" t="s">
        <v>145</v>
      </c>
      <c r="B338" s="27">
        <f>#VALUE!</f>
        <v>0</v>
      </c>
      <c r="C338" s="27">
        <f>#VALUE!</f>
        <v>0</v>
      </c>
      <c r="D338" s="27">
        <f>#VALUE!</f>
        <v>0</v>
      </c>
      <c r="E338" s="27">
        <f>#VALUE!</f>
        <v>0</v>
      </c>
      <c r="F338" s="17"/>
    </row>
    <row r="339" spans="1:11">
      <c r="A339" s="4" t="s">
        <v>146</v>
      </c>
      <c r="B339" s="27">
        <f>#VALUE!</f>
        <v>0</v>
      </c>
      <c r="C339" s="27">
        <f>#VALUE!</f>
        <v>0</v>
      </c>
      <c r="D339" s="27">
        <f>#VALUE!</f>
        <v>0</v>
      </c>
      <c r="E339" s="27">
        <f>#VALUE!</f>
        <v>0</v>
      </c>
      <c r="F339" s="17"/>
    </row>
    <row r="340" spans="1:11">
      <c r="A340" s="4" t="s">
        <v>151</v>
      </c>
      <c r="B340" s="27">
        <f>#VALUE!</f>
        <v>0</v>
      </c>
      <c r="C340" s="27">
        <f>#VALUE!</f>
        <v>0</v>
      </c>
      <c r="D340" s="27">
        <f>#VALUE!</f>
        <v>0</v>
      </c>
      <c r="E340" s="27">
        <f>#VALUE!</f>
        <v>0</v>
      </c>
      <c r="F340" s="17"/>
    </row>
    <row r="341" spans="1:11">
      <c r="A341" s="4" t="s">
        <v>147</v>
      </c>
      <c r="B341" s="27">
        <f>#VALUE!</f>
        <v>0</v>
      </c>
      <c r="C341" s="27">
        <f>#VALUE!</f>
        <v>0</v>
      </c>
      <c r="D341" s="27">
        <f>#VALUE!</f>
        <v>0</v>
      </c>
      <c r="E341" s="27">
        <f>#VALUE!</f>
        <v>0</v>
      </c>
      <c r="F341" s="17"/>
    </row>
    <row r="342" spans="1:11">
      <c r="A342" s="4" t="s">
        <v>148</v>
      </c>
      <c r="B342" s="27">
        <f>#VALUE!</f>
        <v>0</v>
      </c>
      <c r="C342" s="27">
        <f>#VALUE!</f>
        <v>0</v>
      </c>
      <c r="D342" s="27">
        <f>#VALUE!</f>
        <v>0</v>
      </c>
      <c r="E342" s="27">
        <f>#VALUE!</f>
        <v>0</v>
      </c>
      <c r="F342" s="17"/>
    </row>
    <row r="343" spans="1:11">
      <c r="A343" s="4" t="s">
        <v>149</v>
      </c>
      <c r="B343" s="27">
        <f>#VALUE!</f>
        <v>0</v>
      </c>
      <c r="C343" s="27">
        <f>#VALUE!</f>
        <v>0</v>
      </c>
      <c r="D343" s="27">
        <f>#VALUE!</f>
        <v>0</v>
      </c>
      <c r="E343" s="27">
        <f>#VALUE!</f>
        <v>0</v>
      </c>
      <c r="F343" s="17"/>
    </row>
    <row r="345" spans="1:11" ht="21" customHeight="1">
      <c r="A345" s="1" t="s">
        <v>335</v>
      </c>
    </row>
    <row r="346" spans="1:11">
      <c r="A346" s="2" t="s">
        <v>336</v>
      </c>
    </row>
    <row r="347" spans="1:11">
      <c r="A347" s="2" t="s">
        <v>337</v>
      </c>
    </row>
    <row r="349" spans="1:11">
      <c r="B349" s="15" t="s">
        <v>142</v>
      </c>
      <c r="C349" s="15" t="s">
        <v>143</v>
      </c>
      <c r="D349" s="15" t="s">
        <v>144</v>
      </c>
      <c r="E349" s="15" t="s">
        <v>145</v>
      </c>
      <c r="F349" s="15" t="s">
        <v>146</v>
      </c>
      <c r="G349" s="15" t="s">
        <v>151</v>
      </c>
      <c r="H349" s="15" t="s">
        <v>147</v>
      </c>
      <c r="I349" s="15" t="s">
        <v>148</v>
      </c>
      <c r="J349" s="15" t="s">
        <v>149</v>
      </c>
    </row>
    <row r="350" spans="1:11">
      <c r="A350" s="4" t="s">
        <v>338</v>
      </c>
      <c r="B350" s="22">
        <f>#VALUE!</f>
        <v>0</v>
      </c>
      <c r="C350" s="22">
        <f>#VALUE!</f>
        <v>0</v>
      </c>
      <c r="D350" s="22">
        <f>#VALUE!</f>
        <v>0</v>
      </c>
      <c r="E350" s="22">
        <f>#VALUE!</f>
        <v>0</v>
      </c>
      <c r="F350" s="22">
        <f>#VALUE!</f>
        <v>0</v>
      </c>
      <c r="G350" s="22">
        <f>#VALUE!</f>
        <v>0</v>
      </c>
      <c r="H350" s="22">
        <f>#VALUE!</f>
        <v>0</v>
      </c>
      <c r="I350" s="22">
        <f>#VALUE!</f>
        <v>0</v>
      </c>
      <c r="J350" s="22">
        <f>#VALUE!</f>
        <v>0</v>
      </c>
      <c r="K350" s="17"/>
    </row>
    <row r="352" spans="1:11" ht="21" customHeight="1">
      <c r="A352" s="1" t="s">
        <v>339</v>
      </c>
    </row>
    <row r="354" spans="1:9">
      <c r="B354" s="15" t="s">
        <v>340</v>
      </c>
      <c r="C354" s="15" t="s">
        <v>341</v>
      </c>
      <c r="D354" s="15" t="s">
        <v>342</v>
      </c>
      <c r="E354" s="15" t="s">
        <v>343</v>
      </c>
      <c r="F354" s="15" t="s">
        <v>344</v>
      </c>
      <c r="G354" s="15" t="s">
        <v>345</v>
      </c>
      <c r="H354" s="15" t="s">
        <v>346</v>
      </c>
    </row>
    <row r="355" spans="1:9">
      <c r="A355" s="4" t="s">
        <v>174</v>
      </c>
      <c r="B355" s="20">
        <f>#VALUE!</f>
        <v>0</v>
      </c>
      <c r="C355" s="22">
        <f>#VALUE!</f>
        <v>0</v>
      </c>
      <c r="D355" s="25"/>
      <c r="E355" s="25"/>
      <c r="F355" s="32">
        <f>#VALUE!</f>
        <v>0</v>
      </c>
      <c r="G355" s="25"/>
      <c r="H355" s="25"/>
      <c r="I355" s="17"/>
    </row>
    <row r="356" spans="1:9">
      <c r="A356" s="4" t="s">
        <v>175</v>
      </c>
      <c r="B356" s="20">
        <f>#VALUE!</f>
        <v>0</v>
      </c>
      <c r="C356" s="22">
        <f>#VALUE!</f>
        <v>0</v>
      </c>
      <c r="D356" s="22">
        <f>#VALUE!</f>
        <v>0</v>
      </c>
      <c r="E356" s="25"/>
      <c r="F356" s="32">
        <f>#VALUE!</f>
        <v>0</v>
      </c>
      <c r="G356" s="25"/>
      <c r="H356" s="25"/>
      <c r="I356" s="17"/>
    </row>
    <row r="357" spans="1:9">
      <c r="A357" s="4" t="s">
        <v>211</v>
      </c>
      <c r="B357" s="20">
        <f>#VALUE!</f>
        <v>0</v>
      </c>
      <c r="C357" s="22">
        <f>#VALUE!</f>
        <v>0</v>
      </c>
      <c r="D357" s="25"/>
      <c r="E357" s="25"/>
      <c r="F357" s="25"/>
      <c r="G357" s="25"/>
      <c r="H357" s="25"/>
      <c r="I357" s="17"/>
    </row>
    <row r="358" spans="1:9">
      <c r="A358" s="4" t="s">
        <v>176</v>
      </c>
      <c r="B358" s="20">
        <f>#VALUE!</f>
        <v>0</v>
      </c>
      <c r="C358" s="22">
        <f>#VALUE!</f>
        <v>0</v>
      </c>
      <c r="D358" s="25"/>
      <c r="E358" s="25"/>
      <c r="F358" s="32">
        <f>#VALUE!</f>
        <v>0</v>
      </c>
      <c r="G358" s="25"/>
      <c r="H358" s="25"/>
      <c r="I358" s="17"/>
    </row>
    <row r="359" spans="1:9">
      <c r="A359" s="4" t="s">
        <v>177</v>
      </c>
      <c r="B359" s="20">
        <f>#VALUE!</f>
        <v>0</v>
      </c>
      <c r="C359" s="22">
        <f>#VALUE!</f>
        <v>0</v>
      </c>
      <c r="D359" s="22">
        <f>#VALUE!</f>
        <v>0</v>
      </c>
      <c r="E359" s="25"/>
      <c r="F359" s="32">
        <f>#VALUE!</f>
        <v>0</v>
      </c>
      <c r="G359" s="25"/>
      <c r="H359" s="25"/>
      <c r="I359" s="17"/>
    </row>
    <row r="360" spans="1:9">
      <c r="A360" s="4" t="s">
        <v>212</v>
      </c>
      <c r="B360" s="20">
        <f>#VALUE!</f>
        <v>0</v>
      </c>
      <c r="C360" s="22">
        <f>#VALUE!</f>
        <v>0</v>
      </c>
      <c r="D360" s="25"/>
      <c r="E360" s="25"/>
      <c r="F360" s="25"/>
      <c r="G360" s="25"/>
      <c r="H360" s="25"/>
      <c r="I360" s="17"/>
    </row>
    <row r="361" spans="1:9">
      <c r="A361" s="4" t="s">
        <v>178</v>
      </c>
      <c r="B361" s="20">
        <f>#VALUE!</f>
        <v>0</v>
      </c>
      <c r="C361" s="22">
        <f>#VALUE!</f>
        <v>0</v>
      </c>
      <c r="D361" s="22">
        <f>#VALUE!</f>
        <v>0</v>
      </c>
      <c r="E361" s="22">
        <f>#VALUE!</f>
        <v>0</v>
      </c>
      <c r="F361" s="32">
        <f>#VALUE!</f>
        <v>0</v>
      </c>
      <c r="G361" s="25"/>
      <c r="H361" s="25"/>
      <c r="I361" s="17"/>
    </row>
    <row r="362" spans="1:9">
      <c r="A362" s="4" t="s">
        <v>179</v>
      </c>
      <c r="B362" s="20">
        <f>#VALUE!</f>
        <v>0</v>
      </c>
      <c r="C362" s="22">
        <f>#VALUE!</f>
        <v>0</v>
      </c>
      <c r="D362" s="22">
        <f>#VALUE!</f>
        <v>0</v>
      </c>
      <c r="E362" s="22">
        <f>#VALUE!</f>
        <v>0</v>
      </c>
      <c r="F362" s="32">
        <f>#VALUE!</f>
        <v>0</v>
      </c>
      <c r="G362" s="25"/>
      <c r="H362" s="25"/>
      <c r="I362" s="17"/>
    </row>
    <row r="363" spans="1:9">
      <c r="A363" s="4" t="s">
        <v>180</v>
      </c>
      <c r="B363" s="20">
        <f>#VALUE!</f>
        <v>0</v>
      </c>
      <c r="C363" s="22">
        <f>#VALUE!</f>
        <v>0</v>
      </c>
      <c r="D363" s="22">
        <f>#VALUE!</f>
        <v>0</v>
      </c>
      <c r="E363" s="22">
        <f>#VALUE!</f>
        <v>0</v>
      </c>
      <c r="F363" s="32">
        <f>#VALUE!</f>
        <v>0</v>
      </c>
      <c r="G363" s="32">
        <f>#VALUE!</f>
        <v>0</v>
      </c>
      <c r="H363" s="22">
        <f>#VALUE!</f>
        <v>0</v>
      </c>
      <c r="I363" s="17"/>
    </row>
    <row r="364" spans="1:9">
      <c r="A364" s="4" t="s">
        <v>181</v>
      </c>
      <c r="B364" s="20">
        <f>#VALUE!</f>
        <v>0</v>
      </c>
      <c r="C364" s="22">
        <f>#VALUE!</f>
        <v>0</v>
      </c>
      <c r="D364" s="22">
        <f>#VALUE!</f>
        <v>0</v>
      </c>
      <c r="E364" s="22">
        <f>#VALUE!</f>
        <v>0</v>
      </c>
      <c r="F364" s="32">
        <f>#VALUE!</f>
        <v>0</v>
      </c>
      <c r="G364" s="32">
        <f>#VALUE!</f>
        <v>0</v>
      </c>
      <c r="H364" s="22">
        <f>#VALUE!</f>
        <v>0</v>
      </c>
      <c r="I364" s="17"/>
    </row>
    <row r="365" spans="1:9">
      <c r="A365" s="4" t="s">
        <v>193</v>
      </c>
      <c r="B365" s="20">
        <f>#VALUE!</f>
        <v>0</v>
      </c>
      <c r="C365" s="22">
        <f>#VALUE!</f>
        <v>0</v>
      </c>
      <c r="D365" s="22">
        <f>#VALUE!</f>
        <v>0</v>
      </c>
      <c r="E365" s="22">
        <f>#VALUE!</f>
        <v>0</v>
      </c>
      <c r="F365" s="32">
        <f>#VALUE!</f>
        <v>0</v>
      </c>
      <c r="G365" s="32">
        <f>#VALUE!</f>
        <v>0</v>
      </c>
      <c r="H365" s="22">
        <f>#VALUE!</f>
        <v>0</v>
      </c>
      <c r="I365" s="17"/>
    </row>
    <row r="366" spans="1:9">
      <c r="A366" s="4" t="s">
        <v>213</v>
      </c>
      <c r="B366" s="20">
        <f>#VALUE!</f>
        <v>0</v>
      </c>
      <c r="C366" s="22">
        <f>#VALUE!</f>
        <v>0</v>
      </c>
      <c r="D366" s="25"/>
      <c r="E366" s="25"/>
      <c r="F366" s="25"/>
      <c r="G366" s="25"/>
      <c r="H366" s="25"/>
      <c r="I366" s="17"/>
    </row>
    <row r="367" spans="1:9">
      <c r="A367" s="4" t="s">
        <v>214</v>
      </c>
      <c r="B367" s="20">
        <f>#VALUE!</f>
        <v>0</v>
      </c>
      <c r="C367" s="22">
        <f>#VALUE!</f>
        <v>0</v>
      </c>
      <c r="D367" s="25"/>
      <c r="E367" s="25"/>
      <c r="F367" s="25"/>
      <c r="G367" s="25"/>
      <c r="H367" s="25"/>
      <c r="I367" s="17"/>
    </row>
    <row r="368" spans="1:9">
      <c r="A368" s="4" t="s">
        <v>215</v>
      </c>
      <c r="B368" s="20">
        <f>#VALUE!</f>
        <v>0</v>
      </c>
      <c r="C368" s="22">
        <f>#VALUE!</f>
        <v>0</v>
      </c>
      <c r="D368" s="25"/>
      <c r="E368" s="25"/>
      <c r="F368" s="25"/>
      <c r="G368" s="25"/>
      <c r="H368" s="25"/>
      <c r="I368" s="17"/>
    </row>
    <row r="369" spans="1:9">
      <c r="A369" s="4" t="s">
        <v>216</v>
      </c>
      <c r="B369" s="20">
        <f>#VALUE!</f>
        <v>0</v>
      </c>
      <c r="C369" s="22">
        <f>#VALUE!</f>
        <v>0</v>
      </c>
      <c r="D369" s="25"/>
      <c r="E369" s="25"/>
      <c r="F369" s="25"/>
      <c r="G369" s="25"/>
      <c r="H369" s="25"/>
      <c r="I369" s="17"/>
    </row>
    <row r="370" spans="1:9">
      <c r="A370" s="4" t="s">
        <v>217</v>
      </c>
      <c r="B370" s="20">
        <f>#VALUE!</f>
        <v>0</v>
      </c>
      <c r="C370" s="22">
        <f>#VALUE!</f>
        <v>0</v>
      </c>
      <c r="D370" s="22">
        <f>#VALUE!</f>
        <v>0</v>
      </c>
      <c r="E370" s="22">
        <f>#VALUE!</f>
        <v>0</v>
      </c>
      <c r="F370" s="25"/>
      <c r="G370" s="25"/>
      <c r="H370" s="25"/>
      <c r="I370" s="17"/>
    </row>
  </sheetData>
  <sheetProtection sheet="1" objects="1" scenarios="1"/>
  <dataValidations count="319">
    <dataValidation type="decimal" allowBlank="1" showInputMessage="1" showErrorMessage="1" error="The rate of return must be a non-negative percentage value." sqref="B58">
      <formula1>0</formula1>
      <formula2>4</formula2>
    </dataValidation>
    <dataValidation type="decimal" allowBlank="1" showInputMessage="1" showErrorMessage="1" sqref="C58">
      <formula1>0</formula1>
      <formula2>999999</formula2>
    </dataValidation>
    <dataValidation type="decimal" allowBlank="1" showInputMessage="1" showErrorMessage="1" sqref="E58">
      <formula1>0.001</formula1>
      <formula2>1</formula2>
    </dataValidation>
    <dataValidation type="decimal" allowBlank="1" showInputMessage="1" showErrorMessage="1" sqref="F58">
      <formula1>365</formula1>
      <formula2>366</formula2>
    </dataValidation>
    <dataValidation type="decimal" allowBlank="1" showInputMessage="1" showErrorMessage="1" error="Must be a non-negative percentage value." sqref="B68:B75">
      <formula1>0</formula1>
      <formula2>4</formula2>
    </dataValidation>
    <dataValidation type="decimal" allowBlank="1" showInputMessage="1" showErrorMessage="1" error="The proportion of load going through 132kV/HV must be between 0% and 100%." sqref="B80">
      <formula1>0</formula1>
      <formula2>1</formula2>
    </dataValidation>
    <dataValidation type="decimal" allowBlank="1" showInputMessage="1" showErrorMessage="1" sqref="B85">
      <formula1>0.001</formula1>
      <formula2>999999.999</formula2>
    </dataValidation>
    <dataValidation type="decimal" operator="greaterThanOrEqual" allowBlank="1" showInputMessage="1" showErrorMessage="1" sqref="B90:B97">
      <formula1>0</formula1>
    </dataValidation>
    <dataValidation type="decimal" operator="greaterThanOrEqual" allowBlank="1" showInputMessage="1" showErrorMessage="1" sqref="B102:I102">
      <formula1>0</formula1>
    </dataValidation>
    <dataValidation type="decimal" operator="greaterThanOrEqual" allowBlank="1" showInputMessage="1" showErrorMessage="1" sqref="B107:F107">
      <formula1>0</formula1>
    </dataValidation>
    <dataValidation type="decimal" allowBlank="1" showInputMessage="1" showErrorMessage="1" error="The number in this cell must be between 0% and 100%." sqref="B112:I125">
      <formula1>0</formula1>
      <formula2>1</formula2>
    </dataValidation>
    <dataValidation type="decimal" operator="greaterThanOrEqual" allowBlank="1" showInputMessage="1" showErrorMessage="1" sqref="B132:I132">
      <formula1>0</formula1>
    </dataValidation>
    <dataValidation type="decimal" allowBlank="1" showInputMessage="1" showErrorMessage="1" error="The number in this cell must be between 0% and 100%." sqref="B137:F139">
      <formula1>0</formula1>
      <formula2>1</formula2>
    </dataValidation>
    <dataValidation type="decimal" operator="greaterThan" allowBlank="1" showInputMessage="1" showErrorMessage="1" sqref="B145:H145">
      <formula1>0</formula1>
    </dataValidation>
    <dataValidation type="decimal" allowBlank="1" showInputMessage="1" showErrorMessage="1" error="The LDNO discount must be between 0% and 100%." sqref="B151:F151">
      <formula1>0</formula1>
      <formula2>1</formula2>
    </dataValidation>
    <dataValidation type="decimal" allowBlank="1" showInputMessage="1" showErrorMessage="1" error="The coincidence factor must be between 0% and 100%." sqref="B157:B172">
      <formula1>0</formula1>
      <formula2>1</formula2>
    </dataValidation>
    <dataValidation type="decimal" allowBlank="1" showInputMessage="1" showErrorMessage="1" error="The load factor must be between 0% and 100%." sqref="C157:C172">
      <formula1>0</formula1>
      <formula2>1</formula2>
    </dataValidation>
    <dataValidation type="textLength" operator="equal" allowBlank="1" showInputMessage="1" showErrorMessage="1" error="This cell should remain blank." sqref="B180">
      <formula1>0</formula1>
    </dataValidation>
    <dataValidation type="decimal" operator="greaterThanOrEqual" allowBlank="1" showInputMessage="1" showErrorMessage="1" errorTitle="Volume data error" error="The volume must be a non-negative number." sqref="B181:B183">
      <formula1>0</formula1>
    </dataValidation>
    <dataValidation type="textLength" operator="equal" allowBlank="1" showInputMessage="1" showErrorMessage="1" error="This cell should remain blank." sqref="B184">
      <formula1>0</formula1>
    </dataValidation>
    <dataValidation type="decimal" operator="greaterThanOrEqual" allowBlank="1" showInputMessage="1" showErrorMessage="1" errorTitle="Volume data error" error="The volume must be a non-negative number." sqref="B185:B187">
      <formula1>0</formula1>
    </dataValidation>
    <dataValidation type="textLength" operator="equal" allowBlank="1" showInputMessage="1" showErrorMessage="1" error="This cell should remain blank." sqref="B188">
      <formula1>0</formula1>
    </dataValidation>
    <dataValidation type="decimal" operator="greaterThanOrEqual" allowBlank="1" showInputMessage="1" showErrorMessage="1" errorTitle="Volume data error" error="The volume must be a non-negative number." sqref="B189:B191">
      <formula1>0</formula1>
    </dataValidation>
    <dataValidation type="textLength" operator="equal" allowBlank="1" showInputMessage="1" showErrorMessage="1" error="This cell should remain blank." sqref="B192">
      <formula1>0</formula1>
    </dataValidation>
    <dataValidation type="decimal" operator="greaterThanOrEqual" allowBlank="1" showInputMessage="1" showErrorMessage="1" errorTitle="Volume data error" error="The volume must be a non-negative number." sqref="B193:B195">
      <formula1>0</formula1>
    </dataValidation>
    <dataValidation type="textLength" operator="equal" allowBlank="1" showInputMessage="1" showErrorMessage="1" error="This cell should remain blank." sqref="B196">
      <formula1>0</formula1>
    </dataValidation>
    <dataValidation type="decimal" operator="greaterThanOrEqual" allowBlank="1" showInputMessage="1" showErrorMessage="1" errorTitle="Volume data error" error="The volume must be a non-negative number." sqref="B197:B199">
      <formula1>0</formula1>
    </dataValidation>
    <dataValidation type="textLength" operator="equal" allowBlank="1" showInputMessage="1" showErrorMessage="1" error="This cell should remain blank." sqref="B200">
      <formula1>0</formula1>
    </dataValidation>
    <dataValidation type="decimal" operator="greaterThanOrEqual" allowBlank="1" showInputMessage="1" showErrorMessage="1" errorTitle="Volume data error" error="The volume must be a non-negative number." sqref="B201:B203">
      <formula1>0</formula1>
    </dataValidation>
    <dataValidation type="textLength" operator="equal" allowBlank="1" showInputMessage="1" showErrorMessage="1" error="This cell should remain blank." sqref="B204">
      <formula1>0</formula1>
    </dataValidation>
    <dataValidation type="decimal" operator="greaterThanOrEqual" allowBlank="1" showInputMessage="1" showErrorMessage="1" errorTitle="Volume data error" error="The volume must be a non-negative number." sqref="B205:B207">
      <formula1>0</formula1>
    </dataValidation>
    <dataValidation type="textLength" operator="equal" allowBlank="1" showInputMessage="1" showErrorMessage="1" error="This cell should remain blank." sqref="B208">
      <formula1>0</formula1>
    </dataValidation>
    <dataValidation type="decimal" operator="greaterThanOrEqual" allowBlank="1" showInputMessage="1" showErrorMessage="1" errorTitle="Volume data error" error="The volume must be a non-negative number." sqref="B209:B211">
      <formula1>0</formula1>
    </dataValidation>
    <dataValidation type="textLength" operator="equal" allowBlank="1" showInputMessage="1" showErrorMessage="1" error="This cell should remain blank." sqref="B212">
      <formula1>0</formula1>
    </dataValidation>
    <dataValidation type="decimal" operator="greaterThanOrEqual" allowBlank="1" showInputMessage="1" showErrorMessage="1" errorTitle="Volume data error" error="The volume must be a non-negative number." sqref="B213:B215">
      <formula1>0</formula1>
    </dataValidation>
    <dataValidation type="textLength" operator="equal" allowBlank="1" showInputMessage="1" showErrorMessage="1" error="This cell should remain blank." sqref="B216">
      <formula1>0</formula1>
    </dataValidation>
    <dataValidation type="decimal" operator="greaterThanOrEqual" allowBlank="1" showInputMessage="1" showErrorMessage="1" errorTitle="Volume data error" error="The volume must be a non-negative number." sqref="B217:B218">
      <formula1>0</formula1>
    </dataValidation>
    <dataValidation type="textLength" operator="equal" allowBlank="1" showInputMessage="1" showErrorMessage="1" error="This cell should remain blank." sqref="B219">
      <formula1>0</formula1>
    </dataValidation>
    <dataValidation type="decimal" operator="greaterThanOrEqual" allowBlank="1" showInputMessage="1" showErrorMessage="1" errorTitle="Volume data error" error="The volume must be a non-negative number." sqref="B220:B221">
      <formula1>0</formula1>
    </dataValidation>
    <dataValidation type="textLength" operator="equal" allowBlank="1" showInputMessage="1" showErrorMessage="1" error="This cell should remain blank." sqref="B222">
      <formula1>0</formula1>
    </dataValidation>
    <dataValidation type="decimal" operator="greaterThanOrEqual" allowBlank="1" showInputMessage="1" showErrorMessage="1" errorTitle="Volume data error" error="The volume must be a non-negative number." sqref="B223:B225">
      <formula1>0</formula1>
    </dataValidation>
    <dataValidation type="textLength" operator="equal" allowBlank="1" showInputMessage="1" showErrorMessage="1" error="This cell should remain blank." sqref="B226">
      <formula1>0</formula1>
    </dataValidation>
    <dataValidation type="decimal" operator="greaterThanOrEqual" allowBlank="1" showInputMessage="1" showErrorMessage="1" errorTitle="Volume data error" error="The volume must be a non-negative number." sqref="B227:B229">
      <formula1>0</formula1>
    </dataValidation>
    <dataValidation type="textLength" operator="equal" allowBlank="1" showInputMessage="1" showErrorMessage="1" error="This cell should remain blank." sqref="B230">
      <formula1>0</formula1>
    </dataValidation>
    <dataValidation type="decimal" operator="greaterThanOrEqual" allowBlank="1" showInputMessage="1" showErrorMessage="1" errorTitle="Volume data error" error="The volume must be a non-negative number." sqref="B231:B233">
      <formula1>0</formula1>
    </dataValidation>
    <dataValidation type="textLength" operator="equal" allowBlank="1" showInputMessage="1" showErrorMessage="1" error="This cell should remain blank." sqref="B234">
      <formula1>0</formula1>
    </dataValidation>
    <dataValidation type="decimal" operator="greaterThanOrEqual" allowBlank="1" showInputMessage="1" showErrorMessage="1" errorTitle="Volume data error" error="The volume must be a non-negative number." sqref="B235:B237">
      <formula1>0</formula1>
    </dataValidation>
    <dataValidation type="textLength" operator="equal" allowBlank="1" showInputMessage="1" showErrorMessage="1" error="This cell should remain blank." sqref="B238">
      <formula1>0</formula1>
    </dataValidation>
    <dataValidation type="decimal" operator="greaterThanOrEqual" allowBlank="1" showInputMessage="1" showErrorMessage="1" errorTitle="Volume data error" error="The volume must be a non-negative number." sqref="B239:B241">
      <formula1>0</formula1>
    </dataValidation>
    <dataValidation type="textLength" operator="equal" allowBlank="1" showInputMessage="1" showErrorMessage="1" error="This cell should remain blank." sqref="B242">
      <formula1>0</formula1>
    </dataValidation>
    <dataValidation type="decimal" operator="greaterThanOrEqual" allowBlank="1" showInputMessage="1" showErrorMessage="1" errorTitle="Volume data error" error="The volume must be a non-negative number." sqref="B243:B245">
      <formula1>0</formula1>
    </dataValidation>
    <dataValidation type="textLength" operator="equal" allowBlank="1" showInputMessage="1" showErrorMessage="1" error="This cell should remain blank." sqref="B246">
      <formula1>0</formula1>
    </dataValidation>
    <dataValidation type="decimal" operator="greaterThanOrEqual" allowBlank="1" showInputMessage="1" showErrorMessage="1" errorTitle="Volume data error" error="The volume must be a non-negative number." sqref="B247:B248">
      <formula1>0</formula1>
    </dataValidation>
    <dataValidation type="textLength" operator="equal" allowBlank="1" showInputMessage="1" showErrorMessage="1" error="This cell should remain blank." sqref="B249">
      <formula1>0</formula1>
    </dataValidation>
    <dataValidation type="decimal" operator="greaterThanOrEqual" allowBlank="1" showInputMessage="1" showErrorMessage="1" errorTitle="Volume data error" error="The volume must be a non-negative number." sqref="B250:B252">
      <formula1>0</formula1>
    </dataValidation>
    <dataValidation type="textLength" operator="equal" allowBlank="1" showInputMessage="1" showErrorMessage="1" error="This cell should remain blank." sqref="B253">
      <formula1>0</formula1>
    </dataValidation>
    <dataValidation type="decimal" operator="greaterThanOrEqual" allowBlank="1" showInputMessage="1" showErrorMessage="1" errorTitle="Volume data error" error="The volume must be a non-negative number." sqref="B254:B256">
      <formula1>0</formula1>
    </dataValidation>
    <dataValidation type="textLength" operator="equal" allowBlank="1" showInputMessage="1" showErrorMessage="1" error="This cell should remain blank." sqref="B257">
      <formula1>0</formula1>
    </dataValidation>
    <dataValidation type="decimal" operator="greaterThanOrEqual" allowBlank="1" showInputMessage="1" showErrorMessage="1" errorTitle="Volume data error" error="The volume must be a non-negative number." sqref="B258:B259">
      <formula1>0</formula1>
    </dataValidation>
    <dataValidation type="textLength" operator="equal" allowBlank="1" showInputMessage="1" showErrorMessage="1" error="This cell should remain blank." sqref="B260">
      <formula1>0</formula1>
    </dataValidation>
    <dataValidation type="decimal" operator="greaterThanOrEqual" allowBlank="1" showInputMessage="1" showErrorMessage="1" errorTitle="Volume data error" error="The volume must be a non-negative number." sqref="B261:B262">
      <formula1>0</formula1>
    </dataValidation>
    <dataValidation type="textLength" operator="equal" allowBlank="1" showInputMessage="1" showErrorMessage="1" error="This cell should remain blank." sqref="B263">
      <formula1>0</formula1>
    </dataValidation>
    <dataValidation type="decimal" operator="greaterThanOrEqual" allowBlank="1" showInputMessage="1" showErrorMessage="1" errorTitle="Volume data error" error="The volume must be a non-negative number." sqref="B264:B265">
      <formula1>0</formula1>
    </dataValidation>
    <dataValidation type="textLength" operator="equal" allowBlank="1" showInputMessage="1" showErrorMessage="1" error="This cell should remain blank." sqref="B266">
      <formula1>0</formula1>
    </dataValidation>
    <dataValidation type="decimal" operator="greaterThanOrEqual" allowBlank="1" showInputMessage="1" showErrorMessage="1" errorTitle="Volume data error" error="The volume must be a non-negative number." sqref="B267:B268">
      <formula1>0</formula1>
    </dataValidation>
    <dataValidation type="textLength" operator="equal" allowBlank="1" showInputMessage="1" showErrorMessage="1" error="This cell should remain blank." sqref="C180">
      <formula1>0</formula1>
    </dataValidation>
    <dataValidation type="decimal" operator="greaterThanOrEqual" allowBlank="1" showInputMessage="1" showErrorMessage="1" errorTitle="Volume data error" error="The volume must be a non-negative number." sqref="C181:C183">
      <formula1>0</formula1>
    </dataValidation>
    <dataValidation type="textLength" operator="equal" allowBlank="1" showInputMessage="1" showErrorMessage="1" error="This cell should remain blank." sqref="C184">
      <formula1>0</formula1>
    </dataValidation>
    <dataValidation type="decimal" operator="greaterThanOrEqual" allowBlank="1" showInputMessage="1" showErrorMessage="1" errorTitle="Volume data error" error="The volume must be a non-negative number." sqref="C185:C187">
      <formula1>0</formula1>
    </dataValidation>
    <dataValidation type="textLength" operator="equal" allowBlank="1" showInputMessage="1" showErrorMessage="1" error="This cell should remain blank." sqref="C188">
      <formula1>0</formula1>
    </dataValidation>
    <dataValidation type="decimal" operator="greaterThanOrEqual" allowBlank="1" showInputMessage="1" showErrorMessage="1" errorTitle="Volume data error" error="The volume must be a non-negative number." sqref="C189:C191">
      <formula1>0</formula1>
    </dataValidation>
    <dataValidation type="textLength" operator="equal" allowBlank="1" showInputMessage="1" showErrorMessage="1" error="This cell should remain blank." sqref="C192">
      <formula1>0</formula1>
    </dataValidation>
    <dataValidation type="decimal" operator="greaterThanOrEqual" allowBlank="1" showInputMessage="1" showErrorMessage="1" errorTitle="Volume data error" error="The volume must be a non-negative number." sqref="C193:C195">
      <formula1>0</formula1>
    </dataValidation>
    <dataValidation type="textLength" operator="equal" allowBlank="1" showInputMessage="1" showErrorMessage="1" error="This cell should remain blank." sqref="C196">
      <formula1>0</formula1>
    </dataValidation>
    <dataValidation type="decimal" operator="greaterThanOrEqual" allowBlank="1" showInputMessage="1" showErrorMessage="1" errorTitle="Volume data error" error="The volume must be a non-negative number." sqref="C197:C199">
      <formula1>0</formula1>
    </dataValidation>
    <dataValidation type="textLength" operator="equal" allowBlank="1" showInputMessage="1" showErrorMessage="1" error="This cell should remain blank." sqref="C200">
      <formula1>0</formula1>
    </dataValidation>
    <dataValidation type="decimal" operator="greaterThanOrEqual" allowBlank="1" showInputMessage="1" showErrorMessage="1" errorTitle="Volume data error" error="The volume must be a non-negative number." sqref="C201:C203">
      <formula1>0</formula1>
    </dataValidation>
    <dataValidation type="textLength" operator="equal" allowBlank="1" showInputMessage="1" showErrorMessage="1" error="This cell should remain blank." sqref="C204">
      <formula1>0</formula1>
    </dataValidation>
    <dataValidation type="decimal" operator="greaterThanOrEqual" allowBlank="1" showInputMessage="1" showErrorMessage="1" errorTitle="Volume data error" error="The volume must be a non-negative number." sqref="C205:C207">
      <formula1>0</formula1>
    </dataValidation>
    <dataValidation type="textLength" operator="equal" allowBlank="1" showInputMessage="1" showErrorMessage="1" error="This cell should remain blank." sqref="C208">
      <formula1>0</formula1>
    </dataValidation>
    <dataValidation type="decimal" operator="greaterThanOrEqual" allowBlank="1" showInputMessage="1" showErrorMessage="1" errorTitle="Volume data error" error="The volume must be a non-negative number." sqref="C209:C211">
      <formula1>0</formula1>
    </dataValidation>
    <dataValidation type="textLength" operator="equal" allowBlank="1" showInputMessage="1" showErrorMessage="1" error="This cell should remain blank." sqref="C212">
      <formula1>0</formula1>
    </dataValidation>
    <dataValidation type="decimal" operator="greaterThanOrEqual" allowBlank="1" showInputMessage="1" showErrorMessage="1" errorTitle="Volume data error" error="The volume must be a non-negative number." sqref="C213:C215">
      <formula1>0</formula1>
    </dataValidation>
    <dataValidation type="textLength" operator="equal" allowBlank="1" showInputMessage="1" showErrorMessage="1" error="This cell should remain blank." sqref="C216">
      <formula1>0</formula1>
    </dataValidation>
    <dataValidation type="decimal" operator="greaterThanOrEqual" allowBlank="1" showInputMessage="1" showErrorMessage="1" errorTitle="Volume data error" error="The volume must be a non-negative number." sqref="C217:C218">
      <formula1>0</formula1>
    </dataValidation>
    <dataValidation type="textLength" operator="equal" allowBlank="1" showInputMessage="1" showErrorMessage="1" error="This cell should remain blank." sqref="C219">
      <formula1>0</formula1>
    </dataValidation>
    <dataValidation type="decimal" operator="greaterThanOrEqual" allowBlank="1" showInputMessage="1" showErrorMessage="1" errorTitle="Volume data error" error="The volume must be a non-negative number." sqref="C220:C221">
      <formula1>0</formula1>
    </dataValidation>
    <dataValidation type="textLength" operator="equal" allowBlank="1" showInputMessage="1" showErrorMessage="1" error="This cell should remain blank." sqref="C222">
      <formula1>0</formula1>
    </dataValidation>
    <dataValidation type="decimal" operator="greaterThanOrEqual" allowBlank="1" showInputMessage="1" showErrorMessage="1" errorTitle="Volume data error" error="The volume must be a non-negative number." sqref="C223:C225">
      <formula1>0</formula1>
    </dataValidation>
    <dataValidation type="textLength" operator="equal" allowBlank="1" showInputMessage="1" showErrorMessage="1" error="This cell should remain blank." sqref="C226">
      <formula1>0</formula1>
    </dataValidation>
    <dataValidation type="decimal" operator="greaterThanOrEqual" allowBlank="1" showInputMessage="1" showErrorMessage="1" errorTitle="Volume data error" error="The volume must be a non-negative number." sqref="C227:C229">
      <formula1>0</formula1>
    </dataValidation>
    <dataValidation type="textLength" operator="equal" allowBlank="1" showInputMessage="1" showErrorMessage="1" error="This cell should remain blank." sqref="C230">
      <formula1>0</formula1>
    </dataValidation>
    <dataValidation type="decimal" operator="greaterThanOrEqual" allowBlank="1" showInputMessage="1" showErrorMessage="1" errorTitle="Volume data error" error="The volume must be a non-negative number." sqref="C231:C233">
      <formula1>0</formula1>
    </dataValidation>
    <dataValidation type="textLength" operator="equal" allowBlank="1" showInputMessage="1" showErrorMessage="1" error="This cell should remain blank." sqref="C234">
      <formula1>0</formula1>
    </dataValidation>
    <dataValidation type="decimal" operator="greaterThanOrEqual" allowBlank="1" showInputMessage="1" showErrorMessage="1" errorTitle="Volume data error" error="The volume must be a non-negative number." sqref="C235:C237">
      <formula1>0</formula1>
    </dataValidation>
    <dataValidation type="textLength" operator="equal" allowBlank="1" showInputMessage="1" showErrorMessage="1" error="This cell should remain blank." sqref="C238">
      <formula1>0</formula1>
    </dataValidation>
    <dataValidation type="decimal" operator="greaterThanOrEqual" allowBlank="1" showInputMessage="1" showErrorMessage="1" errorTitle="Volume data error" error="The volume must be a non-negative number." sqref="C239:C241">
      <formula1>0</formula1>
    </dataValidation>
    <dataValidation type="textLength" operator="equal" allowBlank="1" showInputMessage="1" showErrorMessage="1" error="This cell should remain blank." sqref="C242">
      <formula1>0</formula1>
    </dataValidation>
    <dataValidation type="decimal" operator="greaterThanOrEqual" allowBlank="1" showInputMessage="1" showErrorMessage="1" errorTitle="Volume data error" error="The volume must be a non-negative number." sqref="C243:C245">
      <formula1>0</formula1>
    </dataValidation>
    <dataValidation type="textLength" operator="equal" allowBlank="1" showInputMessage="1" showErrorMessage="1" error="This cell should remain blank." sqref="C246">
      <formula1>0</formula1>
    </dataValidation>
    <dataValidation type="decimal" operator="greaterThanOrEqual" allowBlank="1" showInputMessage="1" showErrorMessage="1" errorTitle="Volume data error" error="The volume must be a non-negative number." sqref="C247:C248">
      <formula1>0</formula1>
    </dataValidation>
    <dataValidation type="textLength" operator="equal" allowBlank="1" showInputMessage="1" showErrorMessage="1" error="This cell should remain blank." sqref="C249">
      <formula1>0</formula1>
    </dataValidation>
    <dataValidation type="decimal" operator="greaterThanOrEqual" allowBlank="1" showInputMessage="1" showErrorMessage="1" errorTitle="Volume data error" error="The volume must be a non-negative number." sqref="C250:C252">
      <formula1>0</formula1>
    </dataValidation>
    <dataValidation type="textLength" operator="equal" allowBlank="1" showInputMessage="1" showErrorMessage="1" error="This cell should remain blank." sqref="C253">
      <formula1>0</formula1>
    </dataValidation>
    <dataValidation type="decimal" operator="greaterThanOrEqual" allowBlank="1" showInputMessage="1" showErrorMessage="1" errorTitle="Volume data error" error="The volume must be a non-negative number." sqref="C254:C256">
      <formula1>0</formula1>
    </dataValidation>
    <dataValidation type="textLength" operator="equal" allowBlank="1" showInputMessage="1" showErrorMessage="1" error="This cell should remain blank." sqref="C257">
      <formula1>0</formula1>
    </dataValidation>
    <dataValidation type="decimal" operator="greaterThanOrEqual" allowBlank="1" showInputMessage="1" showErrorMessage="1" errorTitle="Volume data error" error="The volume must be a non-negative number." sqref="C258:C259">
      <formula1>0</formula1>
    </dataValidation>
    <dataValidation type="textLength" operator="equal" allowBlank="1" showInputMessage="1" showErrorMessage="1" error="This cell should remain blank." sqref="C260">
      <formula1>0</formula1>
    </dataValidation>
    <dataValidation type="decimal" operator="greaterThanOrEqual" allowBlank="1" showInputMessage="1" showErrorMessage="1" errorTitle="Volume data error" error="The volume must be a non-negative number." sqref="C261:C262">
      <formula1>0</formula1>
    </dataValidation>
    <dataValidation type="textLength" operator="equal" allowBlank="1" showInputMessage="1" showErrorMessage="1" error="This cell should remain blank." sqref="C263">
      <formula1>0</formula1>
    </dataValidation>
    <dataValidation type="decimal" operator="greaterThanOrEqual" allowBlank="1" showInputMessage="1" showErrorMessage="1" errorTitle="Volume data error" error="The volume must be a non-negative number." sqref="C264:C265">
      <formula1>0</formula1>
    </dataValidation>
    <dataValidation type="textLength" operator="equal" allowBlank="1" showInputMessage="1" showErrorMessage="1" error="This cell should remain blank." sqref="C266">
      <formula1>0</formula1>
    </dataValidation>
    <dataValidation type="decimal" operator="greaterThanOrEqual" allowBlank="1" showInputMessage="1" showErrorMessage="1" errorTitle="Volume data error" error="The volume must be a non-negative number." sqref="C267:C268">
      <formula1>0</formula1>
    </dataValidation>
    <dataValidation type="textLength" operator="equal" allowBlank="1" showInputMessage="1" showErrorMessage="1" error="This cell should remain blank." sqref="D180">
      <formula1>0</formula1>
    </dataValidation>
    <dataValidation type="decimal" operator="greaterThanOrEqual" allowBlank="1" showInputMessage="1" showErrorMessage="1" errorTitle="Volume data error" error="The volume must be a non-negative number." sqref="D181:D183">
      <formula1>0</formula1>
    </dataValidation>
    <dataValidation type="textLength" operator="equal" allowBlank="1" showInputMessage="1" showErrorMessage="1" error="This cell should remain blank." sqref="D184">
      <formula1>0</formula1>
    </dataValidation>
    <dataValidation type="decimal" operator="greaterThanOrEqual" allowBlank="1" showInputMessage="1" showErrorMessage="1" errorTitle="Volume data error" error="The volume must be a non-negative number." sqref="D185:D187">
      <formula1>0</formula1>
    </dataValidation>
    <dataValidation type="textLength" operator="equal" allowBlank="1" showInputMessage="1" showErrorMessage="1" error="This cell should remain blank." sqref="D188">
      <formula1>0</formula1>
    </dataValidation>
    <dataValidation type="decimal" operator="greaterThanOrEqual" allowBlank="1" showInputMessage="1" showErrorMessage="1" errorTitle="Volume data error" error="The volume must be a non-negative number." sqref="D189:D191">
      <formula1>0</formula1>
    </dataValidation>
    <dataValidation type="textLength" operator="equal" allowBlank="1" showInputMessage="1" showErrorMessage="1" error="This cell should remain blank." sqref="D192">
      <formula1>0</formula1>
    </dataValidation>
    <dataValidation type="decimal" operator="greaterThanOrEqual" allowBlank="1" showInputMessage="1" showErrorMessage="1" errorTitle="Volume data error" error="The volume must be a non-negative number." sqref="D193:D195">
      <formula1>0</formula1>
    </dataValidation>
    <dataValidation type="textLength" operator="equal" allowBlank="1" showInputMessage="1" showErrorMessage="1" error="This cell should remain blank." sqref="D196">
      <formula1>0</formula1>
    </dataValidation>
    <dataValidation type="decimal" operator="greaterThanOrEqual" allowBlank="1" showInputMessage="1" showErrorMessage="1" errorTitle="Volume data error" error="The volume must be a non-negative number." sqref="D197:D199">
      <formula1>0</formula1>
    </dataValidation>
    <dataValidation type="textLength" operator="equal" allowBlank="1" showInputMessage="1" showErrorMessage="1" error="This cell should remain blank." sqref="D200">
      <formula1>0</formula1>
    </dataValidation>
    <dataValidation type="decimal" operator="greaterThanOrEqual" allowBlank="1" showInputMessage="1" showErrorMessage="1" errorTitle="Volume data error" error="The volume must be a non-negative number." sqref="D201:D203">
      <formula1>0</formula1>
    </dataValidation>
    <dataValidation type="textLength" operator="equal" allowBlank="1" showInputMessage="1" showErrorMessage="1" error="This cell should remain blank." sqref="D204">
      <formula1>0</formula1>
    </dataValidation>
    <dataValidation type="decimal" operator="greaterThanOrEqual" allowBlank="1" showInputMessage="1" showErrorMessage="1" errorTitle="Volume data error" error="The volume must be a non-negative number." sqref="D205:D207">
      <formula1>0</formula1>
    </dataValidation>
    <dataValidation type="textLength" operator="equal" allowBlank="1" showInputMessage="1" showErrorMessage="1" error="This cell should remain blank." sqref="D208">
      <formula1>0</formula1>
    </dataValidation>
    <dataValidation type="decimal" operator="greaterThanOrEqual" allowBlank="1" showInputMessage="1" showErrorMessage="1" errorTitle="Volume data error" error="The volume must be a non-negative number." sqref="D209:D211">
      <formula1>0</formula1>
    </dataValidation>
    <dataValidation type="textLength" operator="equal" allowBlank="1" showInputMessage="1" showErrorMessage="1" error="This cell should remain blank." sqref="D212">
      <formula1>0</formula1>
    </dataValidation>
    <dataValidation type="decimal" operator="greaterThanOrEqual" allowBlank="1" showInputMessage="1" showErrorMessage="1" errorTitle="Volume data error" error="The volume must be a non-negative number." sqref="D213:D215">
      <formula1>0</formula1>
    </dataValidation>
    <dataValidation type="textLength" operator="equal" allowBlank="1" showInputMessage="1" showErrorMessage="1" error="This cell should remain blank." sqref="D216">
      <formula1>0</formula1>
    </dataValidation>
    <dataValidation type="decimal" operator="greaterThanOrEqual" allowBlank="1" showInputMessage="1" showErrorMessage="1" errorTitle="Volume data error" error="The volume must be a non-negative number." sqref="D217:D218">
      <formula1>0</formula1>
    </dataValidation>
    <dataValidation type="textLength" operator="equal" allowBlank="1" showInputMessage="1" showErrorMessage="1" error="This cell should remain blank." sqref="D219">
      <formula1>0</formula1>
    </dataValidation>
    <dataValidation type="decimal" operator="greaterThanOrEqual" allowBlank="1" showInputMessage="1" showErrorMessage="1" errorTitle="Volume data error" error="The volume must be a non-negative number." sqref="D220:D221">
      <formula1>0</formula1>
    </dataValidation>
    <dataValidation type="textLength" operator="equal" allowBlank="1" showInputMessage="1" showErrorMessage="1" error="This cell should remain blank." sqref="D222">
      <formula1>0</formula1>
    </dataValidation>
    <dataValidation type="decimal" operator="greaterThanOrEqual" allowBlank="1" showInputMessage="1" showErrorMessage="1" errorTitle="Volume data error" error="The volume must be a non-negative number." sqref="D223:D225">
      <formula1>0</formula1>
    </dataValidation>
    <dataValidation type="textLength" operator="equal" allowBlank="1" showInputMessage="1" showErrorMessage="1" error="This cell should remain blank." sqref="D226">
      <formula1>0</formula1>
    </dataValidation>
    <dataValidation type="decimal" operator="greaterThanOrEqual" allowBlank="1" showInputMessage="1" showErrorMessage="1" errorTitle="Volume data error" error="The volume must be a non-negative number." sqref="D227:D229">
      <formula1>0</formula1>
    </dataValidation>
    <dataValidation type="textLength" operator="equal" allowBlank="1" showInputMessage="1" showErrorMessage="1" error="This cell should remain blank." sqref="D230">
      <formula1>0</formula1>
    </dataValidation>
    <dataValidation type="decimal" operator="greaterThanOrEqual" allowBlank="1" showInputMessage="1" showErrorMessage="1" errorTitle="Volume data error" error="The volume must be a non-negative number." sqref="D231:D233">
      <formula1>0</formula1>
    </dataValidation>
    <dataValidation type="textLength" operator="equal" allowBlank="1" showInputMessage="1" showErrorMessage="1" error="This cell should remain blank." sqref="D234">
      <formula1>0</formula1>
    </dataValidation>
    <dataValidation type="decimal" operator="greaterThanOrEqual" allowBlank="1" showInputMessage="1" showErrorMessage="1" errorTitle="Volume data error" error="The volume must be a non-negative number." sqref="D235:D237">
      <formula1>0</formula1>
    </dataValidation>
    <dataValidation type="textLength" operator="equal" allowBlank="1" showInputMessage="1" showErrorMessage="1" error="This cell should remain blank." sqref="D238">
      <formula1>0</formula1>
    </dataValidation>
    <dataValidation type="decimal" operator="greaterThanOrEqual" allowBlank="1" showInputMessage="1" showErrorMessage="1" errorTitle="Volume data error" error="The volume must be a non-negative number." sqref="D239:D241">
      <formula1>0</formula1>
    </dataValidation>
    <dataValidation type="textLength" operator="equal" allowBlank="1" showInputMessage="1" showErrorMessage="1" error="This cell should remain blank." sqref="D242">
      <formula1>0</formula1>
    </dataValidation>
    <dataValidation type="decimal" operator="greaterThanOrEqual" allowBlank="1" showInputMessage="1" showErrorMessage="1" errorTitle="Volume data error" error="The volume must be a non-negative number." sqref="D243:D245">
      <formula1>0</formula1>
    </dataValidation>
    <dataValidation type="textLength" operator="equal" allowBlank="1" showInputMessage="1" showErrorMessage="1" error="This cell should remain blank." sqref="D246">
      <formula1>0</formula1>
    </dataValidation>
    <dataValidation type="decimal" operator="greaterThanOrEqual" allowBlank="1" showInputMessage="1" showErrorMessage="1" errorTitle="Volume data error" error="The volume must be a non-negative number." sqref="D247:D248">
      <formula1>0</formula1>
    </dataValidation>
    <dataValidation type="textLength" operator="equal" allowBlank="1" showInputMessage="1" showErrorMessage="1" error="This cell should remain blank." sqref="D249">
      <formula1>0</formula1>
    </dataValidation>
    <dataValidation type="decimal" operator="greaterThanOrEqual" allowBlank="1" showInputMessage="1" showErrorMessage="1" errorTitle="Volume data error" error="The volume must be a non-negative number." sqref="D250:D252">
      <formula1>0</formula1>
    </dataValidation>
    <dataValidation type="textLength" operator="equal" allowBlank="1" showInputMessage="1" showErrorMessage="1" error="This cell should remain blank." sqref="D253">
      <formula1>0</formula1>
    </dataValidation>
    <dataValidation type="decimal" operator="greaterThanOrEqual" allowBlank="1" showInputMessage="1" showErrorMessage="1" errorTitle="Volume data error" error="The volume must be a non-negative number." sqref="D254:D256">
      <formula1>0</formula1>
    </dataValidation>
    <dataValidation type="textLength" operator="equal" allowBlank="1" showInputMessage="1" showErrorMessage="1" error="This cell should remain blank." sqref="D257">
      <formula1>0</formula1>
    </dataValidation>
    <dataValidation type="decimal" operator="greaterThanOrEqual" allowBlank="1" showInputMessage="1" showErrorMessage="1" errorTitle="Volume data error" error="The volume must be a non-negative number." sqref="D258:D259">
      <formula1>0</formula1>
    </dataValidation>
    <dataValidation type="textLength" operator="equal" allowBlank="1" showInputMessage="1" showErrorMessage="1" error="This cell should remain blank." sqref="D260">
      <formula1>0</formula1>
    </dataValidation>
    <dataValidation type="decimal" operator="greaterThanOrEqual" allowBlank="1" showInputMessage="1" showErrorMessage="1" errorTitle="Volume data error" error="The volume must be a non-negative number." sqref="D261:D262">
      <formula1>0</formula1>
    </dataValidation>
    <dataValidation type="textLength" operator="equal" allowBlank="1" showInputMessage="1" showErrorMessage="1" error="This cell should remain blank." sqref="D263">
      <formula1>0</formula1>
    </dataValidation>
    <dataValidation type="decimal" operator="greaterThanOrEqual" allowBlank="1" showInputMessage="1" showErrorMessage="1" errorTitle="Volume data error" error="The volume must be a non-negative number." sqref="D264:D265">
      <formula1>0</formula1>
    </dataValidation>
    <dataValidation type="textLength" operator="equal" allowBlank="1" showInputMessage="1" showErrorMessage="1" error="This cell should remain blank." sqref="D266">
      <formula1>0</formula1>
    </dataValidation>
    <dataValidation type="decimal" operator="greaterThanOrEqual" allowBlank="1" showInputMessage="1" showErrorMessage="1" errorTitle="Volume data error" error="The volume must be a non-negative number." sqref="D267:D268">
      <formula1>0</formula1>
    </dataValidation>
    <dataValidation type="textLength" operator="equal" allowBlank="1" showInputMessage="1" showErrorMessage="1" error="This cell should remain blank." sqref="E180">
      <formula1>0</formula1>
    </dataValidation>
    <dataValidation type="decimal" operator="greaterThanOrEqual" allowBlank="1" showInputMessage="1" showErrorMessage="1" errorTitle="Volume data error" error="The volume must be a non-negative number." sqref="E181:E183">
      <formula1>0</formula1>
    </dataValidation>
    <dataValidation type="textLength" operator="equal" allowBlank="1" showInputMessage="1" showErrorMessage="1" error="This cell should remain blank." sqref="E184">
      <formula1>0</formula1>
    </dataValidation>
    <dataValidation type="decimal" operator="greaterThanOrEqual" allowBlank="1" showInputMessage="1" showErrorMessage="1" errorTitle="Volume data error" error="The volume must be a non-negative number." sqref="E185:E187">
      <formula1>0</formula1>
    </dataValidation>
    <dataValidation type="textLength" operator="equal" allowBlank="1" showInputMessage="1" showErrorMessage="1" error="This cell should remain blank." sqref="E188">
      <formula1>0</formula1>
    </dataValidation>
    <dataValidation type="decimal" operator="greaterThanOrEqual" allowBlank="1" showInputMessage="1" showErrorMessage="1" errorTitle="Volume data error" error="The volume must be a non-negative number." sqref="E189:E191">
      <formula1>0</formula1>
    </dataValidation>
    <dataValidation type="textLength" operator="equal" allowBlank="1" showInputMessage="1" showErrorMessage="1" error="This cell should remain blank." sqref="E192">
      <formula1>0</formula1>
    </dataValidation>
    <dataValidation type="decimal" operator="greaterThanOrEqual" allowBlank="1" showInputMessage="1" showErrorMessage="1" errorTitle="Volume data error" error="The volume must be a non-negative number." sqref="E193:E195">
      <formula1>0</formula1>
    </dataValidation>
    <dataValidation type="textLength" operator="equal" allowBlank="1" showInputMessage="1" showErrorMessage="1" error="This cell should remain blank." sqref="E196">
      <formula1>0</formula1>
    </dataValidation>
    <dataValidation type="decimal" operator="greaterThanOrEqual" allowBlank="1" showInputMessage="1" showErrorMessage="1" errorTitle="Volume data error" error="The volume must be a non-negative number." sqref="E197:E199">
      <formula1>0</formula1>
    </dataValidation>
    <dataValidation type="textLength" operator="equal" allowBlank="1" showInputMessage="1" showErrorMessage="1" error="This cell should remain blank." sqref="E200">
      <formula1>0</formula1>
    </dataValidation>
    <dataValidation type="decimal" operator="greaterThanOrEqual" allowBlank="1" showInputMessage="1" showErrorMessage="1" errorTitle="Volume data error" error="The volume must be a non-negative number." sqref="E201:E203">
      <formula1>0</formula1>
    </dataValidation>
    <dataValidation type="textLength" operator="equal" allowBlank="1" showInputMessage="1" showErrorMessage="1" error="This cell should remain blank." sqref="E204">
      <formula1>0</formula1>
    </dataValidation>
    <dataValidation type="decimal" operator="greaterThanOrEqual" allowBlank="1" showInputMessage="1" showErrorMessage="1" errorTitle="Volume data error" error="The volume must be a non-negative number." sqref="E205:E207">
      <formula1>0</formula1>
    </dataValidation>
    <dataValidation type="textLength" operator="equal" allowBlank="1" showInputMessage="1" showErrorMessage="1" error="This cell should remain blank." sqref="E208">
      <formula1>0</formula1>
    </dataValidation>
    <dataValidation type="decimal" operator="greaterThanOrEqual" allowBlank="1" showInputMessage="1" showErrorMessage="1" errorTitle="Volume data error" error="The volume must be a non-negative number." sqref="E209:E211">
      <formula1>0</formula1>
    </dataValidation>
    <dataValidation type="textLength" operator="equal" allowBlank="1" showInputMessage="1" showErrorMessage="1" error="This cell should remain blank." sqref="E212">
      <formula1>0</formula1>
    </dataValidation>
    <dataValidation type="decimal" operator="greaterThanOrEqual" allowBlank="1" showInputMessage="1" showErrorMessage="1" errorTitle="Volume data error" error="The volume must be a non-negative number." sqref="E213:E215">
      <formula1>0</formula1>
    </dataValidation>
    <dataValidation type="textLength" operator="equal" allowBlank="1" showInputMessage="1" showErrorMessage="1" error="This cell should remain blank." sqref="E216">
      <formula1>0</formula1>
    </dataValidation>
    <dataValidation type="decimal" operator="greaterThanOrEqual" allowBlank="1" showInputMessage="1" showErrorMessage="1" errorTitle="Volume data error" error="The volume must be a non-negative number." sqref="E217:E218">
      <formula1>0</formula1>
    </dataValidation>
    <dataValidation type="textLength" operator="equal" allowBlank="1" showInputMessage="1" showErrorMessage="1" error="This cell should remain blank." sqref="E219">
      <formula1>0</formula1>
    </dataValidation>
    <dataValidation type="decimal" operator="greaterThanOrEqual" allowBlank="1" showInputMessage="1" showErrorMessage="1" errorTitle="Volume data error" error="The volume must be a non-negative number." sqref="E220:E221">
      <formula1>0</formula1>
    </dataValidation>
    <dataValidation type="textLength" operator="equal" allowBlank="1" showInputMessage="1" showErrorMessage="1" error="This cell should remain blank." sqref="E222">
      <formula1>0</formula1>
    </dataValidation>
    <dataValidation type="decimal" operator="greaterThanOrEqual" allowBlank="1" showInputMessage="1" showErrorMessage="1" errorTitle="Volume data error" error="The volume must be a non-negative number." sqref="E223:E225">
      <formula1>0</formula1>
    </dataValidation>
    <dataValidation type="textLength" operator="equal" allowBlank="1" showInputMessage="1" showErrorMessage="1" error="This cell should remain blank." sqref="E226">
      <formula1>0</formula1>
    </dataValidation>
    <dataValidation type="decimal" operator="greaterThanOrEqual" allowBlank="1" showInputMessage="1" showErrorMessage="1" errorTitle="Volume data error" error="The volume must be a non-negative number." sqref="E227:E229">
      <formula1>0</formula1>
    </dataValidation>
    <dataValidation type="textLength" operator="equal" allowBlank="1" showInputMessage="1" showErrorMessage="1" error="This cell should remain blank." sqref="E230">
      <formula1>0</formula1>
    </dataValidation>
    <dataValidation type="decimal" operator="greaterThanOrEqual" allowBlank="1" showInputMessage="1" showErrorMessage="1" errorTitle="Volume data error" error="The volume must be a non-negative number." sqref="E231:E233">
      <formula1>0</formula1>
    </dataValidation>
    <dataValidation type="textLength" operator="equal" allowBlank="1" showInputMessage="1" showErrorMessage="1" error="This cell should remain blank." sqref="E234">
      <formula1>0</formula1>
    </dataValidation>
    <dataValidation type="decimal" operator="greaterThanOrEqual" allowBlank="1" showInputMessage="1" showErrorMessage="1" errorTitle="Volume data error" error="The volume must be a non-negative number." sqref="E235:E237">
      <formula1>0</formula1>
    </dataValidation>
    <dataValidation type="textLength" operator="equal" allowBlank="1" showInputMessage="1" showErrorMessage="1" error="This cell should remain blank." sqref="E238">
      <formula1>0</formula1>
    </dataValidation>
    <dataValidation type="decimal" operator="greaterThanOrEqual" allowBlank="1" showInputMessage="1" showErrorMessage="1" errorTitle="Volume data error" error="The volume must be a non-negative number." sqref="E239:E241">
      <formula1>0</formula1>
    </dataValidation>
    <dataValidation type="textLength" operator="equal" allowBlank="1" showInputMessage="1" showErrorMessage="1" error="This cell should remain blank." sqref="E242">
      <formula1>0</formula1>
    </dataValidation>
    <dataValidation type="decimal" operator="greaterThanOrEqual" allowBlank="1" showInputMessage="1" showErrorMessage="1" errorTitle="Volume data error" error="The volume must be a non-negative number." sqref="E243:E245">
      <formula1>0</formula1>
    </dataValidation>
    <dataValidation type="textLength" operator="equal" allowBlank="1" showInputMessage="1" showErrorMessage="1" error="This cell should remain blank." sqref="E246">
      <formula1>0</formula1>
    </dataValidation>
    <dataValidation type="decimal" operator="greaterThanOrEqual" allowBlank="1" showInputMessage="1" showErrorMessage="1" errorTitle="Volume data error" error="The volume must be a non-negative number." sqref="E247:E248">
      <formula1>0</formula1>
    </dataValidation>
    <dataValidation type="textLength" operator="equal" allowBlank="1" showInputMessage="1" showErrorMessage="1" error="This cell should remain blank." sqref="E249">
      <formula1>0</formula1>
    </dataValidation>
    <dataValidation type="decimal" operator="greaterThanOrEqual" allowBlank="1" showInputMessage="1" showErrorMessage="1" errorTitle="Volume data error" error="The volume must be a non-negative number." sqref="E250:E252">
      <formula1>0</formula1>
    </dataValidation>
    <dataValidation type="textLength" operator="equal" allowBlank="1" showInputMessage="1" showErrorMessage="1" error="This cell should remain blank." sqref="E253">
      <formula1>0</formula1>
    </dataValidation>
    <dataValidation type="decimal" operator="greaterThanOrEqual" allowBlank="1" showInputMessage="1" showErrorMessage="1" errorTitle="Volume data error" error="The volume must be a non-negative number." sqref="E254:E256">
      <formula1>0</formula1>
    </dataValidation>
    <dataValidation type="textLength" operator="equal" allowBlank="1" showInputMessage="1" showErrorMessage="1" error="This cell should remain blank." sqref="E257">
      <formula1>0</formula1>
    </dataValidation>
    <dataValidation type="decimal" operator="greaterThanOrEqual" allowBlank="1" showInputMessage="1" showErrorMessage="1" errorTitle="Volume data error" error="The volume must be a non-negative number." sqref="E258:E259">
      <formula1>0</formula1>
    </dataValidation>
    <dataValidation type="textLength" operator="equal" allowBlank="1" showInputMessage="1" showErrorMessage="1" error="This cell should remain blank." sqref="E260">
      <formula1>0</formula1>
    </dataValidation>
    <dataValidation type="decimal" operator="greaterThanOrEqual" allowBlank="1" showInputMessage="1" showErrorMessage="1" errorTitle="Volume data error" error="The volume must be a non-negative number." sqref="E261:E262">
      <formula1>0</formula1>
    </dataValidation>
    <dataValidation type="textLength" operator="equal" allowBlank="1" showInputMessage="1" showErrorMessage="1" error="This cell should remain blank." sqref="E263">
      <formula1>0</formula1>
    </dataValidation>
    <dataValidation type="decimal" operator="greaterThanOrEqual" allowBlank="1" showInputMessage="1" showErrorMessage="1" errorTitle="Volume data error" error="The volume must be a non-negative number." sqref="E264:E265">
      <formula1>0</formula1>
    </dataValidation>
    <dataValidation type="textLength" operator="equal" allowBlank="1" showInputMessage="1" showErrorMessage="1" error="This cell should remain blank." sqref="E266">
      <formula1>0</formula1>
    </dataValidation>
    <dataValidation type="decimal" operator="greaterThanOrEqual" allowBlank="1" showInputMessage="1" showErrorMessage="1" errorTitle="Volume data error" error="The volume must be a non-negative number." sqref="E267:E268">
      <formula1>0</formula1>
    </dataValidation>
    <dataValidation type="textLength" operator="equal" allowBlank="1" showInputMessage="1" showErrorMessage="1" error="This cell should remain blank." sqref="F180">
      <formula1>0</formula1>
    </dataValidation>
    <dataValidation type="decimal" operator="greaterThanOrEqual" allowBlank="1" showInputMessage="1" showErrorMessage="1" errorTitle="Volume data error" error="The volume must be a non-negative number." sqref="F181:F183">
      <formula1>0</formula1>
    </dataValidation>
    <dataValidation type="textLength" operator="equal" allowBlank="1" showInputMessage="1" showErrorMessage="1" error="This cell should remain blank." sqref="F184">
      <formula1>0</formula1>
    </dataValidation>
    <dataValidation type="decimal" operator="greaterThanOrEqual" allowBlank="1" showInputMessage="1" showErrorMessage="1" errorTitle="Volume data error" error="The volume must be a non-negative number." sqref="F185:F187">
      <formula1>0</formula1>
    </dataValidation>
    <dataValidation type="textLength" operator="equal" allowBlank="1" showInputMessage="1" showErrorMessage="1" error="This cell should remain blank." sqref="F188">
      <formula1>0</formula1>
    </dataValidation>
    <dataValidation type="decimal" operator="greaterThanOrEqual" allowBlank="1" showInputMessage="1" showErrorMessage="1" errorTitle="Volume data error" error="The volume must be a non-negative number." sqref="F189:F191">
      <formula1>0</formula1>
    </dataValidation>
    <dataValidation type="textLength" operator="equal" allowBlank="1" showInputMessage="1" showErrorMessage="1" error="This cell should remain blank." sqref="F192">
      <formula1>0</formula1>
    </dataValidation>
    <dataValidation type="decimal" operator="greaterThanOrEqual" allowBlank="1" showInputMessage="1" showErrorMessage="1" errorTitle="Volume data error" error="The volume must be a non-negative number." sqref="F193:F195">
      <formula1>0</formula1>
    </dataValidation>
    <dataValidation type="textLength" operator="equal" allowBlank="1" showInputMessage="1" showErrorMessage="1" error="This cell should remain blank." sqref="F196">
      <formula1>0</formula1>
    </dataValidation>
    <dataValidation type="decimal" operator="greaterThanOrEqual" allowBlank="1" showInputMessage="1" showErrorMessage="1" errorTitle="Volume data error" error="The volume must be a non-negative number." sqref="F197:F199">
      <formula1>0</formula1>
    </dataValidation>
    <dataValidation type="textLength" operator="equal" allowBlank="1" showInputMessage="1" showErrorMessage="1" error="This cell should remain blank." sqref="F200">
      <formula1>0</formula1>
    </dataValidation>
    <dataValidation type="decimal" operator="greaterThanOrEqual" allowBlank="1" showInputMessage="1" showErrorMessage="1" errorTitle="Volume data error" error="The volume must be a non-negative number." sqref="F201:F203">
      <formula1>0</formula1>
    </dataValidation>
    <dataValidation type="textLength" operator="equal" allowBlank="1" showInputMessage="1" showErrorMessage="1" error="This cell should remain blank." sqref="F204">
      <formula1>0</formula1>
    </dataValidation>
    <dataValidation type="decimal" operator="greaterThanOrEqual" allowBlank="1" showInputMessage="1" showErrorMessage="1" errorTitle="Volume data error" error="The volume must be a non-negative number." sqref="F205:F207">
      <formula1>0</formula1>
    </dataValidation>
    <dataValidation type="textLength" operator="equal" allowBlank="1" showInputMessage="1" showErrorMessage="1" error="This cell should remain blank." sqref="F208">
      <formula1>0</formula1>
    </dataValidation>
    <dataValidation type="decimal" operator="greaterThanOrEqual" allowBlank="1" showInputMessage="1" showErrorMessage="1" errorTitle="Volume data error" error="The volume must be a non-negative number." sqref="F209:F211">
      <formula1>0</formula1>
    </dataValidation>
    <dataValidation type="textLength" operator="equal" allowBlank="1" showInputMessage="1" showErrorMessage="1" error="This cell should remain blank." sqref="F212">
      <formula1>0</formula1>
    </dataValidation>
    <dataValidation type="decimal" operator="greaterThanOrEqual" allowBlank="1" showInputMessage="1" showErrorMessage="1" errorTitle="Volume data error" error="The volume must be a non-negative number." sqref="F213:F215">
      <formula1>0</formula1>
    </dataValidation>
    <dataValidation type="textLength" operator="equal" allowBlank="1" showInputMessage="1" showErrorMessage="1" error="This cell should remain blank." sqref="F216">
      <formula1>0</formula1>
    </dataValidation>
    <dataValidation type="decimal" operator="greaterThanOrEqual" allowBlank="1" showInputMessage="1" showErrorMessage="1" errorTitle="Volume data error" error="The volume must be a non-negative number." sqref="F217:F218">
      <formula1>0</formula1>
    </dataValidation>
    <dataValidation type="textLength" operator="equal" allowBlank="1" showInputMessage="1" showErrorMessage="1" error="This cell should remain blank." sqref="F219">
      <formula1>0</formula1>
    </dataValidation>
    <dataValidation type="decimal" operator="greaterThanOrEqual" allowBlank="1" showInputMessage="1" showErrorMessage="1" errorTitle="Volume data error" error="The volume must be a non-negative number." sqref="F220:F221">
      <formula1>0</formula1>
    </dataValidation>
    <dataValidation type="textLength" operator="equal" allowBlank="1" showInputMessage="1" showErrorMessage="1" error="This cell should remain blank." sqref="F222">
      <formula1>0</formula1>
    </dataValidation>
    <dataValidation type="decimal" operator="greaterThanOrEqual" allowBlank="1" showInputMessage="1" showErrorMessage="1" errorTitle="Volume data error" error="The volume must be a non-negative number." sqref="F223:F225">
      <formula1>0</formula1>
    </dataValidation>
    <dataValidation type="textLength" operator="equal" allowBlank="1" showInputMessage="1" showErrorMessage="1" error="This cell should remain blank." sqref="F226">
      <formula1>0</formula1>
    </dataValidation>
    <dataValidation type="decimal" operator="greaterThanOrEqual" allowBlank="1" showInputMessage="1" showErrorMessage="1" errorTitle="Volume data error" error="The volume must be a non-negative number." sqref="F227:F229">
      <formula1>0</formula1>
    </dataValidation>
    <dataValidation type="textLength" operator="equal" allowBlank="1" showInputMessage="1" showErrorMessage="1" error="This cell should remain blank." sqref="F230">
      <formula1>0</formula1>
    </dataValidation>
    <dataValidation type="decimal" operator="greaterThanOrEqual" allowBlank="1" showInputMessage="1" showErrorMessage="1" errorTitle="Volume data error" error="The volume must be a non-negative number." sqref="F231:F233">
      <formula1>0</formula1>
    </dataValidation>
    <dataValidation type="textLength" operator="equal" allowBlank="1" showInputMessage="1" showErrorMessage="1" error="This cell should remain blank." sqref="F234">
      <formula1>0</formula1>
    </dataValidation>
    <dataValidation type="decimal" operator="greaterThanOrEqual" allowBlank="1" showInputMessage="1" showErrorMessage="1" errorTitle="Volume data error" error="The volume must be a non-negative number." sqref="F235:F237">
      <formula1>0</formula1>
    </dataValidation>
    <dataValidation type="textLength" operator="equal" allowBlank="1" showInputMessage="1" showErrorMessage="1" error="This cell should remain blank." sqref="F238">
      <formula1>0</formula1>
    </dataValidation>
    <dataValidation type="decimal" operator="greaterThanOrEqual" allowBlank="1" showInputMessage="1" showErrorMessage="1" errorTitle="Volume data error" error="The volume must be a non-negative number." sqref="F239:F241">
      <formula1>0</formula1>
    </dataValidation>
    <dataValidation type="textLength" operator="equal" allowBlank="1" showInputMessage="1" showErrorMessage="1" error="This cell should remain blank." sqref="F242">
      <formula1>0</formula1>
    </dataValidation>
    <dataValidation type="decimal" operator="greaterThanOrEqual" allowBlank="1" showInputMessage="1" showErrorMessage="1" errorTitle="Volume data error" error="The volume must be a non-negative number." sqref="F243:F245">
      <formula1>0</formula1>
    </dataValidation>
    <dataValidation type="textLength" operator="equal" allowBlank="1" showInputMessage="1" showErrorMessage="1" error="This cell should remain blank." sqref="F246">
      <formula1>0</formula1>
    </dataValidation>
    <dataValidation type="decimal" operator="greaterThanOrEqual" allowBlank="1" showInputMessage="1" showErrorMessage="1" errorTitle="Volume data error" error="The volume must be a non-negative number." sqref="F247:F248">
      <formula1>0</formula1>
    </dataValidation>
    <dataValidation type="textLength" operator="equal" allowBlank="1" showInputMessage="1" showErrorMessage="1" error="This cell should remain blank." sqref="F249">
      <formula1>0</formula1>
    </dataValidation>
    <dataValidation type="decimal" operator="greaterThanOrEqual" allowBlank="1" showInputMessage="1" showErrorMessage="1" errorTitle="Volume data error" error="The volume must be a non-negative number." sqref="F250:F252">
      <formula1>0</formula1>
    </dataValidation>
    <dataValidation type="textLength" operator="equal" allowBlank="1" showInputMessage="1" showErrorMessage="1" error="This cell should remain blank." sqref="F253">
      <formula1>0</formula1>
    </dataValidation>
    <dataValidation type="decimal" operator="greaterThanOrEqual" allowBlank="1" showInputMessage="1" showErrorMessage="1" errorTitle="Volume data error" error="The volume must be a non-negative number." sqref="F254:F256">
      <formula1>0</formula1>
    </dataValidation>
    <dataValidation type="textLength" operator="equal" allowBlank="1" showInputMessage="1" showErrorMessage="1" error="This cell should remain blank." sqref="F257">
      <formula1>0</formula1>
    </dataValidation>
    <dataValidation type="decimal" operator="greaterThanOrEqual" allowBlank="1" showInputMessage="1" showErrorMessage="1" errorTitle="Volume data error" error="The volume must be a non-negative number." sqref="F258:F259">
      <formula1>0</formula1>
    </dataValidation>
    <dataValidation type="textLength" operator="equal" allowBlank="1" showInputMessage="1" showErrorMessage="1" error="This cell should remain blank." sqref="F260">
      <formula1>0</formula1>
    </dataValidation>
    <dataValidation type="decimal" operator="greaterThanOrEqual" allowBlank="1" showInputMessage="1" showErrorMessage="1" errorTitle="Volume data error" error="The volume must be a non-negative number." sqref="F261:F262">
      <formula1>0</formula1>
    </dataValidation>
    <dataValidation type="textLength" operator="equal" allowBlank="1" showInputMessage="1" showErrorMessage="1" error="This cell should remain blank." sqref="F263">
      <formula1>0</formula1>
    </dataValidation>
    <dataValidation type="decimal" operator="greaterThanOrEqual" allowBlank="1" showInputMessage="1" showErrorMessage="1" errorTitle="Volume data error" error="The volume must be a non-negative number." sqref="F264:F265">
      <formula1>0</formula1>
    </dataValidation>
    <dataValidation type="textLength" operator="equal" allowBlank="1" showInputMessage="1" showErrorMessage="1" error="This cell should remain blank." sqref="F266">
      <formula1>0</formula1>
    </dataValidation>
    <dataValidation type="decimal" operator="greaterThanOrEqual" allowBlank="1" showInputMessage="1" showErrorMessage="1" errorTitle="Volume data error" error="The volume must be a non-negative number." sqref="F267:F268">
      <formula1>0</formula1>
    </dataValidation>
    <dataValidation type="textLength" operator="equal" allowBlank="1" showInputMessage="1" showErrorMessage="1" error="This cell should remain blank." sqref="G180">
      <formula1>0</formula1>
    </dataValidation>
    <dataValidation type="decimal" operator="greaterThanOrEqual" allowBlank="1" showInputMessage="1" showErrorMessage="1" errorTitle="Volume data error" error="The volume must be a non-negative number." sqref="G181:G183">
      <formula1>0</formula1>
    </dataValidation>
    <dataValidation type="textLength" operator="equal" allowBlank="1" showInputMessage="1" showErrorMessage="1" error="This cell should remain blank." sqref="G184">
      <formula1>0</formula1>
    </dataValidation>
    <dataValidation type="decimal" operator="greaterThanOrEqual" allowBlank="1" showInputMessage="1" showErrorMessage="1" errorTitle="Volume data error" error="The volume must be a non-negative number." sqref="G185:G187">
      <formula1>0</formula1>
    </dataValidation>
    <dataValidation type="textLength" operator="equal" allowBlank="1" showInputMessage="1" showErrorMessage="1" error="This cell should remain blank." sqref="G188">
      <formula1>0</formula1>
    </dataValidation>
    <dataValidation type="decimal" operator="greaterThanOrEqual" allowBlank="1" showInputMessage="1" showErrorMessage="1" errorTitle="Volume data error" error="The volume must be a non-negative number." sqref="G189:G191">
      <formula1>0</formula1>
    </dataValidation>
    <dataValidation type="textLength" operator="equal" allowBlank="1" showInputMessage="1" showErrorMessage="1" error="This cell should remain blank." sqref="G192">
      <formula1>0</formula1>
    </dataValidation>
    <dataValidation type="decimal" operator="greaterThanOrEqual" allowBlank="1" showInputMessage="1" showErrorMessage="1" errorTitle="Volume data error" error="The volume must be a non-negative number." sqref="G193:G195">
      <formula1>0</formula1>
    </dataValidation>
    <dataValidation type="textLength" operator="equal" allowBlank="1" showInputMessage="1" showErrorMessage="1" error="This cell should remain blank." sqref="G196">
      <formula1>0</formula1>
    </dataValidation>
    <dataValidation type="decimal" operator="greaterThanOrEqual" allowBlank="1" showInputMessage="1" showErrorMessage="1" errorTitle="Volume data error" error="The volume must be a non-negative number." sqref="G197:G199">
      <formula1>0</formula1>
    </dataValidation>
    <dataValidation type="textLength" operator="equal" allowBlank="1" showInputMessage="1" showErrorMessage="1" error="This cell should remain blank." sqref="G200">
      <formula1>0</formula1>
    </dataValidation>
    <dataValidation type="decimal" operator="greaterThanOrEqual" allowBlank="1" showInputMessage="1" showErrorMessage="1" errorTitle="Volume data error" error="The volume must be a non-negative number." sqref="G201:G203">
      <formula1>0</formula1>
    </dataValidation>
    <dataValidation type="textLength" operator="equal" allowBlank="1" showInputMessage="1" showErrorMessage="1" error="This cell should remain blank." sqref="G204">
      <formula1>0</formula1>
    </dataValidation>
    <dataValidation type="decimal" operator="greaterThanOrEqual" allowBlank="1" showInputMessage="1" showErrorMessage="1" errorTitle="Volume data error" error="The volume must be a non-negative number." sqref="G205:G207">
      <formula1>0</formula1>
    </dataValidation>
    <dataValidation type="textLength" operator="equal" allowBlank="1" showInputMessage="1" showErrorMessage="1" error="This cell should remain blank." sqref="G208">
      <formula1>0</formula1>
    </dataValidation>
    <dataValidation type="decimal" operator="greaterThanOrEqual" allowBlank="1" showInputMessage="1" showErrorMessage="1" errorTitle="Volume data error" error="The volume must be a non-negative number." sqref="G209:G211">
      <formula1>0</formula1>
    </dataValidation>
    <dataValidation type="textLength" operator="equal" allowBlank="1" showInputMessage="1" showErrorMessage="1" error="This cell should remain blank." sqref="G212">
      <formula1>0</formula1>
    </dataValidation>
    <dataValidation type="decimal" operator="greaterThanOrEqual" allowBlank="1" showInputMessage="1" showErrorMessage="1" errorTitle="Volume data error" error="The volume must be a non-negative number." sqref="G213:G215">
      <formula1>0</formula1>
    </dataValidation>
    <dataValidation type="textLength" operator="equal" allowBlank="1" showInputMessage="1" showErrorMessage="1" error="This cell should remain blank." sqref="G216">
      <formula1>0</formula1>
    </dataValidation>
    <dataValidation type="decimal" operator="greaterThanOrEqual" allowBlank="1" showInputMessage="1" showErrorMessage="1" errorTitle="Volume data error" error="The volume must be a non-negative number." sqref="G217:G218">
      <formula1>0</formula1>
    </dataValidation>
    <dataValidation type="textLength" operator="equal" allowBlank="1" showInputMessage="1" showErrorMessage="1" error="This cell should remain blank." sqref="G219">
      <formula1>0</formula1>
    </dataValidation>
    <dataValidation type="decimal" operator="greaterThanOrEqual" allowBlank="1" showInputMessage="1" showErrorMessage="1" errorTitle="Volume data error" error="The volume must be a non-negative number." sqref="G220:G221">
      <formula1>0</formula1>
    </dataValidation>
    <dataValidation type="textLength" operator="equal" allowBlank="1" showInputMessage="1" showErrorMessage="1" error="This cell should remain blank." sqref="G222">
      <formula1>0</formula1>
    </dataValidation>
    <dataValidation type="decimal" operator="greaterThanOrEqual" allowBlank="1" showInputMessage="1" showErrorMessage="1" errorTitle="Volume data error" error="The volume must be a non-negative number." sqref="G223:G225">
      <formula1>0</formula1>
    </dataValidation>
    <dataValidation type="textLength" operator="equal" allowBlank="1" showInputMessage="1" showErrorMessage="1" error="This cell should remain blank." sqref="G226">
      <formula1>0</formula1>
    </dataValidation>
    <dataValidation type="decimal" operator="greaterThanOrEqual" allowBlank="1" showInputMessage="1" showErrorMessage="1" errorTitle="Volume data error" error="The volume must be a non-negative number." sqref="G227:G229">
      <formula1>0</formula1>
    </dataValidation>
    <dataValidation type="textLength" operator="equal" allowBlank="1" showInputMessage="1" showErrorMessage="1" error="This cell should remain blank." sqref="G230">
      <formula1>0</formula1>
    </dataValidation>
    <dataValidation type="decimal" operator="greaterThanOrEqual" allowBlank="1" showInputMessage="1" showErrorMessage="1" errorTitle="Volume data error" error="The volume must be a non-negative number." sqref="G231:G233">
      <formula1>0</formula1>
    </dataValidation>
    <dataValidation type="textLength" operator="equal" allowBlank="1" showInputMessage="1" showErrorMessage="1" error="This cell should remain blank." sqref="G234">
      <formula1>0</formula1>
    </dataValidation>
    <dataValidation type="decimal" operator="greaterThanOrEqual" allowBlank="1" showInputMessage="1" showErrorMessage="1" errorTitle="Volume data error" error="The volume must be a non-negative number." sqref="G235:G237">
      <formula1>0</formula1>
    </dataValidation>
    <dataValidation type="textLength" operator="equal" allowBlank="1" showInputMessage="1" showErrorMessage="1" error="This cell should remain blank." sqref="G238">
      <formula1>0</formula1>
    </dataValidation>
    <dataValidation type="decimal" operator="greaterThanOrEqual" allowBlank="1" showInputMessage="1" showErrorMessage="1" errorTitle="Volume data error" error="The volume must be a non-negative number." sqref="G239:G241">
      <formula1>0</formula1>
    </dataValidation>
    <dataValidation type="textLength" operator="equal" allowBlank="1" showInputMessage="1" showErrorMessage="1" error="This cell should remain blank." sqref="G242">
      <formula1>0</formula1>
    </dataValidation>
    <dataValidation type="decimal" operator="greaterThanOrEqual" allowBlank="1" showInputMessage="1" showErrorMessage="1" errorTitle="Volume data error" error="The volume must be a non-negative number." sqref="G243:G245">
      <formula1>0</formula1>
    </dataValidation>
    <dataValidation type="textLength" operator="equal" allowBlank="1" showInputMessage="1" showErrorMessage="1" error="This cell should remain blank." sqref="G246">
      <formula1>0</formula1>
    </dataValidation>
    <dataValidation type="decimal" operator="greaterThanOrEqual" allowBlank="1" showInputMessage="1" showErrorMessage="1" errorTitle="Volume data error" error="The volume must be a non-negative number." sqref="G247:G248">
      <formula1>0</formula1>
    </dataValidation>
    <dataValidation type="textLength" operator="equal" allowBlank="1" showInputMessage="1" showErrorMessage="1" error="This cell should remain blank." sqref="G249">
      <formula1>0</formula1>
    </dataValidation>
    <dataValidation type="decimal" operator="greaterThanOrEqual" allowBlank="1" showInputMessage="1" showErrorMessage="1" errorTitle="Volume data error" error="The volume must be a non-negative number." sqref="G250:G252">
      <formula1>0</formula1>
    </dataValidation>
    <dataValidation type="textLength" operator="equal" allowBlank="1" showInputMessage="1" showErrorMessage="1" error="This cell should remain blank." sqref="G253">
      <formula1>0</formula1>
    </dataValidation>
    <dataValidation type="decimal" operator="greaterThanOrEqual" allowBlank="1" showInputMessage="1" showErrorMessage="1" errorTitle="Volume data error" error="The volume must be a non-negative number." sqref="G254:G256">
      <formula1>0</formula1>
    </dataValidation>
    <dataValidation type="textLength" operator="equal" allowBlank="1" showInputMessage="1" showErrorMessage="1" error="This cell should remain blank." sqref="G257">
      <formula1>0</formula1>
    </dataValidation>
    <dataValidation type="decimal" operator="greaterThanOrEqual" allowBlank="1" showInputMessage="1" showErrorMessage="1" errorTitle="Volume data error" error="The volume must be a non-negative number." sqref="G258:G259">
      <formula1>0</formula1>
    </dataValidation>
    <dataValidation type="textLength" operator="equal" allowBlank="1" showInputMessage="1" showErrorMessage="1" error="This cell should remain blank." sqref="G260">
      <formula1>0</formula1>
    </dataValidation>
    <dataValidation type="decimal" operator="greaterThanOrEqual" allowBlank="1" showInputMessage="1" showErrorMessage="1" errorTitle="Volume data error" error="The volume must be a non-negative number." sqref="G261:G262">
      <formula1>0</formula1>
    </dataValidation>
    <dataValidation type="textLength" operator="equal" allowBlank="1" showInputMessage="1" showErrorMessage="1" error="This cell should remain blank." sqref="G263">
      <formula1>0</formula1>
    </dataValidation>
    <dataValidation type="decimal" operator="greaterThanOrEqual" allowBlank="1" showInputMessage="1" showErrorMessage="1" errorTitle="Volume data error" error="The volume must be a non-negative number." sqref="G264:G265">
      <formula1>0</formula1>
    </dataValidation>
    <dataValidation type="textLength" operator="equal" allowBlank="1" showInputMessage="1" showErrorMessage="1" error="This cell should remain blank." sqref="G266">
      <formula1>0</formula1>
    </dataValidation>
    <dataValidation type="decimal" operator="greaterThanOrEqual" allowBlank="1" showInputMessage="1" showErrorMessage="1" errorTitle="Volume data error" error="The volume must be a non-negative number." sqref="G267:G268">
      <formula1>0</formula1>
    </dataValidation>
    <dataValidation type="decimal" operator="greaterThanOrEqual" allowBlank="1" showInputMessage="1" showErrorMessage="1" sqref="B274">
      <formula1>0</formula1>
    </dataValidation>
    <dataValidation type="decimal" operator="greaterThanOrEqual" allowBlank="1" showInputMessage="1" showErrorMessage="1" sqref="B279">
      <formula1>0</formula1>
    </dataValidation>
    <dataValidation type="decimal" operator="greaterThanOrEqual" allowBlank="1" showInputMessage="1" showErrorMessage="1" sqref="C279">
      <formula1>0</formula1>
    </dataValidation>
    <dataValidation type="decimal" allowBlank="1" showInputMessage="1" showErrorMessage="1" sqref="D279">
      <formula1>0</formula1>
      <formula2>1</formula2>
    </dataValidation>
    <dataValidation type="decimal" operator="greaterThanOrEqual" allowBlank="1" showInputMessage="1" showErrorMessage="1" sqref="E279">
      <formula1>0</formula1>
    </dataValidation>
    <dataValidation type="decimal" operator="greaterThanOrEqual" allowBlank="1" showInputMessage="1" showErrorMessage="1" errorTitle="Invalid customer contribution" error="The customer contribution must be a non-negative percentage value." sqref="B287:I290">
      <formula1>0</formula1>
    </dataValidation>
    <dataValidation type="decimal" allowBlank="1" showInputMessage="1" showErrorMessage="1" sqref="B295:D300">
      <formula1>0</formula1>
      <formula2>1</formula2>
    </dataValidation>
    <dataValidation type="decimal" allowBlank="1" showInputMessage="1" showErrorMessage="1" sqref="B305:D306">
      <formula1>0</formula1>
      <formula2>1</formula2>
    </dataValidation>
    <dataValidation type="decimal" allowBlank="1" showInputMessage="1" showErrorMessage="1" sqref="B311:D314">
      <formula1>0</formula1>
      <formula2>1</formula2>
    </dataValidation>
    <dataValidation type="decimal" operator="greaterThanOrEqual" allowBlank="1" showInputMessage="1" showErrorMessage="1" sqref="B321:D321">
      <formula1>0</formula1>
    </dataValidation>
    <dataValidation type="decimal" operator="greaterThanOrEqual" allowBlank="1" showInputMessage="1" showErrorMessage="1" sqref="B328:D328">
      <formula1>0</formula1>
    </dataValidation>
    <dataValidation type="decimal" allowBlank="1" showInputMessage="1" showErrorMessage="1" sqref="B335:D343">
      <formula1>0</formula1>
      <formula2>1</formula2>
    </dataValidation>
    <dataValidation type="decimal" allowBlank="1" showInputMessage="1" showErrorMessage="1" sqref="E335:E343">
      <formula1>0</formula1>
      <formula2>1</formula2>
    </dataValidation>
    <dataValidation type="decimal" allowBlank="1" showInputMessage="1" showErrorMessage="1" sqref="B350:J350">
      <formula1>0</formula1>
      <formula2>1</formula2>
    </dataValidation>
  </dataValidation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1" ht="21" customHeight="1">
      <c r="A1" s="1">
        <f>"Tariffs for "&amp;'Input'!B7&amp;" in "&amp;'Input'!C7&amp;" ("&amp;'Input'!D7&amp;")"</f>
        <v>0</v>
      </c>
    </row>
    <row r="3" spans="1:11" ht="21" customHeight="1">
      <c r="A3" s="1" t="s">
        <v>1537</v>
      </c>
    </row>
    <row r="4" spans="1:11">
      <c r="A4" s="2" t="s">
        <v>351</v>
      </c>
    </row>
    <row r="5" spans="1:11">
      <c r="A5" s="33" t="s">
        <v>1538</v>
      </c>
    </row>
    <row r="6" spans="1:11">
      <c r="A6" s="33" t="s">
        <v>1539</v>
      </c>
    </row>
    <row r="7" spans="1:11">
      <c r="A7" s="33" t="s">
        <v>1540</v>
      </c>
    </row>
    <row r="8" spans="1:11">
      <c r="A8" s="33" t="s">
        <v>1541</v>
      </c>
    </row>
    <row r="9" spans="1:11">
      <c r="A9" s="33" t="s">
        <v>1542</v>
      </c>
    </row>
    <row r="10" spans="1:11">
      <c r="A10" s="33" t="s">
        <v>1543</v>
      </c>
    </row>
    <row r="11" spans="1:11">
      <c r="A11" s="34" t="s">
        <v>354</v>
      </c>
      <c r="B11" s="34" t="s">
        <v>1544</v>
      </c>
      <c r="C11" s="34" t="s">
        <v>355</v>
      </c>
      <c r="D11" s="34" t="s">
        <v>413</v>
      </c>
      <c r="E11" s="34" t="s">
        <v>413</v>
      </c>
      <c r="F11" s="34" t="s">
        <v>413</v>
      </c>
      <c r="G11" s="34" t="s">
        <v>413</v>
      </c>
      <c r="H11" s="34" t="s">
        <v>413</v>
      </c>
      <c r="I11" s="34" t="s">
        <v>413</v>
      </c>
      <c r="J11" s="34" t="s">
        <v>1544</v>
      </c>
    </row>
    <row r="12" spans="1:11">
      <c r="A12" s="34" t="s">
        <v>357</v>
      </c>
      <c r="B12" s="34" t="s">
        <v>358</v>
      </c>
      <c r="C12" s="34" t="s">
        <v>358</v>
      </c>
      <c r="D12" s="34" t="s">
        <v>1545</v>
      </c>
      <c r="E12" s="34" t="s">
        <v>416</v>
      </c>
      <c r="F12" s="34" t="s">
        <v>1546</v>
      </c>
      <c r="G12" s="34" t="s">
        <v>1014</v>
      </c>
      <c r="H12" s="34" t="s">
        <v>907</v>
      </c>
      <c r="I12" s="34" t="s">
        <v>1547</v>
      </c>
      <c r="J12" s="34" t="s">
        <v>358</v>
      </c>
    </row>
    <row r="14" spans="1:11">
      <c r="B14" s="15" t="s">
        <v>1548</v>
      </c>
      <c r="C14" s="15" t="s">
        <v>1549</v>
      </c>
      <c r="D14" s="15" t="s">
        <v>1466</v>
      </c>
      <c r="E14" s="15" t="s">
        <v>1467</v>
      </c>
      <c r="F14" s="15" t="s">
        <v>1468</v>
      </c>
      <c r="G14" s="15" t="s">
        <v>1469</v>
      </c>
      <c r="H14" s="15" t="s">
        <v>1470</v>
      </c>
      <c r="I14" s="15" t="s">
        <v>1099</v>
      </c>
      <c r="J14" s="15" t="s">
        <v>1550</v>
      </c>
    </row>
    <row r="15" spans="1:11">
      <c r="A15" s="4" t="s">
        <v>174</v>
      </c>
      <c r="B15" s="16">
        <f>#VALUE!</f>
        <v>0</v>
      </c>
      <c r="C15" s="48">
        <v>1</v>
      </c>
      <c r="D15" s="39">
        <f>'Adjust'!B$211</f>
        <v>0</v>
      </c>
      <c r="E15" s="39">
        <f>'Adjust'!C$211</f>
        <v>0</v>
      </c>
      <c r="F15" s="39">
        <f>'Adjust'!D$211</f>
        <v>0</v>
      </c>
      <c r="G15" s="47">
        <f>'Adjust'!E$211</f>
        <v>0</v>
      </c>
      <c r="H15" s="47">
        <f>'Adjust'!F$211</f>
        <v>0</v>
      </c>
      <c r="I15" s="39">
        <f>'Adjust'!G$211</f>
        <v>0</v>
      </c>
      <c r="J15" s="16">
        <f>#VALUE!</f>
        <v>0</v>
      </c>
      <c r="K15" s="17"/>
    </row>
    <row r="16" spans="1:11">
      <c r="A16" s="4" t="s">
        <v>175</v>
      </c>
      <c r="B16" s="16">
        <f>#VALUE!</f>
        <v>0</v>
      </c>
      <c r="C16" s="48">
        <v>2</v>
      </c>
      <c r="D16" s="39">
        <f>'Adjust'!B$215</f>
        <v>0</v>
      </c>
      <c r="E16" s="39">
        <f>'Adjust'!C$215</f>
        <v>0</v>
      </c>
      <c r="F16" s="39">
        <f>'Adjust'!D$215</f>
        <v>0</v>
      </c>
      <c r="G16" s="47">
        <f>'Adjust'!E$215</f>
        <v>0</v>
      </c>
      <c r="H16" s="47">
        <f>'Adjust'!F$215</f>
        <v>0</v>
      </c>
      <c r="I16" s="39">
        <f>'Adjust'!G$215</f>
        <v>0</v>
      </c>
      <c r="J16" s="16">
        <f>#VALUE!</f>
        <v>0</v>
      </c>
      <c r="K16" s="17"/>
    </row>
    <row r="17" spans="1:11">
      <c r="A17" s="4" t="s">
        <v>211</v>
      </c>
      <c r="B17" s="16">
        <f>#VALUE!</f>
        <v>0</v>
      </c>
      <c r="C17" s="48">
        <v>2</v>
      </c>
      <c r="D17" s="39">
        <f>'Adjust'!B$219</f>
        <v>0</v>
      </c>
      <c r="E17" s="39">
        <f>'Adjust'!C$219</f>
        <v>0</v>
      </c>
      <c r="F17" s="39">
        <f>'Adjust'!D$219</f>
        <v>0</v>
      </c>
      <c r="G17" s="47">
        <f>'Adjust'!E$219</f>
        <v>0</v>
      </c>
      <c r="H17" s="47">
        <f>'Adjust'!F$219</f>
        <v>0</v>
      </c>
      <c r="I17" s="39">
        <f>'Adjust'!G$219</f>
        <v>0</v>
      </c>
      <c r="J17" s="16">
        <f>#VALUE!</f>
        <v>0</v>
      </c>
      <c r="K17" s="17"/>
    </row>
    <row r="18" spans="1:11">
      <c r="A18" s="4" t="s">
        <v>176</v>
      </c>
      <c r="B18" s="16">
        <f>#VALUE!</f>
        <v>0</v>
      </c>
      <c r="C18" s="48">
        <v>3</v>
      </c>
      <c r="D18" s="39">
        <f>'Adjust'!B$223</f>
        <v>0</v>
      </c>
      <c r="E18" s="39">
        <f>'Adjust'!C$223</f>
        <v>0</v>
      </c>
      <c r="F18" s="39">
        <f>'Adjust'!D$223</f>
        <v>0</v>
      </c>
      <c r="G18" s="47">
        <f>'Adjust'!E$223</f>
        <v>0</v>
      </c>
      <c r="H18" s="47">
        <f>'Adjust'!F$223</f>
        <v>0</v>
      </c>
      <c r="I18" s="39">
        <f>'Adjust'!G$223</f>
        <v>0</v>
      </c>
      <c r="J18" s="16">
        <f>#VALUE!</f>
        <v>0</v>
      </c>
      <c r="K18" s="17"/>
    </row>
    <row r="19" spans="1:11">
      <c r="A19" s="4" t="s">
        <v>177</v>
      </c>
      <c r="B19" s="16">
        <f>#VALUE!</f>
        <v>0</v>
      </c>
      <c r="C19" s="48">
        <v>4</v>
      </c>
      <c r="D19" s="39">
        <f>'Adjust'!B$227</f>
        <v>0</v>
      </c>
      <c r="E19" s="39">
        <f>'Adjust'!C$227</f>
        <v>0</v>
      </c>
      <c r="F19" s="39">
        <f>'Adjust'!D$227</f>
        <v>0</v>
      </c>
      <c r="G19" s="47">
        <f>'Adjust'!E$227</f>
        <v>0</v>
      </c>
      <c r="H19" s="47">
        <f>'Adjust'!F$227</f>
        <v>0</v>
      </c>
      <c r="I19" s="39">
        <f>'Adjust'!G$227</f>
        <v>0</v>
      </c>
      <c r="J19" s="16">
        <f>#VALUE!</f>
        <v>0</v>
      </c>
      <c r="K19" s="17"/>
    </row>
    <row r="20" spans="1:11">
      <c r="A20" s="4" t="s">
        <v>212</v>
      </c>
      <c r="B20" s="16">
        <f>#VALUE!</f>
        <v>0</v>
      </c>
      <c r="C20" s="48">
        <v>4</v>
      </c>
      <c r="D20" s="39">
        <f>'Adjust'!B$231</f>
        <v>0</v>
      </c>
      <c r="E20" s="39">
        <f>'Adjust'!C$231</f>
        <v>0</v>
      </c>
      <c r="F20" s="39">
        <f>'Adjust'!D$231</f>
        <v>0</v>
      </c>
      <c r="G20" s="47">
        <f>'Adjust'!E$231</f>
        <v>0</v>
      </c>
      <c r="H20" s="47">
        <f>'Adjust'!F$231</f>
        <v>0</v>
      </c>
      <c r="I20" s="39">
        <f>'Adjust'!G$231</f>
        <v>0</v>
      </c>
      <c r="J20" s="16">
        <f>#VALUE!</f>
        <v>0</v>
      </c>
      <c r="K20" s="17"/>
    </row>
    <row r="21" spans="1:11">
      <c r="A21" s="4" t="s">
        <v>178</v>
      </c>
      <c r="B21" s="16">
        <f>#VALUE!</f>
        <v>0</v>
      </c>
      <c r="C21" s="48"/>
      <c r="D21" s="39">
        <f>'Adjust'!B$235</f>
        <v>0</v>
      </c>
      <c r="E21" s="39">
        <f>'Adjust'!C$235</f>
        <v>0</v>
      </c>
      <c r="F21" s="39">
        <f>'Adjust'!D$235</f>
        <v>0</v>
      </c>
      <c r="G21" s="47">
        <f>'Adjust'!E$235</f>
        <v>0</v>
      </c>
      <c r="H21" s="47">
        <f>'Adjust'!F$235</f>
        <v>0</v>
      </c>
      <c r="I21" s="39">
        <f>'Adjust'!G$235</f>
        <v>0</v>
      </c>
      <c r="J21" s="16">
        <f>#VALUE!</f>
        <v>0</v>
      </c>
      <c r="K21" s="17"/>
    </row>
    <row r="22" spans="1:11">
      <c r="A22" s="4" t="s">
        <v>179</v>
      </c>
      <c r="B22" s="16">
        <f>#VALUE!</f>
        <v>0</v>
      </c>
      <c r="C22" s="48"/>
      <c r="D22" s="39">
        <f>'Adjust'!B$239</f>
        <v>0</v>
      </c>
      <c r="E22" s="39">
        <f>'Adjust'!C$239</f>
        <v>0</v>
      </c>
      <c r="F22" s="39">
        <f>'Adjust'!D$239</f>
        <v>0</v>
      </c>
      <c r="G22" s="47">
        <f>'Adjust'!E$239</f>
        <v>0</v>
      </c>
      <c r="H22" s="47">
        <f>'Adjust'!F$239</f>
        <v>0</v>
      </c>
      <c r="I22" s="39">
        <f>'Adjust'!G$239</f>
        <v>0</v>
      </c>
      <c r="J22" s="16">
        <f>#VALUE!</f>
        <v>0</v>
      </c>
      <c r="K22" s="17"/>
    </row>
    <row r="23" spans="1:11">
      <c r="A23" s="4" t="s">
        <v>180</v>
      </c>
      <c r="B23" s="16">
        <f>#VALUE!</f>
        <v>0</v>
      </c>
      <c r="C23" s="48"/>
      <c r="D23" s="39">
        <f>'Adjust'!B$243</f>
        <v>0</v>
      </c>
      <c r="E23" s="39">
        <f>'Adjust'!C$243</f>
        <v>0</v>
      </c>
      <c r="F23" s="39">
        <f>'Adjust'!D$243</f>
        <v>0</v>
      </c>
      <c r="G23" s="47">
        <f>'Adjust'!E$243</f>
        <v>0</v>
      </c>
      <c r="H23" s="47">
        <f>'Adjust'!F$243</f>
        <v>0</v>
      </c>
      <c r="I23" s="39">
        <f>'Adjust'!G$243</f>
        <v>0</v>
      </c>
      <c r="J23" s="16">
        <f>#VALUE!</f>
        <v>0</v>
      </c>
      <c r="K23" s="17"/>
    </row>
    <row r="24" spans="1:11">
      <c r="A24" s="4" t="s">
        <v>181</v>
      </c>
      <c r="B24" s="16">
        <f>#VALUE!</f>
        <v>0</v>
      </c>
      <c r="C24" s="48"/>
      <c r="D24" s="39">
        <f>'Adjust'!B$247</f>
        <v>0</v>
      </c>
      <c r="E24" s="39">
        <f>'Adjust'!C$247</f>
        <v>0</v>
      </c>
      <c r="F24" s="39">
        <f>'Adjust'!D$247</f>
        <v>0</v>
      </c>
      <c r="G24" s="47">
        <f>'Adjust'!E$247</f>
        <v>0</v>
      </c>
      <c r="H24" s="47">
        <f>'Adjust'!F$247</f>
        <v>0</v>
      </c>
      <c r="I24" s="39">
        <f>'Adjust'!G$247</f>
        <v>0</v>
      </c>
      <c r="J24" s="16">
        <f>#VALUE!</f>
        <v>0</v>
      </c>
      <c r="K24" s="17"/>
    </row>
    <row r="25" spans="1:11">
      <c r="A25" s="4" t="s">
        <v>193</v>
      </c>
      <c r="B25" s="16">
        <f>#VALUE!</f>
        <v>0</v>
      </c>
      <c r="C25" s="48"/>
      <c r="D25" s="39">
        <f>'Adjust'!B$250</f>
        <v>0</v>
      </c>
      <c r="E25" s="39">
        <f>'Adjust'!C$250</f>
        <v>0</v>
      </c>
      <c r="F25" s="39">
        <f>'Adjust'!D$250</f>
        <v>0</v>
      </c>
      <c r="G25" s="47">
        <f>'Adjust'!E$250</f>
        <v>0</v>
      </c>
      <c r="H25" s="47">
        <f>'Adjust'!F$250</f>
        <v>0</v>
      </c>
      <c r="I25" s="39">
        <f>'Adjust'!G$250</f>
        <v>0</v>
      </c>
      <c r="J25" s="16">
        <f>#VALUE!</f>
        <v>0</v>
      </c>
      <c r="K25" s="17"/>
    </row>
    <row r="26" spans="1:11">
      <c r="A26" s="4" t="s">
        <v>213</v>
      </c>
      <c r="B26" s="16">
        <f>#VALUE!</f>
        <v>0</v>
      </c>
      <c r="C26" s="48">
        <v>8</v>
      </c>
      <c r="D26" s="39">
        <f>'Adjust'!B$253</f>
        <v>0</v>
      </c>
      <c r="E26" s="39">
        <f>'Adjust'!C$253</f>
        <v>0</v>
      </c>
      <c r="F26" s="39">
        <f>'Adjust'!D$253</f>
        <v>0</v>
      </c>
      <c r="G26" s="47">
        <f>'Adjust'!E$253</f>
        <v>0</v>
      </c>
      <c r="H26" s="47">
        <f>'Adjust'!F$253</f>
        <v>0</v>
      </c>
      <c r="I26" s="39">
        <f>'Adjust'!G$253</f>
        <v>0</v>
      </c>
      <c r="J26" s="16">
        <f>#VALUE!</f>
        <v>0</v>
      </c>
      <c r="K26" s="17"/>
    </row>
    <row r="27" spans="1:11">
      <c r="A27" s="4" t="s">
        <v>214</v>
      </c>
      <c r="B27" s="16">
        <f>#VALUE!</f>
        <v>0</v>
      </c>
      <c r="C27" s="48">
        <v>1</v>
      </c>
      <c r="D27" s="39">
        <f>'Adjust'!B$257</f>
        <v>0</v>
      </c>
      <c r="E27" s="39">
        <f>'Adjust'!C$257</f>
        <v>0</v>
      </c>
      <c r="F27" s="39">
        <f>'Adjust'!D$257</f>
        <v>0</v>
      </c>
      <c r="G27" s="47">
        <f>'Adjust'!E$257</f>
        <v>0</v>
      </c>
      <c r="H27" s="47">
        <f>'Adjust'!F$257</f>
        <v>0</v>
      </c>
      <c r="I27" s="39">
        <f>'Adjust'!G$257</f>
        <v>0</v>
      </c>
      <c r="J27" s="16">
        <f>#VALUE!</f>
        <v>0</v>
      </c>
      <c r="K27" s="17"/>
    </row>
    <row r="28" spans="1:11">
      <c r="A28" s="4" t="s">
        <v>215</v>
      </c>
      <c r="B28" s="16">
        <f>#VALUE!</f>
        <v>0</v>
      </c>
      <c r="C28" s="48">
        <v>1</v>
      </c>
      <c r="D28" s="39">
        <f>'Adjust'!B$261</f>
        <v>0</v>
      </c>
      <c r="E28" s="39">
        <f>'Adjust'!C$261</f>
        <v>0</v>
      </c>
      <c r="F28" s="39">
        <f>'Adjust'!D$261</f>
        <v>0</v>
      </c>
      <c r="G28" s="47">
        <f>'Adjust'!E$261</f>
        <v>0</v>
      </c>
      <c r="H28" s="47">
        <f>'Adjust'!F$261</f>
        <v>0</v>
      </c>
      <c r="I28" s="39">
        <f>'Adjust'!G$261</f>
        <v>0</v>
      </c>
      <c r="J28" s="16">
        <f>#VALUE!</f>
        <v>0</v>
      </c>
      <c r="K28" s="17"/>
    </row>
    <row r="29" spans="1:11">
      <c r="A29" s="4" t="s">
        <v>216</v>
      </c>
      <c r="B29" s="16">
        <f>#VALUE!</f>
        <v>0</v>
      </c>
      <c r="C29" s="48">
        <v>1</v>
      </c>
      <c r="D29" s="39">
        <f>'Adjust'!B$265</f>
        <v>0</v>
      </c>
      <c r="E29" s="39">
        <f>'Adjust'!C$265</f>
        <v>0</v>
      </c>
      <c r="F29" s="39">
        <f>'Adjust'!D$265</f>
        <v>0</v>
      </c>
      <c r="G29" s="47">
        <f>'Adjust'!E$265</f>
        <v>0</v>
      </c>
      <c r="H29" s="47">
        <f>'Adjust'!F$265</f>
        <v>0</v>
      </c>
      <c r="I29" s="39">
        <f>'Adjust'!G$265</f>
        <v>0</v>
      </c>
      <c r="J29" s="16">
        <f>#VALUE!</f>
        <v>0</v>
      </c>
      <c r="K29" s="17"/>
    </row>
    <row r="30" spans="1:11">
      <c r="A30" s="4" t="s">
        <v>217</v>
      </c>
      <c r="B30" s="16">
        <f>#VALUE!</f>
        <v>0</v>
      </c>
      <c r="C30" s="48"/>
      <c r="D30" s="39">
        <f>'Adjust'!B$269</f>
        <v>0</v>
      </c>
      <c r="E30" s="39">
        <f>'Adjust'!C$269</f>
        <v>0</v>
      </c>
      <c r="F30" s="39">
        <f>'Adjust'!D$269</f>
        <v>0</v>
      </c>
      <c r="G30" s="47">
        <f>'Adjust'!E$269</f>
        <v>0</v>
      </c>
      <c r="H30" s="47">
        <f>'Adjust'!F$269</f>
        <v>0</v>
      </c>
      <c r="I30" s="39">
        <f>'Adjust'!G$269</f>
        <v>0</v>
      </c>
      <c r="J30" s="16">
        <f>#VALUE!</f>
        <v>0</v>
      </c>
      <c r="K30" s="17"/>
    </row>
    <row r="31" spans="1:11">
      <c r="A31" s="4" t="s">
        <v>182</v>
      </c>
      <c r="B31" s="16">
        <f>#VALUE!</f>
        <v>0</v>
      </c>
      <c r="C31" s="48" t="s">
        <v>1551</v>
      </c>
      <c r="D31" s="39">
        <f>'Adjust'!B$273</f>
        <v>0</v>
      </c>
      <c r="E31" s="39">
        <f>'Adjust'!C$273</f>
        <v>0</v>
      </c>
      <c r="F31" s="39">
        <f>'Adjust'!D$273</f>
        <v>0</v>
      </c>
      <c r="G31" s="47">
        <f>'Adjust'!E$273</f>
        <v>0</v>
      </c>
      <c r="H31" s="47">
        <f>'Adjust'!F$273</f>
        <v>0</v>
      </c>
      <c r="I31" s="39">
        <f>'Adjust'!G$273</f>
        <v>0</v>
      </c>
      <c r="J31" s="16">
        <f>#VALUE!</f>
        <v>0</v>
      </c>
      <c r="K31" s="17"/>
    </row>
    <row r="32" spans="1:11">
      <c r="A32" s="4" t="s">
        <v>183</v>
      </c>
      <c r="B32" s="16">
        <f>#VALUE!</f>
        <v>0</v>
      </c>
      <c r="C32" s="48">
        <v>8</v>
      </c>
      <c r="D32" s="39">
        <f>'Adjust'!B$277</f>
        <v>0</v>
      </c>
      <c r="E32" s="39">
        <f>'Adjust'!C$277</f>
        <v>0</v>
      </c>
      <c r="F32" s="39">
        <f>'Adjust'!D$277</f>
        <v>0</v>
      </c>
      <c r="G32" s="47">
        <f>'Adjust'!E$277</f>
        <v>0</v>
      </c>
      <c r="H32" s="47">
        <f>'Adjust'!F$277</f>
        <v>0</v>
      </c>
      <c r="I32" s="39">
        <f>'Adjust'!G$277</f>
        <v>0</v>
      </c>
      <c r="J32" s="16">
        <f>#VALUE!</f>
        <v>0</v>
      </c>
      <c r="K32" s="17"/>
    </row>
    <row r="33" spans="1:11">
      <c r="A33" s="4" t="s">
        <v>184</v>
      </c>
      <c r="B33" s="16">
        <f>#VALUE!</f>
        <v>0</v>
      </c>
      <c r="C33" s="48"/>
      <c r="D33" s="39">
        <f>'Adjust'!B$280</f>
        <v>0</v>
      </c>
      <c r="E33" s="39">
        <f>'Adjust'!C$280</f>
        <v>0</v>
      </c>
      <c r="F33" s="39">
        <f>'Adjust'!D$280</f>
        <v>0</v>
      </c>
      <c r="G33" s="47">
        <f>'Adjust'!E$280</f>
        <v>0</v>
      </c>
      <c r="H33" s="47">
        <f>'Adjust'!F$280</f>
        <v>0</v>
      </c>
      <c r="I33" s="39">
        <f>'Adjust'!G$280</f>
        <v>0</v>
      </c>
      <c r="J33" s="16">
        <f>#VALUE!</f>
        <v>0</v>
      </c>
      <c r="K33" s="17"/>
    </row>
    <row r="34" spans="1:11">
      <c r="A34" s="4" t="s">
        <v>185</v>
      </c>
      <c r="B34" s="16">
        <f>#VALUE!</f>
        <v>0</v>
      </c>
      <c r="C34" s="48"/>
      <c r="D34" s="39">
        <f>'Adjust'!B$284</f>
        <v>0</v>
      </c>
      <c r="E34" s="39">
        <f>'Adjust'!C$284</f>
        <v>0</v>
      </c>
      <c r="F34" s="39">
        <f>'Adjust'!D$284</f>
        <v>0</v>
      </c>
      <c r="G34" s="47">
        <f>'Adjust'!E$284</f>
        <v>0</v>
      </c>
      <c r="H34" s="47">
        <f>'Adjust'!F$284</f>
        <v>0</v>
      </c>
      <c r="I34" s="39">
        <f>'Adjust'!G$284</f>
        <v>0</v>
      </c>
      <c r="J34" s="16">
        <f>#VALUE!</f>
        <v>0</v>
      </c>
      <c r="K34" s="17"/>
    </row>
    <row r="35" spans="1:11">
      <c r="A35" s="4" t="s">
        <v>186</v>
      </c>
      <c r="B35" s="16">
        <f>#VALUE!</f>
        <v>0</v>
      </c>
      <c r="C35" s="48"/>
      <c r="D35" s="39">
        <f>'Adjust'!B$288</f>
        <v>0</v>
      </c>
      <c r="E35" s="39">
        <f>'Adjust'!C$288</f>
        <v>0</v>
      </c>
      <c r="F35" s="39">
        <f>'Adjust'!D$288</f>
        <v>0</v>
      </c>
      <c r="G35" s="47">
        <f>'Adjust'!E$288</f>
        <v>0</v>
      </c>
      <c r="H35" s="47">
        <f>'Adjust'!F$288</f>
        <v>0</v>
      </c>
      <c r="I35" s="39">
        <f>'Adjust'!G$288</f>
        <v>0</v>
      </c>
      <c r="J35" s="16">
        <f>#VALUE!</f>
        <v>0</v>
      </c>
      <c r="K35" s="17"/>
    </row>
    <row r="36" spans="1:11">
      <c r="A36" s="4" t="s">
        <v>187</v>
      </c>
      <c r="B36" s="16">
        <f>#VALUE!</f>
        <v>0</v>
      </c>
      <c r="C36" s="48"/>
      <c r="D36" s="39">
        <f>'Adjust'!B$291</f>
        <v>0</v>
      </c>
      <c r="E36" s="39">
        <f>'Adjust'!C$291</f>
        <v>0</v>
      </c>
      <c r="F36" s="39">
        <f>'Adjust'!D$291</f>
        <v>0</v>
      </c>
      <c r="G36" s="47">
        <f>'Adjust'!E$291</f>
        <v>0</v>
      </c>
      <c r="H36" s="47">
        <f>'Adjust'!F$291</f>
        <v>0</v>
      </c>
      <c r="I36" s="39">
        <f>'Adjust'!G$291</f>
        <v>0</v>
      </c>
      <c r="J36" s="16">
        <f>#VALUE!</f>
        <v>0</v>
      </c>
      <c r="K36" s="17"/>
    </row>
    <row r="37" spans="1:11">
      <c r="A37" s="4" t="s">
        <v>194</v>
      </c>
      <c r="B37" s="16">
        <f>#VALUE!</f>
        <v>0</v>
      </c>
      <c r="C37" s="48"/>
      <c r="D37" s="39">
        <f>'Adjust'!B$294</f>
        <v>0</v>
      </c>
      <c r="E37" s="39">
        <f>'Adjust'!C$294</f>
        <v>0</v>
      </c>
      <c r="F37" s="39">
        <f>'Adjust'!D$294</f>
        <v>0</v>
      </c>
      <c r="G37" s="47">
        <f>'Adjust'!E$294</f>
        <v>0</v>
      </c>
      <c r="H37" s="47">
        <f>'Adjust'!F$294</f>
        <v>0</v>
      </c>
      <c r="I37" s="39">
        <f>'Adjust'!G$294</f>
        <v>0</v>
      </c>
      <c r="J37" s="16">
        <f>#VALUE!</f>
        <v>0</v>
      </c>
      <c r="K37" s="17"/>
    </row>
    <row r="38" spans="1:11">
      <c r="A38" s="4" t="s">
        <v>195</v>
      </c>
      <c r="B38" s="16">
        <f>#VALUE!</f>
        <v>0</v>
      </c>
      <c r="C38" s="48"/>
      <c r="D38" s="39">
        <f>'Adjust'!B$297</f>
        <v>0</v>
      </c>
      <c r="E38" s="39">
        <f>'Adjust'!C$297</f>
        <v>0</v>
      </c>
      <c r="F38" s="39">
        <f>'Adjust'!D$297</f>
        <v>0</v>
      </c>
      <c r="G38" s="47">
        <f>'Adjust'!E$297</f>
        <v>0</v>
      </c>
      <c r="H38" s="47">
        <f>'Adjust'!F$297</f>
        <v>0</v>
      </c>
      <c r="I38" s="39">
        <f>'Adjust'!G$297</f>
        <v>0</v>
      </c>
      <c r="J38" s="16">
        <f>#VALUE!</f>
        <v>0</v>
      </c>
      <c r="K38" s="17"/>
    </row>
    <row r="39" spans="1:11">
      <c r="A39" s="4" t="s">
        <v>229</v>
      </c>
      <c r="B39" s="16">
        <f>#VALUE!</f>
        <v>0</v>
      </c>
      <c r="C39" s="48">
        <v>1</v>
      </c>
      <c r="D39" s="39">
        <f>'Adjust'!B$212</f>
        <v>0</v>
      </c>
      <c r="E39" s="39">
        <f>'Adjust'!C$212</f>
        <v>0</v>
      </c>
      <c r="F39" s="39">
        <f>'Adjust'!D$212</f>
        <v>0</v>
      </c>
      <c r="G39" s="47">
        <f>'Adjust'!E$212</f>
        <v>0</v>
      </c>
      <c r="H39" s="47">
        <f>'Adjust'!F$212</f>
        <v>0</v>
      </c>
      <c r="I39" s="39">
        <f>'Adjust'!G$212</f>
        <v>0</v>
      </c>
      <c r="J39" s="16">
        <f>#VALUE!</f>
        <v>0</v>
      </c>
      <c r="K39" s="17"/>
    </row>
    <row r="40" spans="1:11">
      <c r="A40" s="4" t="s">
        <v>232</v>
      </c>
      <c r="B40" s="16">
        <f>#VALUE!</f>
        <v>0</v>
      </c>
      <c r="C40" s="48">
        <v>2</v>
      </c>
      <c r="D40" s="39">
        <f>'Adjust'!B$216</f>
        <v>0</v>
      </c>
      <c r="E40" s="39">
        <f>'Adjust'!C$216</f>
        <v>0</v>
      </c>
      <c r="F40" s="39">
        <f>'Adjust'!D$216</f>
        <v>0</v>
      </c>
      <c r="G40" s="47">
        <f>'Adjust'!E$216</f>
        <v>0</v>
      </c>
      <c r="H40" s="47">
        <f>'Adjust'!F$216</f>
        <v>0</v>
      </c>
      <c r="I40" s="39">
        <f>'Adjust'!G$216</f>
        <v>0</v>
      </c>
      <c r="J40" s="16">
        <f>#VALUE!</f>
        <v>0</v>
      </c>
      <c r="K40" s="17"/>
    </row>
    <row r="41" spans="1:11">
      <c r="A41" s="4" t="s">
        <v>235</v>
      </c>
      <c r="B41" s="16">
        <f>#VALUE!</f>
        <v>0</v>
      </c>
      <c r="C41" s="48">
        <v>2</v>
      </c>
      <c r="D41" s="39">
        <f>'Adjust'!B$220</f>
        <v>0</v>
      </c>
      <c r="E41" s="39">
        <f>'Adjust'!C$220</f>
        <v>0</v>
      </c>
      <c r="F41" s="39">
        <f>'Adjust'!D$220</f>
        <v>0</v>
      </c>
      <c r="G41" s="47">
        <f>'Adjust'!E$220</f>
        <v>0</v>
      </c>
      <c r="H41" s="47">
        <f>'Adjust'!F$220</f>
        <v>0</v>
      </c>
      <c r="I41" s="39">
        <f>'Adjust'!G$220</f>
        <v>0</v>
      </c>
      <c r="J41" s="16">
        <f>#VALUE!</f>
        <v>0</v>
      </c>
      <c r="K41" s="17"/>
    </row>
    <row r="42" spans="1:11">
      <c r="A42" s="4" t="s">
        <v>238</v>
      </c>
      <c r="B42" s="16">
        <f>#VALUE!</f>
        <v>0</v>
      </c>
      <c r="C42" s="48">
        <v>3</v>
      </c>
      <c r="D42" s="39">
        <f>'Adjust'!B$224</f>
        <v>0</v>
      </c>
      <c r="E42" s="39">
        <f>'Adjust'!C$224</f>
        <v>0</v>
      </c>
      <c r="F42" s="39">
        <f>'Adjust'!D$224</f>
        <v>0</v>
      </c>
      <c r="G42" s="47">
        <f>'Adjust'!E$224</f>
        <v>0</v>
      </c>
      <c r="H42" s="47">
        <f>'Adjust'!F$224</f>
        <v>0</v>
      </c>
      <c r="I42" s="39">
        <f>'Adjust'!G$224</f>
        <v>0</v>
      </c>
      <c r="J42" s="16">
        <f>#VALUE!</f>
        <v>0</v>
      </c>
      <c r="K42" s="17"/>
    </row>
    <row r="43" spans="1:11">
      <c r="A43" s="4" t="s">
        <v>241</v>
      </c>
      <c r="B43" s="16">
        <f>#VALUE!</f>
        <v>0</v>
      </c>
      <c r="C43" s="48">
        <v>4</v>
      </c>
      <c r="D43" s="39">
        <f>'Adjust'!B$228</f>
        <v>0</v>
      </c>
      <c r="E43" s="39">
        <f>'Adjust'!C$228</f>
        <v>0</v>
      </c>
      <c r="F43" s="39">
        <f>'Adjust'!D$228</f>
        <v>0</v>
      </c>
      <c r="G43" s="47">
        <f>'Adjust'!E$228</f>
        <v>0</v>
      </c>
      <c r="H43" s="47">
        <f>'Adjust'!F$228</f>
        <v>0</v>
      </c>
      <c r="I43" s="39">
        <f>'Adjust'!G$228</f>
        <v>0</v>
      </c>
      <c r="J43" s="16">
        <f>#VALUE!</f>
        <v>0</v>
      </c>
      <c r="K43" s="17"/>
    </row>
    <row r="44" spans="1:11">
      <c r="A44" s="4" t="s">
        <v>244</v>
      </c>
      <c r="B44" s="16">
        <f>#VALUE!</f>
        <v>0</v>
      </c>
      <c r="C44" s="48">
        <v>4</v>
      </c>
      <c r="D44" s="39">
        <f>'Adjust'!B$232</f>
        <v>0</v>
      </c>
      <c r="E44" s="39">
        <f>'Adjust'!C$232</f>
        <v>0</v>
      </c>
      <c r="F44" s="39">
        <f>'Adjust'!D$232</f>
        <v>0</v>
      </c>
      <c r="G44" s="47">
        <f>'Adjust'!E$232</f>
        <v>0</v>
      </c>
      <c r="H44" s="47">
        <f>'Adjust'!F$232</f>
        <v>0</v>
      </c>
      <c r="I44" s="39">
        <f>'Adjust'!G$232</f>
        <v>0</v>
      </c>
      <c r="J44" s="16">
        <f>#VALUE!</f>
        <v>0</v>
      </c>
      <c r="K44" s="17"/>
    </row>
    <row r="45" spans="1:11">
      <c r="A45" s="4" t="s">
        <v>247</v>
      </c>
      <c r="B45" s="16">
        <f>#VALUE!</f>
        <v>0</v>
      </c>
      <c r="C45" s="48"/>
      <c r="D45" s="39">
        <f>'Adjust'!B$236</f>
        <v>0</v>
      </c>
      <c r="E45" s="39">
        <f>'Adjust'!C$236</f>
        <v>0</v>
      </c>
      <c r="F45" s="39">
        <f>'Adjust'!D$236</f>
        <v>0</v>
      </c>
      <c r="G45" s="47">
        <f>'Adjust'!E$236</f>
        <v>0</v>
      </c>
      <c r="H45" s="47">
        <f>'Adjust'!F$236</f>
        <v>0</v>
      </c>
      <c r="I45" s="39">
        <f>'Adjust'!G$236</f>
        <v>0</v>
      </c>
      <c r="J45" s="16">
        <f>#VALUE!</f>
        <v>0</v>
      </c>
      <c r="K45" s="17"/>
    </row>
    <row r="46" spans="1:11">
      <c r="A46" s="4" t="s">
        <v>250</v>
      </c>
      <c r="B46" s="16">
        <f>#VALUE!</f>
        <v>0</v>
      </c>
      <c r="C46" s="48"/>
      <c r="D46" s="39">
        <f>'Adjust'!B$240</f>
        <v>0</v>
      </c>
      <c r="E46" s="39">
        <f>'Adjust'!C$240</f>
        <v>0</v>
      </c>
      <c r="F46" s="39">
        <f>'Adjust'!D$240</f>
        <v>0</v>
      </c>
      <c r="G46" s="47">
        <f>'Adjust'!E$240</f>
        <v>0</v>
      </c>
      <c r="H46" s="47">
        <f>'Adjust'!F$240</f>
        <v>0</v>
      </c>
      <c r="I46" s="39">
        <f>'Adjust'!G$240</f>
        <v>0</v>
      </c>
      <c r="J46" s="16">
        <f>#VALUE!</f>
        <v>0</v>
      </c>
      <c r="K46" s="17"/>
    </row>
    <row r="47" spans="1:11">
      <c r="A47" s="4" t="s">
        <v>253</v>
      </c>
      <c r="B47" s="16">
        <f>#VALUE!</f>
        <v>0</v>
      </c>
      <c r="C47" s="48"/>
      <c r="D47" s="39">
        <f>'Adjust'!B$244</f>
        <v>0</v>
      </c>
      <c r="E47" s="39">
        <f>'Adjust'!C$244</f>
        <v>0</v>
      </c>
      <c r="F47" s="39">
        <f>'Adjust'!D$244</f>
        <v>0</v>
      </c>
      <c r="G47" s="47">
        <f>'Adjust'!E$244</f>
        <v>0</v>
      </c>
      <c r="H47" s="47">
        <f>'Adjust'!F$244</f>
        <v>0</v>
      </c>
      <c r="I47" s="39">
        <f>'Adjust'!G$244</f>
        <v>0</v>
      </c>
      <c r="J47" s="16">
        <f>#VALUE!</f>
        <v>0</v>
      </c>
      <c r="K47" s="17"/>
    </row>
    <row r="48" spans="1:11">
      <c r="A48" s="4" t="s">
        <v>260</v>
      </c>
      <c r="B48" s="16">
        <f>#VALUE!</f>
        <v>0</v>
      </c>
      <c r="C48" s="48">
        <v>8</v>
      </c>
      <c r="D48" s="39">
        <f>'Adjust'!B$254</f>
        <v>0</v>
      </c>
      <c r="E48" s="39">
        <f>'Adjust'!C$254</f>
        <v>0</v>
      </c>
      <c r="F48" s="39">
        <f>'Adjust'!D$254</f>
        <v>0</v>
      </c>
      <c r="G48" s="47">
        <f>'Adjust'!E$254</f>
        <v>0</v>
      </c>
      <c r="H48" s="47">
        <f>'Adjust'!F$254</f>
        <v>0</v>
      </c>
      <c r="I48" s="39">
        <f>'Adjust'!G$254</f>
        <v>0</v>
      </c>
      <c r="J48" s="16">
        <f>#VALUE!</f>
        <v>0</v>
      </c>
      <c r="K48" s="17"/>
    </row>
    <row r="49" spans="1:11">
      <c r="A49" s="4" t="s">
        <v>263</v>
      </c>
      <c r="B49" s="16">
        <f>#VALUE!</f>
        <v>0</v>
      </c>
      <c r="C49" s="48">
        <v>1</v>
      </c>
      <c r="D49" s="39">
        <f>'Adjust'!B$258</f>
        <v>0</v>
      </c>
      <c r="E49" s="39">
        <f>'Adjust'!C$258</f>
        <v>0</v>
      </c>
      <c r="F49" s="39">
        <f>'Adjust'!D$258</f>
        <v>0</v>
      </c>
      <c r="G49" s="47">
        <f>'Adjust'!E$258</f>
        <v>0</v>
      </c>
      <c r="H49" s="47">
        <f>'Adjust'!F$258</f>
        <v>0</v>
      </c>
      <c r="I49" s="39">
        <f>'Adjust'!G$258</f>
        <v>0</v>
      </c>
      <c r="J49" s="16">
        <f>#VALUE!</f>
        <v>0</v>
      </c>
      <c r="K49" s="17"/>
    </row>
    <row r="50" spans="1:11">
      <c r="A50" s="4" t="s">
        <v>266</v>
      </c>
      <c r="B50" s="16">
        <f>#VALUE!</f>
        <v>0</v>
      </c>
      <c r="C50" s="48">
        <v>1</v>
      </c>
      <c r="D50" s="39">
        <f>'Adjust'!B$262</f>
        <v>0</v>
      </c>
      <c r="E50" s="39">
        <f>'Adjust'!C$262</f>
        <v>0</v>
      </c>
      <c r="F50" s="39">
        <f>'Adjust'!D$262</f>
        <v>0</v>
      </c>
      <c r="G50" s="47">
        <f>'Adjust'!E$262</f>
        <v>0</v>
      </c>
      <c r="H50" s="47">
        <f>'Adjust'!F$262</f>
        <v>0</v>
      </c>
      <c r="I50" s="39">
        <f>'Adjust'!G$262</f>
        <v>0</v>
      </c>
      <c r="J50" s="16">
        <f>#VALUE!</f>
        <v>0</v>
      </c>
      <c r="K50" s="17"/>
    </row>
    <row r="51" spans="1:11">
      <c r="A51" s="4" t="s">
        <v>269</v>
      </c>
      <c r="B51" s="16">
        <f>#VALUE!</f>
        <v>0</v>
      </c>
      <c r="C51" s="48">
        <v>1</v>
      </c>
      <c r="D51" s="39">
        <f>'Adjust'!B$266</f>
        <v>0</v>
      </c>
      <c r="E51" s="39">
        <f>'Adjust'!C$266</f>
        <v>0</v>
      </c>
      <c r="F51" s="39">
        <f>'Adjust'!D$266</f>
        <v>0</v>
      </c>
      <c r="G51" s="47">
        <f>'Adjust'!E$266</f>
        <v>0</v>
      </c>
      <c r="H51" s="47">
        <f>'Adjust'!F$266</f>
        <v>0</v>
      </c>
      <c r="I51" s="39">
        <f>'Adjust'!G$266</f>
        <v>0</v>
      </c>
      <c r="J51" s="16">
        <f>#VALUE!</f>
        <v>0</v>
      </c>
      <c r="K51" s="17"/>
    </row>
    <row r="52" spans="1:11">
      <c r="A52" s="4" t="s">
        <v>272</v>
      </c>
      <c r="B52" s="16">
        <f>#VALUE!</f>
        <v>0</v>
      </c>
      <c r="C52" s="48"/>
      <c r="D52" s="39">
        <f>'Adjust'!B$270</f>
        <v>0</v>
      </c>
      <c r="E52" s="39">
        <f>'Adjust'!C$270</f>
        <v>0</v>
      </c>
      <c r="F52" s="39">
        <f>'Adjust'!D$270</f>
        <v>0</v>
      </c>
      <c r="G52" s="47">
        <f>'Adjust'!E$270</f>
        <v>0</v>
      </c>
      <c r="H52" s="47">
        <f>'Adjust'!F$270</f>
        <v>0</v>
      </c>
      <c r="I52" s="39">
        <f>'Adjust'!G$270</f>
        <v>0</v>
      </c>
      <c r="J52" s="16">
        <f>#VALUE!</f>
        <v>0</v>
      </c>
      <c r="K52" s="17"/>
    </row>
    <row r="53" spans="1:11">
      <c r="A53" s="4" t="s">
        <v>275</v>
      </c>
      <c r="B53" s="16">
        <f>#VALUE!</f>
        <v>0</v>
      </c>
      <c r="C53" s="48" t="s">
        <v>1551</v>
      </c>
      <c r="D53" s="39">
        <f>'Adjust'!B$274</f>
        <v>0</v>
      </c>
      <c r="E53" s="39">
        <f>'Adjust'!C$274</f>
        <v>0</v>
      </c>
      <c r="F53" s="39">
        <f>'Adjust'!D$274</f>
        <v>0</v>
      </c>
      <c r="G53" s="47">
        <f>'Adjust'!E$274</f>
        <v>0</v>
      </c>
      <c r="H53" s="47">
        <f>'Adjust'!F$274</f>
        <v>0</v>
      </c>
      <c r="I53" s="39">
        <f>'Adjust'!G$274</f>
        <v>0</v>
      </c>
      <c r="J53" s="16">
        <f>#VALUE!</f>
        <v>0</v>
      </c>
      <c r="K53" s="17"/>
    </row>
    <row r="54" spans="1:11">
      <c r="A54" s="4" t="s">
        <v>280</v>
      </c>
      <c r="B54" s="16">
        <f>#VALUE!</f>
        <v>0</v>
      </c>
      <c r="C54" s="48"/>
      <c r="D54" s="39">
        <f>'Adjust'!B$281</f>
        <v>0</v>
      </c>
      <c r="E54" s="39">
        <f>'Adjust'!C$281</f>
        <v>0</v>
      </c>
      <c r="F54" s="39">
        <f>'Adjust'!D$281</f>
        <v>0</v>
      </c>
      <c r="G54" s="47">
        <f>'Adjust'!E$281</f>
        <v>0</v>
      </c>
      <c r="H54" s="47">
        <f>'Adjust'!F$281</f>
        <v>0</v>
      </c>
      <c r="I54" s="39">
        <f>'Adjust'!G$281</f>
        <v>0</v>
      </c>
      <c r="J54" s="16">
        <f>#VALUE!</f>
        <v>0</v>
      </c>
      <c r="K54" s="17"/>
    </row>
    <row r="55" spans="1:11">
      <c r="A55" s="4" t="s">
        <v>283</v>
      </c>
      <c r="B55" s="16">
        <f>#VALUE!</f>
        <v>0</v>
      </c>
      <c r="C55" s="48"/>
      <c r="D55" s="39">
        <f>'Adjust'!B$285</f>
        <v>0</v>
      </c>
      <c r="E55" s="39">
        <f>'Adjust'!C$285</f>
        <v>0</v>
      </c>
      <c r="F55" s="39">
        <f>'Adjust'!D$285</f>
        <v>0</v>
      </c>
      <c r="G55" s="47">
        <f>'Adjust'!E$285</f>
        <v>0</v>
      </c>
      <c r="H55" s="47">
        <f>'Adjust'!F$285</f>
        <v>0</v>
      </c>
      <c r="I55" s="39">
        <f>'Adjust'!G$285</f>
        <v>0</v>
      </c>
      <c r="J55" s="16">
        <f>#VALUE!</f>
        <v>0</v>
      </c>
      <c r="K55" s="17"/>
    </row>
    <row r="56" spans="1:11">
      <c r="A56" s="4" t="s">
        <v>230</v>
      </c>
      <c r="B56" s="16">
        <f>#VALUE!</f>
        <v>0</v>
      </c>
      <c r="C56" s="48">
        <v>1</v>
      </c>
      <c r="D56" s="39">
        <f>'Adjust'!B$213</f>
        <v>0</v>
      </c>
      <c r="E56" s="39">
        <f>'Adjust'!C$213</f>
        <v>0</v>
      </c>
      <c r="F56" s="39">
        <f>'Adjust'!D$213</f>
        <v>0</v>
      </c>
      <c r="G56" s="47">
        <f>'Adjust'!E$213</f>
        <v>0</v>
      </c>
      <c r="H56" s="47">
        <f>'Adjust'!F$213</f>
        <v>0</v>
      </c>
      <c r="I56" s="39">
        <f>'Adjust'!G$213</f>
        <v>0</v>
      </c>
      <c r="J56" s="16">
        <f>#VALUE!</f>
        <v>0</v>
      </c>
      <c r="K56" s="17"/>
    </row>
    <row r="57" spans="1:11">
      <c r="A57" s="4" t="s">
        <v>233</v>
      </c>
      <c r="B57" s="16">
        <f>#VALUE!</f>
        <v>0</v>
      </c>
      <c r="C57" s="48">
        <v>2</v>
      </c>
      <c r="D57" s="39">
        <f>'Adjust'!B$217</f>
        <v>0</v>
      </c>
      <c r="E57" s="39">
        <f>'Adjust'!C$217</f>
        <v>0</v>
      </c>
      <c r="F57" s="39">
        <f>'Adjust'!D$217</f>
        <v>0</v>
      </c>
      <c r="G57" s="47">
        <f>'Adjust'!E$217</f>
        <v>0</v>
      </c>
      <c r="H57" s="47">
        <f>'Adjust'!F$217</f>
        <v>0</v>
      </c>
      <c r="I57" s="39">
        <f>'Adjust'!G$217</f>
        <v>0</v>
      </c>
      <c r="J57" s="16">
        <f>#VALUE!</f>
        <v>0</v>
      </c>
      <c r="K57" s="17"/>
    </row>
    <row r="58" spans="1:11">
      <c r="A58" s="4" t="s">
        <v>236</v>
      </c>
      <c r="B58" s="16">
        <f>#VALUE!</f>
        <v>0</v>
      </c>
      <c r="C58" s="48">
        <v>2</v>
      </c>
      <c r="D58" s="39">
        <f>'Adjust'!B$221</f>
        <v>0</v>
      </c>
      <c r="E58" s="39">
        <f>'Adjust'!C$221</f>
        <v>0</v>
      </c>
      <c r="F58" s="39">
        <f>'Adjust'!D$221</f>
        <v>0</v>
      </c>
      <c r="G58" s="47">
        <f>'Adjust'!E$221</f>
        <v>0</v>
      </c>
      <c r="H58" s="47">
        <f>'Adjust'!F$221</f>
        <v>0</v>
      </c>
      <c r="I58" s="39">
        <f>'Adjust'!G$221</f>
        <v>0</v>
      </c>
      <c r="J58" s="16">
        <f>#VALUE!</f>
        <v>0</v>
      </c>
      <c r="K58" s="17"/>
    </row>
    <row r="59" spans="1:11">
      <c r="A59" s="4" t="s">
        <v>239</v>
      </c>
      <c r="B59" s="16">
        <f>#VALUE!</f>
        <v>0</v>
      </c>
      <c r="C59" s="48">
        <v>3</v>
      </c>
      <c r="D59" s="39">
        <f>'Adjust'!B$225</f>
        <v>0</v>
      </c>
      <c r="E59" s="39">
        <f>'Adjust'!C$225</f>
        <v>0</v>
      </c>
      <c r="F59" s="39">
        <f>'Adjust'!D$225</f>
        <v>0</v>
      </c>
      <c r="G59" s="47">
        <f>'Adjust'!E$225</f>
        <v>0</v>
      </c>
      <c r="H59" s="47">
        <f>'Adjust'!F$225</f>
        <v>0</v>
      </c>
      <c r="I59" s="39">
        <f>'Adjust'!G$225</f>
        <v>0</v>
      </c>
      <c r="J59" s="16">
        <f>#VALUE!</f>
        <v>0</v>
      </c>
      <c r="K59" s="17"/>
    </row>
    <row r="60" spans="1:11">
      <c r="A60" s="4" t="s">
        <v>242</v>
      </c>
      <c r="B60" s="16">
        <f>#VALUE!</f>
        <v>0</v>
      </c>
      <c r="C60" s="48">
        <v>4</v>
      </c>
      <c r="D60" s="39">
        <f>'Adjust'!B$229</f>
        <v>0</v>
      </c>
      <c r="E60" s="39">
        <f>'Adjust'!C$229</f>
        <v>0</v>
      </c>
      <c r="F60" s="39">
        <f>'Adjust'!D$229</f>
        <v>0</v>
      </c>
      <c r="G60" s="47">
        <f>'Adjust'!E$229</f>
        <v>0</v>
      </c>
      <c r="H60" s="47">
        <f>'Adjust'!F$229</f>
        <v>0</v>
      </c>
      <c r="I60" s="39">
        <f>'Adjust'!G$229</f>
        <v>0</v>
      </c>
      <c r="J60" s="16">
        <f>#VALUE!</f>
        <v>0</v>
      </c>
      <c r="K60" s="17"/>
    </row>
    <row r="61" spans="1:11">
      <c r="A61" s="4" t="s">
        <v>245</v>
      </c>
      <c r="B61" s="16">
        <f>#VALUE!</f>
        <v>0</v>
      </c>
      <c r="C61" s="48">
        <v>4</v>
      </c>
      <c r="D61" s="39">
        <f>'Adjust'!B$233</f>
        <v>0</v>
      </c>
      <c r="E61" s="39">
        <f>'Adjust'!C$233</f>
        <v>0</v>
      </c>
      <c r="F61" s="39">
        <f>'Adjust'!D$233</f>
        <v>0</v>
      </c>
      <c r="G61" s="47">
        <f>'Adjust'!E$233</f>
        <v>0</v>
      </c>
      <c r="H61" s="47">
        <f>'Adjust'!F$233</f>
        <v>0</v>
      </c>
      <c r="I61" s="39">
        <f>'Adjust'!G$233</f>
        <v>0</v>
      </c>
      <c r="J61" s="16">
        <f>#VALUE!</f>
        <v>0</v>
      </c>
      <c r="K61" s="17"/>
    </row>
    <row r="62" spans="1:11">
      <c r="A62" s="4" t="s">
        <v>248</v>
      </c>
      <c r="B62" s="16">
        <f>#VALUE!</f>
        <v>0</v>
      </c>
      <c r="C62" s="48"/>
      <c r="D62" s="39">
        <f>'Adjust'!B$237</f>
        <v>0</v>
      </c>
      <c r="E62" s="39">
        <f>'Adjust'!C$237</f>
        <v>0</v>
      </c>
      <c r="F62" s="39">
        <f>'Adjust'!D$237</f>
        <v>0</v>
      </c>
      <c r="G62" s="47">
        <f>'Adjust'!E$237</f>
        <v>0</v>
      </c>
      <c r="H62" s="47">
        <f>'Adjust'!F$237</f>
        <v>0</v>
      </c>
      <c r="I62" s="39">
        <f>'Adjust'!G$237</f>
        <v>0</v>
      </c>
      <c r="J62" s="16">
        <f>#VALUE!</f>
        <v>0</v>
      </c>
      <c r="K62" s="17"/>
    </row>
    <row r="63" spans="1:11">
      <c r="A63" s="4" t="s">
        <v>251</v>
      </c>
      <c r="B63" s="16">
        <f>#VALUE!</f>
        <v>0</v>
      </c>
      <c r="C63" s="48"/>
      <c r="D63" s="39">
        <f>'Adjust'!B$241</f>
        <v>0</v>
      </c>
      <c r="E63" s="39">
        <f>'Adjust'!C$241</f>
        <v>0</v>
      </c>
      <c r="F63" s="39">
        <f>'Adjust'!D$241</f>
        <v>0</v>
      </c>
      <c r="G63" s="47">
        <f>'Adjust'!E$241</f>
        <v>0</v>
      </c>
      <c r="H63" s="47">
        <f>'Adjust'!F$241</f>
        <v>0</v>
      </c>
      <c r="I63" s="39">
        <f>'Adjust'!G$241</f>
        <v>0</v>
      </c>
      <c r="J63" s="16">
        <f>#VALUE!</f>
        <v>0</v>
      </c>
      <c r="K63" s="17"/>
    </row>
    <row r="64" spans="1:11">
      <c r="A64" s="4" t="s">
        <v>254</v>
      </c>
      <c r="B64" s="16">
        <f>#VALUE!</f>
        <v>0</v>
      </c>
      <c r="C64" s="48"/>
      <c r="D64" s="39">
        <f>'Adjust'!B$245</f>
        <v>0</v>
      </c>
      <c r="E64" s="39">
        <f>'Adjust'!C$245</f>
        <v>0</v>
      </c>
      <c r="F64" s="39">
        <f>'Adjust'!D$245</f>
        <v>0</v>
      </c>
      <c r="G64" s="47">
        <f>'Adjust'!E$245</f>
        <v>0</v>
      </c>
      <c r="H64" s="47">
        <f>'Adjust'!F$245</f>
        <v>0</v>
      </c>
      <c r="I64" s="39">
        <f>'Adjust'!G$245</f>
        <v>0</v>
      </c>
      <c r="J64" s="16">
        <f>#VALUE!</f>
        <v>0</v>
      </c>
      <c r="K64" s="17"/>
    </row>
    <row r="65" spans="1:11">
      <c r="A65" s="4" t="s">
        <v>256</v>
      </c>
      <c r="B65" s="16">
        <f>#VALUE!</f>
        <v>0</v>
      </c>
      <c r="C65" s="48"/>
      <c r="D65" s="39">
        <f>'Adjust'!B$248</f>
        <v>0</v>
      </c>
      <c r="E65" s="39">
        <f>'Adjust'!C$248</f>
        <v>0</v>
      </c>
      <c r="F65" s="39">
        <f>'Adjust'!D$248</f>
        <v>0</v>
      </c>
      <c r="G65" s="47">
        <f>'Adjust'!E$248</f>
        <v>0</v>
      </c>
      <c r="H65" s="47">
        <f>'Adjust'!F$248</f>
        <v>0</v>
      </c>
      <c r="I65" s="39">
        <f>'Adjust'!G$248</f>
        <v>0</v>
      </c>
      <c r="J65" s="16">
        <f>#VALUE!</f>
        <v>0</v>
      </c>
      <c r="K65" s="17"/>
    </row>
    <row r="66" spans="1:11">
      <c r="A66" s="4" t="s">
        <v>258</v>
      </c>
      <c r="B66" s="16">
        <f>#VALUE!</f>
        <v>0</v>
      </c>
      <c r="C66" s="48"/>
      <c r="D66" s="39">
        <f>'Adjust'!B$251</f>
        <v>0</v>
      </c>
      <c r="E66" s="39">
        <f>'Adjust'!C$251</f>
        <v>0</v>
      </c>
      <c r="F66" s="39">
        <f>'Adjust'!D$251</f>
        <v>0</v>
      </c>
      <c r="G66" s="47">
        <f>'Adjust'!E$251</f>
        <v>0</v>
      </c>
      <c r="H66" s="47">
        <f>'Adjust'!F$251</f>
        <v>0</v>
      </c>
      <c r="I66" s="39">
        <f>'Adjust'!G$251</f>
        <v>0</v>
      </c>
      <c r="J66" s="16">
        <f>#VALUE!</f>
        <v>0</v>
      </c>
      <c r="K66" s="17"/>
    </row>
    <row r="67" spans="1:11">
      <c r="A67" s="4" t="s">
        <v>261</v>
      </c>
      <c r="B67" s="16">
        <f>#VALUE!</f>
        <v>0</v>
      </c>
      <c r="C67" s="48">
        <v>8</v>
      </c>
      <c r="D67" s="39">
        <f>'Adjust'!B$255</f>
        <v>0</v>
      </c>
      <c r="E67" s="39">
        <f>'Adjust'!C$255</f>
        <v>0</v>
      </c>
      <c r="F67" s="39">
        <f>'Adjust'!D$255</f>
        <v>0</v>
      </c>
      <c r="G67" s="47">
        <f>'Adjust'!E$255</f>
        <v>0</v>
      </c>
      <c r="H67" s="47">
        <f>'Adjust'!F$255</f>
        <v>0</v>
      </c>
      <c r="I67" s="39">
        <f>'Adjust'!G$255</f>
        <v>0</v>
      </c>
      <c r="J67" s="16">
        <f>#VALUE!</f>
        <v>0</v>
      </c>
      <c r="K67" s="17"/>
    </row>
    <row r="68" spans="1:11">
      <c r="A68" s="4" t="s">
        <v>264</v>
      </c>
      <c r="B68" s="16">
        <f>#VALUE!</f>
        <v>0</v>
      </c>
      <c r="C68" s="48">
        <v>1</v>
      </c>
      <c r="D68" s="39">
        <f>'Adjust'!B$259</f>
        <v>0</v>
      </c>
      <c r="E68" s="39">
        <f>'Adjust'!C$259</f>
        <v>0</v>
      </c>
      <c r="F68" s="39">
        <f>'Adjust'!D$259</f>
        <v>0</v>
      </c>
      <c r="G68" s="47">
        <f>'Adjust'!E$259</f>
        <v>0</v>
      </c>
      <c r="H68" s="47">
        <f>'Adjust'!F$259</f>
        <v>0</v>
      </c>
      <c r="I68" s="39">
        <f>'Adjust'!G$259</f>
        <v>0</v>
      </c>
      <c r="J68" s="16">
        <f>#VALUE!</f>
        <v>0</v>
      </c>
      <c r="K68" s="17"/>
    </row>
    <row r="69" spans="1:11">
      <c r="A69" s="4" t="s">
        <v>267</v>
      </c>
      <c r="B69" s="16">
        <f>#VALUE!</f>
        <v>0</v>
      </c>
      <c r="C69" s="48">
        <v>1</v>
      </c>
      <c r="D69" s="39">
        <f>'Adjust'!B$263</f>
        <v>0</v>
      </c>
      <c r="E69" s="39">
        <f>'Adjust'!C$263</f>
        <v>0</v>
      </c>
      <c r="F69" s="39">
        <f>'Adjust'!D$263</f>
        <v>0</v>
      </c>
      <c r="G69" s="47">
        <f>'Adjust'!E$263</f>
        <v>0</v>
      </c>
      <c r="H69" s="47">
        <f>'Adjust'!F$263</f>
        <v>0</v>
      </c>
      <c r="I69" s="39">
        <f>'Adjust'!G$263</f>
        <v>0</v>
      </c>
      <c r="J69" s="16">
        <f>#VALUE!</f>
        <v>0</v>
      </c>
      <c r="K69" s="17"/>
    </row>
    <row r="70" spans="1:11">
      <c r="A70" s="4" t="s">
        <v>270</v>
      </c>
      <c r="B70" s="16">
        <f>#VALUE!</f>
        <v>0</v>
      </c>
      <c r="C70" s="48">
        <v>1</v>
      </c>
      <c r="D70" s="39">
        <f>'Adjust'!B$267</f>
        <v>0</v>
      </c>
      <c r="E70" s="39">
        <f>'Adjust'!C$267</f>
        <v>0</v>
      </c>
      <c r="F70" s="39">
        <f>'Adjust'!D$267</f>
        <v>0</v>
      </c>
      <c r="G70" s="47">
        <f>'Adjust'!E$267</f>
        <v>0</v>
      </c>
      <c r="H70" s="47">
        <f>'Adjust'!F$267</f>
        <v>0</v>
      </c>
      <c r="I70" s="39">
        <f>'Adjust'!G$267</f>
        <v>0</v>
      </c>
      <c r="J70" s="16">
        <f>#VALUE!</f>
        <v>0</v>
      </c>
      <c r="K70" s="17"/>
    </row>
    <row r="71" spans="1:11">
      <c r="A71" s="4" t="s">
        <v>273</v>
      </c>
      <c r="B71" s="16">
        <f>#VALUE!</f>
        <v>0</v>
      </c>
      <c r="C71" s="48"/>
      <c r="D71" s="39">
        <f>'Adjust'!B$271</f>
        <v>0</v>
      </c>
      <c r="E71" s="39">
        <f>'Adjust'!C$271</f>
        <v>0</v>
      </c>
      <c r="F71" s="39">
        <f>'Adjust'!D$271</f>
        <v>0</v>
      </c>
      <c r="G71" s="47">
        <f>'Adjust'!E$271</f>
        <v>0</v>
      </c>
      <c r="H71" s="47">
        <f>'Adjust'!F$271</f>
        <v>0</v>
      </c>
      <c r="I71" s="39">
        <f>'Adjust'!G$271</f>
        <v>0</v>
      </c>
      <c r="J71" s="16">
        <f>#VALUE!</f>
        <v>0</v>
      </c>
      <c r="K71" s="17"/>
    </row>
    <row r="72" spans="1:11">
      <c r="A72" s="4" t="s">
        <v>276</v>
      </c>
      <c r="B72" s="16">
        <f>#VALUE!</f>
        <v>0</v>
      </c>
      <c r="C72" s="48" t="s">
        <v>1551</v>
      </c>
      <c r="D72" s="39">
        <f>'Adjust'!B$275</f>
        <v>0</v>
      </c>
      <c r="E72" s="39">
        <f>'Adjust'!C$275</f>
        <v>0</v>
      </c>
      <c r="F72" s="39">
        <f>'Adjust'!D$275</f>
        <v>0</v>
      </c>
      <c r="G72" s="47">
        <f>'Adjust'!E$275</f>
        <v>0</v>
      </c>
      <c r="H72" s="47">
        <f>'Adjust'!F$275</f>
        <v>0</v>
      </c>
      <c r="I72" s="39">
        <f>'Adjust'!G$275</f>
        <v>0</v>
      </c>
      <c r="J72" s="16">
        <f>#VALUE!</f>
        <v>0</v>
      </c>
      <c r="K72" s="17"/>
    </row>
    <row r="73" spans="1:11">
      <c r="A73" s="4" t="s">
        <v>278</v>
      </c>
      <c r="B73" s="16">
        <f>#VALUE!</f>
        <v>0</v>
      </c>
      <c r="C73" s="48">
        <v>8</v>
      </c>
      <c r="D73" s="39">
        <f>'Adjust'!B$278</f>
        <v>0</v>
      </c>
      <c r="E73" s="39">
        <f>'Adjust'!C$278</f>
        <v>0</v>
      </c>
      <c r="F73" s="39">
        <f>'Adjust'!D$278</f>
        <v>0</v>
      </c>
      <c r="G73" s="47">
        <f>'Adjust'!E$278</f>
        <v>0</v>
      </c>
      <c r="H73" s="47">
        <f>'Adjust'!F$278</f>
        <v>0</v>
      </c>
      <c r="I73" s="39">
        <f>'Adjust'!G$278</f>
        <v>0</v>
      </c>
      <c r="J73" s="16">
        <f>#VALUE!</f>
        <v>0</v>
      </c>
      <c r="K73" s="17"/>
    </row>
    <row r="74" spans="1:11">
      <c r="A74" s="4" t="s">
        <v>281</v>
      </c>
      <c r="B74" s="16">
        <f>#VALUE!</f>
        <v>0</v>
      </c>
      <c r="C74" s="48"/>
      <c r="D74" s="39">
        <f>'Adjust'!B$282</f>
        <v>0</v>
      </c>
      <c r="E74" s="39">
        <f>'Adjust'!C$282</f>
        <v>0</v>
      </c>
      <c r="F74" s="39">
        <f>'Adjust'!D$282</f>
        <v>0</v>
      </c>
      <c r="G74" s="47">
        <f>'Adjust'!E$282</f>
        <v>0</v>
      </c>
      <c r="H74" s="47">
        <f>'Adjust'!F$282</f>
        <v>0</v>
      </c>
      <c r="I74" s="39">
        <f>'Adjust'!G$282</f>
        <v>0</v>
      </c>
      <c r="J74" s="16">
        <f>#VALUE!</f>
        <v>0</v>
      </c>
      <c r="K74" s="17"/>
    </row>
    <row r="75" spans="1:11">
      <c r="A75" s="4" t="s">
        <v>284</v>
      </c>
      <c r="B75" s="16">
        <f>#VALUE!</f>
        <v>0</v>
      </c>
      <c r="C75" s="48"/>
      <c r="D75" s="39">
        <f>'Adjust'!B$286</f>
        <v>0</v>
      </c>
      <c r="E75" s="39">
        <f>'Adjust'!C$286</f>
        <v>0</v>
      </c>
      <c r="F75" s="39">
        <f>'Adjust'!D$286</f>
        <v>0</v>
      </c>
      <c r="G75" s="47">
        <f>'Adjust'!E$286</f>
        <v>0</v>
      </c>
      <c r="H75" s="47">
        <f>'Adjust'!F$286</f>
        <v>0</v>
      </c>
      <c r="I75" s="39">
        <f>'Adjust'!G$286</f>
        <v>0</v>
      </c>
      <c r="J75" s="16">
        <f>#VALUE!</f>
        <v>0</v>
      </c>
      <c r="K75" s="17"/>
    </row>
    <row r="76" spans="1:11">
      <c r="A76" s="4" t="s">
        <v>286</v>
      </c>
      <c r="B76" s="16">
        <f>#VALUE!</f>
        <v>0</v>
      </c>
      <c r="C76" s="48"/>
      <c r="D76" s="39">
        <f>'Adjust'!B$289</f>
        <v>0</v>
      </c>
      <c r="E76" s="39">
        <f>'Adjust'!C$289</f>
        <v>0</v>
      </c>
      <c r="F76" s="39">
        <f>'Adjust'!D$289</f>
        <v>0</v>
      </c>
      <c r="G76" s="47">
        <f>'Adjust'!E$289</f>
        <v>0</v>
      </c>
      <c r="H76" s="47">
        <f>'Adjust'!F$289</f>
        <v>0</v>
      </c>
      <c r="I76" s="39">
        <f>'Adjust'!G$289</f>
        <v>0</v>
      </c>
      <c r="J76" s="16">
        <f>#VALUE!</f>
        <v>0</v>
      </c>
      <c r="K76" s="17"/>
    </row>
    <row r="77" spans="1:11">
      <c r="A77" s="4" t="s">
        <v>288</v>
      </c>
      <c r="B77" s="16">
        <f>#VALUE!</f>
        <v>0</v>
      </c>
      <c r="C77" s="48"/>
      <c r="D77" s="39">
        <f>'Adjust'!B$292</f>
        <v>0</v>
      </c>
      <c r="E77" s="39">
        <f>'Adjust'!C$292</f>
        <v>0</v>
      </c>
      <c r="F77" s="39">
        <f>'Adjust'!D$292</f>
        <v>0</v>
      </c>
      <c r="G77" s="47">
        <f>'Adjust'!E$292</f>
        <v>0</v>
      </c>
      <c r="H77" s="47">
        <f>'Adjust'!F$292</f>
        <v>0</v>
      </c>
      <c r="I77" s="39">
        <f>'Adjust'!G$292</f>
        <v>0</v>
      </c>
      <c r="J77" s="16">
        <f>#VALUE!</f>
        <v>0</v>
      </c>
      <c r="K77" s="17"/>
    </row>
    <row r="78" spans="1:11">
      <c r="A78" s="4" t="s">
        <v>290</v>
      </c>
      <c r="B78" s="16">
        <f>#VALUE!</f>
        <v>0</v>
      </c>
      <c r="C78" s="48"/>
      <c r="D78" s="39">
        <f>'Adjust'!B$295</f>
        <v>0</v>
      </c>
      <c r="E78" s="39">
        <f>'Adjust'!C$295</f>
        <v>0</v>
      </c>
      <c r="F78" s="39">
        <f>'Adjust'!D$295</f>
        <v>0</v>
      </c>
      <c r="G78" s="47">
        <f>'Adjust'!E$295</f>
        <v>0</v>
      </c>
      <c r="H78" s="47">
        <f>'Adjust'!F$295</f>
        <v>0</v>
      </c>
      <c r="I78" s="39">
        <f>'Adjust'!G$295</f>
        <v>0</v>
      </c>
      <c r="J78" s="16">
        <f>#VALUE!</f>
        <v>0</v>
      </c>
      <c r="K78" s="17"/>
    </row>
    <row r="79" spans="1:11">
      <c r="A79" s="4" t="s">
        <v>292</v>
      </c>
      <c r="B79" s="16">
        <f>#VALUE!</f>
        <v>0</v>
      </c>
      <c r="C79" s="48"/>
      <c r="D79" s="39">
        <f>'Adjust'!B$298</f>
        <v>0</v>
      </c>
      <c r="E79" s="39">
        <f>'Adjust'!C$298</f>
        <v>0</v>
      </c>
      <c r="F79" s="39">
        <f>'Adjust'!D$298</f>
        <v>0</v>
      </c>
      <c r="G79" s="47">
        <f>'Adjust'!E$298</f>
        <v>0</v>
      </c>
      <c r="H79" s="47">
        <f>'Adjust'!F$298</f>
        <v>0</v>
      </c>
      <c r="I79" s="39">
        <f>'Adjust'!G$298</f>
        <v>0</v>
      </c>
      <c r="J79" s="16">
        <f>#VALUE!</f>
        <v>0</v>
      </c>
      <c r="K79" s="17"/>
    </row>
  </sheetData>
  <sheetProtection sheet="1" objects="1" scenarios="1"/>
  <hyperlinks>
    <hyperlink ref="A5" location="'Adjust'!B209" display="x1 = 3607. Unit rate 1 p/kWh (in Tariffs)"/>
    <hyperlink ref="A6" location="'Adjust'!C209" display="x2 = 3607. Unit rate 2 p/kWh (in Tariffs)"/>
    <hyperlink ref="A7" location="'Adjust'!D209" display="x3 = 3607. Unit rate 3 p/kWh (in Tariffs)"/>
    <hyperlink ref="A8" location="'Adjust'!E209" display="x4 = 3607. Fixed charge p/MPAN/day (in Tariffs)"/>
    <hyperlink ref="A9" location="'Adjust'!F209" display="x5 = 3607. Capacity charge p/kVA/day (in Tariffs)"/>
    <hyperlink ref="A10" location="'Adjust'!G209" display="x6 = 3607. Reactive power charge p/kVArh (in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4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6" ht="21" customHeight="1">
      <c r="A1" s="1">
        <f>"Summary for "&amp;'Input'!B7&amp;" in "&amp;'Input'!C7&amp;" ("&amp;'Input'!D7&amp;")"</f>
        <v>0</v>
      </c>
    </row>
    <row r="2" spans="1:6">
      <c r="A2" s="2" t="s">
        <v>1552</v>
      </c>
    </row>
    <row r="4" spans="1:6" ht="21" customHeight="1">
      <c r="A4" s="1" t="s">
        <v>1553</v>
      </c>
    </row>
    <row r="5" spans="1:6">
      <c r="A5" s="2" t="s">
        <v>351</v>
      </c>
    </row>
    <row r="6" spans="1:6">
      <c r="A6" s="33" t="s">
        <v>468</v>
      </c>
    </row>
    <row r="7" spans="1:6">
      <c r="A7" s="33" t="s">
        <v>1554</v>
      </c>
    </row>
    <row r="8" spans="1:6">
      <c r="A8" s="33" t="s">
        <v>1555</v>
      </c>
    </row>
    <row r="9" spans="1:6">
      <c r="A9" s="33" t="s">
        <v>1556</v>
      </c>
    </row>
    <row r="10" spans="1:6">
      <c r="A10" s="34" t="s">
        <v>354</v>
      </c>
      <c r="B10" s="34" t="s">
        <v>413</v>
      </c>
      <c r="C10" s="34" t="s">
        <v>413</v>
      </c>
      <c r="D10" s="34" t="s">
        <v>413</v>
      </c>
      <c r="E10" s="34" t="s">
        <v>484</v>
      </c>
    </row>
    <row r="11" spans="1:6">
      <c r="A11" s="34" t="s">
        <v>357</v>
      </c>
      <c r="B11" s="34" t="s">
        <v>1545</v>
      </c>
      <c r="C11" s="34" t="s">
        <v>416</v>
      </c>
      <c r="D11" s="34" t="s">
        <v>1546</v>
      </c>
      <c r="E11" s="34" t="s">
        <v>1557</v>
      </c>
    </row>
    <row r="13" spans="1:6">
      <c r="B13" s="15" t="s">
        <v>131</v>
      </c>
      <c r="C13" s="15" t="s">
        <v>1517</v>
      </c>
      <c r="D13" s="15" t="s">
        <v>1520</v>
      </c>
      <c r="E13" s="15" t="s">
        <v>1558</v>
      </c>
    </row>
    <row r="14" spans="1:6">
      <c r="A14" s="4" t="s">
        <v>1559</v>
      </c>
      <c r="B14" s="28">
        <f>'Input'!D58</f>
        <v>0</v>
      </c>
      <c r="C14" s="44">
        <f>'Adjust'!C194</f>
        <v>0</v>
      </c>
      <c r="D14" s="44">
        <f>'Adjust'!F194</f>
        <v>0</v>
      </c>
      <c r="E14" s="40">
        <f>'Adjust'!F194/'Revenue'!B$55</f>
        <v>0</v>
      </c>
      <c r="F14" s="17"/>
    </row>
    <row r="16" spans="1:6" ht="21" customHeight="1">
      <c r="A16" s="1" t="s">
        <v>1560</v>
      </c>
    </row>
    <row r="17" spans="1:1">
      <c r="A17" s="2" t="s">
        <v>351</v>
      </c>
    </row>
    <row r="18" spans="1:1">
      <c r="A18" s="33" t="s">
        <v>1561</v>
      </c>
    </row>
    <row r="19" spans="1:1">
      <c r="A19" s="33" t="s">
        <v>1562</v>
      </c>
    </row>
    <row r="20" spans="1:1">
      <c r="A20" s="33" t="s">
        <v>1563</v>
      </c>
    </row>
    <row r="21" spans="1:1">
      <c r="A21" s="33" t="s">
        <v>1564</v>
      </c>
    </row>
    <row r="22" spans="1:1">
      <c r="A22" s="33" t="s">
        <v>741</v>
      </c>
    </row>
    <row r="23" spans="1:1">
      <c r="A23" s="33" t="s">
        <v>1565</v>
      </c>
    </row>
    <row r="24" spans="1:1">
      <c r="A24" s="33" t="s">
        <v>1566</v>
      </c>
    </row>
    <row r="25" spans="1:1">
      <c r="A25" s="33" t="s">
        <v>1567</v>
      </c>
    </row>
    <row r="26" spans="1:1">
      <c r="A26" s="33" t="s">
        <v>1568</v>
      </c>
    </row>
    <row r="27" spans="1:1">
      <c r="A27" s="33" t="s">
        <v>1569</v>
      </c>
    </row>
    <row r="28" spans="1:1">
      <c r="A28" s="33" t="s">
        <v>1570</v>
      </c>
    </row>
    <row r="29" spans="1:1">
      <c r="A29" s="33" t="s">
        <v>1571</v>
      </c>
    </row>
    <row r="30" spans="1:1">
      <c r="A30" s="33" t="s">
        <v>1572</v>
      </c>
    </row>
    <row r="31" spans="1:1">
      <c r="A31" s="33" t="s">
        <v>1573</v>
      </c>
    </row>
    <row r="32" spans="1:1">
      <c r="A32" s="33" t="s">
        <v>1574</v>
      </c>
    </row>
    <row r="33" spans="1:21">
      <c r="A33" s="33" t="s">
        <v>1575</v>
      </c>
    </row>
    <row r="34" spans="1:21">
      <c r="A34" s="33" t="s">
        <v>1576</v>
      </c>
    </row>
    <row r="35" spans="1:21">
      <c r="A35" s="33" t="s">
        <v>1577</v>
      </c>
    </row>
    <row r="36" spans="1:21">
      <c r="A36" s="33" t="s">
        <v>1578</v>
      </c>
    </row>
    <row r="37" spans="1:21">
      <c r="A37" s="33" t="s">
        <v>1579</v>
      </c>
    </row>
    <row r="38" spans="1:21">
      <c r="A38" s="33" t="s">
        <v>1580</v>
      </c>
    </row>
    <row r="39" spans="1:21">
      <c r="A39" s="33" t="s">
        <v>1581</v>
      </c>
    </row>
    <row r="40" spans="1:21">
      <c r="A40" s="33" t="s">
        <v>1582</v>
      </c>
    </row>
    <row r="41" spans="1:21">
      <c r="A41" s="34" t="s">
        <v>354</v>
      </c>
      <c r="B41" s="34" t="s">
        <v>484</v>
      </c>
      <c r="C41" s="34" t="s">
        <v>413</v>
      </c>
      <c r="D41" s="34" t="s">
        <v>484</v>
      </c>
      <c r="E41" s="34" t="s">
        <v>484</v>
      </c>
      <c r="F41" s="34" t="s">
        <v>484</v>
      </c>
      <c r="G41" s="34" t="s">
        <v>484</v>
      </c>
      <c r="H41" s="34" t="s">
        <v>484</v>
      </c>
      <c r="I41" s="34" t="s">
        <v>484</v>
      </c>
      <c r="J41" s="34" t="s">
        <v>484</v>
      </c>
      <c r="K41" s="34" t="s">
        <v>484</v>
      </c>
      <c r="L41" s="34" t="s">
        <v>484</v>
      </c>
      <c r="M41" s="34" t="s">
        <v>484</v>
      </c>
      <c r="N41" s="34" t="s">
        <v>484</v>
      </c>
      <c r="O41" s="34" t="s">
        <v>484</v>
      </c>
      <c r="P41" s="34" t="s">
        <v>484</v>
      </c>
      <c r="Q41" s="34" t="s">
        <v>484</v>
      </c>
      <c r="R41" s="34" t="s">
        <v>484</v>
      </c>
      <c r="S41" s="34" t="s">
        <v>484</v>
      </c>
      <c r="T41" s="34" t="s">
        <v>484</v>
      </c>
    </row>
    <row r="42" spans="1:21">
      <c r="A42" s="34" t="s">
        <v>357</v>
      </c>
      <c r="B42" s="34" t="s">
        <v>1583</v>
      </c>
      <c r="C42" s="34" t="s">
        <v>1014</v>
      </c>
      <c r="D42" s="34" t="s">
        <v>1584</v>
      </c>
      <c r="E42" s="34" t="s">
        <v>1585</v>
      </c>
      <c r="F42" s="34" t="s">
        <v>1586</v>
      </c>
      <c r="G42" s="34" t="s">
        <v>1587</v>
      </c>
      <c r="H42" s="34" t="s">
        <v>1588</v>
      </c>
      <c r="I42" s="34" t="s">
        <v>1589</v>
      </c>
      <c r="J42" s="34" t="s">
        <v>1590</v>
      </c>
      <c r="K42" s="34" t="s">
        <v>1591</v>
      </c>
      <c r="L42" s="34" t="s">
        <v>1592</v>
      </c>
      <c r="M42" s="34" t="s">
        <v>1593</v>
      </c>
      <c r="N42" s="34" t="s">
        <v>1594</v>
      </c>
      <c r="O42" s="34" t="s">
        <v>1595</v>
      </c>
      <c r="P42" s="34" t="s">
        <v>1596</v>
      </c>
      <c r="Q42" s="34" t="s">
        <v>1597</v>
      </c>
      <c r="R42" s="34" t="s">
        <v>1598</v>
      </c>
      <c r="S42" s="34" t="s">
        <v>1599</v>
      </c>
      <c r="T42" s="34" t="s">
        <v>1600</v>
      </c>
    </row>
    <row r="44" spans="1:21">
      <c r="B44" s="15" t="s">
        <v>572</v>
      </c>
      <c r="C44" s="15" t="s">
        <v>225</v>
      </c>
      <c r="D44" s="15" t="s">
        <v>1601</v>
      </c>
      <c r="E44" s="15" t="s">
        <v>1602</v>
      </c>
      <c r="F44" s="15" t="s">
        <v>1603</v>
      </c>
      <c r="G44" s="15" t="s">
        <v>1604</v>
      </c>
      <c r="H44" s="15" t="s">
        <v>1605</v>
      </c>
      <c r="I44" s="15" t="s">
        <v>1606</v>
      </c>
      <c r="J44" s="15" t="s">
        <v>1607</v>
      </c>
      <c r="K44" s="15" t="s">
        <v>1608</v>
      </c>
      <c r="L44" s="15" t="s">
        <v>1609</v>
      </c>
      <c r="M44" s="15" t="s">
        <v>1610</v>
      </c>
      <c r="N44" s="15" t="s">
        <v>1611</v>
      </c>
      <c r="O44" s="15" t="s">
        <v>1612</v>
      </c>
      <c r="P44" s="15" t="s">
        <v>1613</v>
      </c>
      <c r="Q44" s="15" t="s">
        <v>1614</v>
      </c>
      <c r="R44" s="15" t="s">
        <v>1615</v>
      </c>
      <c r="S44" s="15" t="s">
        <v>1616</v>
      </c>
      <c r="T44" s="15" t="s">
        <v>1617</v>
      </c>
    </row>
    <row r="45" spans="1:21">
      <c r="A45" s="29" t="s">
        <v>228</v>
      </c>
      <c r="U45" s="17"/>
    </row>
    <row r="46" spans="1:21">
      <c r="A46" s="4" t="s">
        <v>174</v>
      </c>
      <c r="B46" s="21">
        <f>'Input'!B181+'Input'!C181+'Input'!D181</f>
        <v>0</v>
      </c>
      <c r="C46" s="44">
        <f>'Input'!E181</f>
        <v>0</v>
      </c>
      <c r="D46" s="21">
        <f>0.01*'Input'!F$58*('Adjust'!$E211*'Input'!E181+'Adjust'!$F211*'Input'!F181)+10*('Adjust'!$B211*'Input'!B181+'Adjust'!$C211*'Input'!C181+'Adjust'!$D211*'Input'!D181+'Adjust'!$G211*'Input'!G181)</f>
        <v>0</v>
      </c>
      <c r="E46" s="21">
        <f>10*('Adjust'!$B211*'Input'!B181+'Adjust'!$C211*'Input'!C181+'Adjust'!$D211*'Input'!D181)</f>
        <v>0</v>
      </c>
      <c r="F46" s="21">
        <f>'Adjust'!E211*'Input'!$F$58*'Input'!$E181/100</f>
        <v>0</v>
      </c>
      <c r="G46" s="21">
        <f>'Adjust'!F211*'Input'!$F$58*'Input'!$F181/100</f>
        <v>0</v>
      </c>
      <c r="H46" s="21">
        <f>'Adjust'!G211*'Input'!$G181*10</f>
        <v>0</v>
      </c>
      <c r="I46" s="38">
        <f>IF(B46&lt;&gt;0,0.1*D46/B46,"")</f>
        <v>0</v>
      </c>
      <c r="J46" s="46">
        <f>IF(C46&lt;&gt;0,D46/C46,"")</f>
        <v>0</v>
      </c>
      <c r="K46" s="38">
        <f>IF(B46&lt;&gt;0,0.1*E46/B46,0)</f>
        <v>0</v>
      </c>
      <c r="L46" s="21">
        <f>'Adjust'!B211*'Input'!$B181*10</f>
        <v>0</v>
      </c>
      <c r="M46" s="21">
        <f>'Adjust'!C211*'Input'!$C181*10</f>
        <v>0</v>
      </c>
      <c r="N46" s="21">
        <f>'Adjust'!D211*'Input'!$D181*10</f>
        <v>0</v>
      </c>
      <c r="O46" s="40">
        <f>IF(E46&lt;&gt;0,$L46/E46,"")</f>
        <v>0</v>
      </c>
      <c r="P46" s="40">
        <f>IF(E46&lt;&gt;0,$M46/E46,"")</f>
        <v>0</v>
      </c>
      <c r="Q46" s="40">
        <f>IF(E46&lt;&gt;0,$N46/E46,"")</f>
        <v>0</v>
      </c>
      <c r="R46" s="40">
        <f>IF(D46&lt;&gt;0,$F46/D46,"")</f>
        <v>0</v>
      </c>
      <c r="S46" s="40">
        <f>IF(D46&lt;&gt;0,$G46/D46,"")</f>
        <v>0</v>
      </c>
      <c r="T46" s="40">
        <f>IF(D46&lt;&gt;0,$H46/D46,"")</f>
        <v>0</v>
      </c>
      <c r="U46" s="17"/>
    </row>
    <row r="47" spans="1:21">
      <c r="A47" s="4" t="s">
        <v>229</v>
      </c>
      <c r="B47" s="21">
        <f>'Input'!B182+'Input'!C182+'Input'!D182</f>
        <v>0</v>
      </c>
      <c r="C47" s="44">
        <f>'Input'!E182</f>
        <v>0</v>
      </c>
      <c r="D47" s="21">
        <f>0.01*'Input'!F$58*('Adjust'!$E212*'Input'!E182+'Adjust'!$F212*'Input'!F182)+10*('Adjust'!$B212*'Input'!B182+'Adjust'!$C212*'Input'!C182+'Adjust'!$D212*'Input'!D182+'Adjust'!$G212*'Input'!G182)</f>
        <v>0</v>
      </c>
      <c r="E47" s="21">
        <f>10*('Adjust'!$B212*'Input'!B182+'Adjust'!$C212*'Input'!C182+'Adjust'!$D212*'Input'!D182)</f>
        <v>0</v>
      </c>
      <c r="F47" s="21">
        <f>'Adjust'!E212*'Input'!$F$58*'Input'!$E182/100</f>
        <v>0</v>
      </c>
      <c r="G47" s="21">
        <f>'Adjust'!F212*'Input'!$F$58*'Input'!$F182/100</f>
        <v>0</v>
      </c>
      <c r="H47" s="21">
        <f>'Adjust'!G212*'Input'!$G182*10</f>
        <v>0</v>
      </c>
      <c r="I47" s="38">
        <f>IF(B47&lt;&gt;0,0.1*D47/B47,"")</f>
        <v>0</v>
      </c>
      <c r="J47" s="46">
        <f>IF(C47&lt;&gt;0,D47/C47,"")</f>
        <v>0</v>
      </c>
      <c r="K47" s="38">
        <f>IF(B47&lt;&gt;0,0.1*E47/B47,0)</f>
        <v>0</v>
      </c>
      <c r="L47" s="21">
        <f>'Adjust'!B212*'Input'!$B182*10</f>
        <v>0</v>
      </c>
      <c r="M47" s="21">
        <f>'Adjust'!C212*'Input'!$C182*10</f>
        <v>0</v>
      </c>
      <c r="N47" s="21">
        <f>'Adjust'!D212*'Input'!$D182*10</f>
        <v>0</v>
      </c>
      <c r="O47" s="40">
        <f>IF(E47&lt;&gt;0,$L47/E47,"")</f>
        <v>0</v>
      </c>
      <c r="P47" s="40">
        <f>IF(E47&lt;&gt;0,$M47/E47,"")</f>
        <v>0</v>
      </c>
      <c r="Q47" s="40">
        <f>IF(E47&lt;&gt;0,$N47/E47,"")</f>
        <v>0</v>
      </c>
      <c r="R47" s="40">
        <f>IF(D47&lt;&gt;0,$F47/D47,"")</f>
        <v>0</v>
      </c>
      <c r="S47" s="40">
        <f>IF(D47&lt;&gt;0,$G47/D47,"")</f>
        <v>0</v>
      </c>
      <c r="T47" s="40">
        <f>IF(D47&lt;&gt;0,$H47/D47,"")</f>
        <v>0</v>
      </c>
      <c r="U47" s="17"/>
    </row>
    <row r="48" spans="1:21">
      <c r="A48" s="4" t="s">
        <v>230</v>
      </c>
      <c r="B48" s="21">
        <f>'Input'!B183+'Input'!C183+'Input'!D183</f>
        <v>0</v>
      </c>
      <c r="C48" s="44">
        <f>'Input'!E183</f>
        <v>0</v>
      </c>
      <c r="D48" s="21">
        <f>0.01*'Input'!F$58*('Adjust'!$E213*'Input'!E183+'Adjust'!$F213*'Input'!F183)+10*('Adjust'!$B213*'Input'!B183+'Adjust'!$C213*'Input'!C183+'Adjust'!$D213*'Input'!D183+'Adjust'!$G213*'Input'!G183)</f>
        <v>0</v>
      </c>
      <c r="E48" s="21">
        <f>10*('Adjust'!$B213*'Input'!B183+'Adjust'!$C213*'Input'!C183+'Adjust'!$D213*'Input'!D183)</f>
        <v>0</v>
      </c>
      <c r="F48" s="21">
        <f>'Adjust'!E213*'Input'!$F$58*'Input'!$E183/100</f>
        <v>0</v>
      </c>
      <c r="G48" s="21">
        <f>'Adjust'!F213*'Input'!$F$58*'Input'!$F183/100</f>
        <v>0</v>
      </c>
      <c r="H48" s="21">
        <f>'Adjust'!G213*'Input'!$G183*10</f>
        <v>0</v>
      </c>
      <c r="I48" s="38">
        <f>IF(B48&lt;&gt;0,0.1*D48/B48,"")</f>
        <v>0</v>
      </c>
      <c r="J48" s="46">
        <f>IF(C48&lt;&gt;0,D48/C48,"")</f>
        <v>0</v>
      </c>
      <c r="K48" s="38">
        <f>IF(B48&lt;&gt;0,0.1*E48/B48,0)</f>
        <v>0</v>
      </c>
      <c r="L48" s="21">
        <f>'Adjust'!B213*'Input'!$B183*10</f>
        <v>0</v>
      </c>
      <c r="M48" s="21">
        <f>'Adjust'!C213*'Input'!$C183*10</f>
        <v>0</v>
      </c>
      <c r="N48" s="21">
        <f>'Adjust'!D213*'Input'!$D183*10</f>
        <v>0</v>
      </c>
      <c r="O48" s="40">
        <f>IF(E48&lt;&gt;0,$L48/E48,"")</f>
        <v>0</v>
      </c>
      <c r="P48" s="40">
        <f>IF(E48&lt;&gt;0,$M48/E48,"")</f>
        <v>0</v>
      </c>
      <c r="Q48" s="40">
        <f>IF(E48&lt;&gt;0,$N48/E48,"")</f>
        <v>0</v>
      </c>
      <c r="R48" s="40">
        <f>IF(D48&lt;&gt;0,$F48/D48,"")</f>
        <v>0</v>
      </c>
      <c r="S48" s="40">
        <f>IF(D48&lt;&gt;0,$G48/D48,"")</f>
        <v>0</v>
      </c>
      <c r="T48" s="40">
        <f>IF(D48&lt;&gt;0,$H48/D48,"")</f>
        <v>0</v>
      </c>
      <c r="U48" s="17"/>
    </row>
    <row r="49" spans="1:21">
      <c r="A49" s="29" t="s">
        <v>231</v>
      </c>
      <c r="U49" s="17"/>
    </row>
    <row r="50" spans="1:21">
      <c r="A50" s="4" t="s">
        <v>175</v>
      </c>
      <c r="B50" s="21">
        <f>'Input'!B185+'Input'!C185+'Input'!D185</f>
        <v>0</v>
      </c>
      <c r="C50" s="44">
        <f>'Input'!E185</f>
        <v>0</v>
      </c>
      <c r="D50" s="21">
        <f>0.01*'Input'!F$58*('Adjust'!$E215*'Input'!E185+'Adjust'!$F215*'Input'!F185)+10*('Adjust'!$B215*'Input'!B185+'Adjust'!$C215*'Input'!C185+'Adjust'!$D215*'Input'!D185+'Adjust'!$G215*'Input'!G185)</f>
        <v>0</v>
      </c>
      <c r="E50" s="21">
        <f>10*('Adjust'!$B215*'Input'!B185+'Adjust'!$C215*'Input'!C185+'Adjust'!$D215*'Input'!D185)</f>
        <v>0</v>
      </c>
      <c r="F50" s="21">
        <f>'Adjust'!E215*'Input'!$F$58*'Input'!$E185/100</f>
        <v>0</v>
      </c>
      <c r="G50" s="21">
        <f>'Adjust'!F215*'Input'!$F$58*'Input'!$F185/100</f>
        <v>0</v>
      </c>
      <c r="H50" s="21">
        <f>'Adjust'!G215*'Input'!$G185*10</f>
        <v>0</v>
      </c>
      <c r="I50" s="38">
        <f>IF(B50&lt;&gt;0,0.1*D50/B50,"")</f>
        <v>0</v>
      </c>
      <c r="J50" s="46">
        <f>IF(C50&lt;&gt;0,D50/C50,"")</f>
        <v>0</v>
      </c>
      <c r="K50" s="38">
        <f>IF(B50&lt;&gt;0,0.1*E50/B50,0)</f>
        <v>0</v>
      </c>
      <c r="L50" s="21">
        <f>'Adjust'!B215*'Input'!$B185*10</f>
        <v>0</v>
      </c>
      <c r="M50" s="21">
        <f>'Adjust'!C215*'Input'!$C185*10</f>
        <v>0</v>
      </c>
      <c r="N50" s="21">
        <f>'Adjust'!D215*'Input'!$D185*10</f>
        <v>0</v>
      </c>
      <c r="O50" s="40">
        <f>IF(E50&lt;&gt;0,$L50/E50,"")</f>
        <v>0</v>
      </c>
      <c r="P50" s="40">
        <f>IF(E50&lt;&gt;0,$M50/E50,"")</f>
        <v>0</v>
      </c>
      <c r="Q50" s="40">
        <f>IF(E50&lt;&gt;0,$N50/E50,"")</f>
        <v>0</v>
      </c>
      <c r="R50" s="40">
        <f>IF(D50&lt;&gt;0,$F50/D50,"")</f>
        <v>0</v>
      </c>
      <c r="S50" s="40">
        <f>IF(D50&lt;&gt;0,$G50/D50,"")</f>
        <v>0</v>
      </c>
      <c r="T50" s="40">
        <f>IF(D50&lt;&gt;0,$H50/D50,"")</f>
        <v>0</v>
      </c>
      <c r="U50" s="17"/>
    </row>
    <row r="51" spans="1:21">
      <c r="A51" s="4" t="s">
        <v>232</v>
      </c>
      <c r="B51" s="21">
        <f>'Input'!B186+'Input'!C186+'Input'!D186</f>
        <v>0</v>
      </c>
      <c r="C51" s="44">
        <f>'Input'!E186</f>
        <v>0</v>
      </c>
      <c r="D51" s="21">
        <f>0.01*'Input'!F$58*('Adjust'!$E216*'Input'!E186+'Adjust'!$F216*'Input'!F186)+10*('Adjust'!$B216*'Input'!B186+'Adjust'!$C216*'Input'!C186+'Adjust'!$D216*'Input'!D186+'Adjust'!$G216*'Input'!G186)</f>
        <v>0</v>
      </c>
      <c r="E51" s="21">
        <f>10*('Adjust'!$B216*'Input'!B186+'Adjust'!$C216*'Input'!C186+'Adjust'!$D216*'Input'!D186)</f>
        <v>0</v>
      </c>
      <c r="F51" s="21">
        <f>'Adjust'!E216*'Input'!$F$58*'Input'!$E186/100</f>
        <v>0</v>
      </c>
      <c r="G51" s="21">
        <f>'Adjust'!F216*'Input'!$F$58*'Input'!$F186/100</f>
        <v>0</v>
      </c>
      <c r="H51" s="21">
        <f>'Adjust'!G216*'Input'!$G186*10</f>
        <v>0</v>
      </c>
      <c r="I51" s="38">
        <f>IF(B51&lt;&gt;0,0.1*D51/B51,"")</f>
        <v>0</v>
      </c>
      <c r="J51" s="46">
        <f>IF(C51&lt;&gt;0,D51/C51,"")</f>
        <v>0</v>
      </c>
      <c r="K51" s="38">
        <f>IF(B51&lt;&gt;0,0.1*E51/B51,0)</f>
        <v>0</v>
      </c>
      <c r="L51" s="21">
        <f>'Adjust'!B216*'Input'!$B186*10</f>
        <v>0</v>
      </c>
      <c r="M51" s="21">
        <f>'Adjust'!C216*'Input'!$C186*10</f>
        <v>0</v>
      </c>
      <c r="N51" s="21">
        <f>'Adjust'!D216*'Input'!$D186*10</f>
        <v>0</v>
      </c>
      <c r="O51" s="40">
        <f>IF(E51&lt;&gt;0,$L51/E51,"")</f>
        <v>0</v>
      </c>
      <c r="P51" s="40">
        <f>IF(E51&lt;&gt;0,$M51/E51,"")</f>
        <v>0</v>
      </c>
      <c r="Q51" s="40">
        <f>IF(E51&lt;&gt;0,$N51/E51,"")</f>
        <v>0</v>
      </c>
      <c r="R51" s="40">
        <f>IF(D51&lt;&gt;0,$F51/D51,"")</f>
        <v>0</v>
      </c>
      <c r="S51" s="40">
        <f>IF(D51&lt;&gt;0,$G51/D51,"")</f>
        <v>0</v>
      </c>
      <c r="T51" s="40">
        <f>IF(D51&lt;&gt;0,$H51/D51,"")</f>
        <v>0</v>
      </c>
      <c r="U51" s="17"/>
    </row>
    <row r="52" spans="1:21">
      <c r="A52" s="4" t="s">
        <v>233</v>
      </c>
      <c r="B52" s="21">
        <f>'Input'!B187+'Input'!C187+'Input'!D187</f>
        <v>0</v>
      </c>
      <c r="C52" s="44">
        <f>'Input'!E187</f>
        <v>0</v>
      </c>
      <c r="D52" s="21">
        <f>0.01*'Input'!F$58*('Adjust'!$E217*'Input'!E187+'Adjust'!$F217*'Input'!F187)+10*('Adjust'!$B217*'Input'!B187+'Adjust'!$C217*'Input'!C187+'Adjust'!$D217*'Input'!D187+'Adjust'!$G217*'Input'!G187)</f>
        <v>0</v>
      </c>
      <c r="E52" s="21">
        <f>10*('Adjust'!$B217*'Input'!B187+'Adjust'!$C217*'Input'!C187+'Adjust'!$D217*'Input'!D187)</f>
        <v>0</v>
      </c>
      <c r="F52" s="21">
        <f>'Adjust'!E217*'Input'!$F$58*'Input'!$E187/100</f>
        <v>0</v>
      </c>
      <c r="G52" s="21">
        <f>'Adjust'!F217*'Input'!$F$58*'Input'!$F187/100</f>
        <v>0</v>
      </c>
      <c r="H52" s="21">
        <f>'Adjust'!G217*'Input'!$G187*10</f>
        <v>0</v>
      </c>
      <c r="I52" s="38">
        <f>IF(B52&lt;&gt;0,0.1*D52/B52,"")</f>
        <v>0</v>
      </c>
      <c r="J52" s="46">
        <f>IF(C52&lt;&gt;0,D52/C52,"")</f>
        <v>0</v>
      </c>
      <c r="K52" s="38">
        <f>IF(B52&lt;&gt;0,0.1*E52/B52,0)</f>
        <v>0</v>
      </c>
      <c r="L52" s="21">
        <f>'Adjust'!B217*'Input'!$B187*10</f>
        <v>0</v>
      </c>
      <c r="M52" s="21">
        <f>'Adjust'!C217*'Input'!$C187*10</f>
        <v>0</v>
      </c>
      <c r="N52" s="21">
        <f>'Adjust'!D217*'Input'!$D187*10</f>
        <v>0</v>
      </c>
      <c r="O52" s="40">
        <f>IF(E52&lt;&gt;0,$L52/E52,"")</f>
        <v>0</v>
      </c>
      <c r="P52" s="40">
        <f>IF(E52&lt;&gt;0,$M52/E52,"")</f>
        <v>0</v>
      </c>
      <c r="Q52" s="40">
        <f>IF(E52&lt;&gt;0,$N52/E52,"")</f>
        <v>0</v>
      </c>
      <c r="R52" s="40">
        <f>IF(D52&lt;&gt;0,$F52/D52,"")</f>
        <v>0</v>
      </c>
      <c r="S52" s="40">
        <f>IF(D52&lt;&gt;0,$G52/D52,"")</f>
        <v>0</v>
      </c>
      <c r="T52" s="40">
        <f>IF(D52&lt;&gt;0,$H52/D52,"")</f>
        <v>0</v>
      </c>
      <c r="U52" s="17"/>
    </row>
    <row r="53" spans="1:21">
      <c r="A53" s="29" t="s">
        <v>234</v>
      </c>
      <c r="U53" s="17"/>
    </row>
    <row r="54" spans="1:21">
      <c r="A54" s="4" t="s">
        <v>211</v>
      </c>
      <c r="B54" s="21">
        <f>'Input'!B189+'Input'!C189+'Input'!D189</f>
        <v>0</v>
      </c>
      <c r="C54" s="44">
        <f>'Input'!E189</f>
        <v>0</v>
      </c>
      <c r="D54" s="21">
        <f>0.01*'Input'!F$58*('Adjust'!$E219*'Input'!E189+'Adjust'!$F219*'Input'!F189)+10*('Adjust'!$B219*'Input'!B189+'Adjust'!$C219*'Input'!C189+'Adjust'!$D219*'Input'!D189+'Adjust'!$G219*'Input'!G189)</f>
        <v>0</v>
      </c>
      <c r="E54" s="21">
        <f>10*('Adjust'!$B219*'Input'!B189+'Adjust'!$C219*'Input'!C189+'Adjust'!$D219*'Input'!D189)</f>
        <v>0</v>
      </c>
      <c r="F54" s="21">
        <f>'Adjust'!E219*'Input'!$F$58*'Input'!$E189/100</f>
        <v>0</v>
      </c>
      <c r="G54" s="21">
        <f>'Adjust'!F219*'Input'!$F$58*'Input'!$F189/100</f>
        <v>0</v>
      </c>
      <c r="H54" s="21">
        <f>'Adjust'!G219*'Input'!$G189*10</f>
        <v>0</v>
      </c>
      <c r="I54" s="38">
        <f>IF(B54&lt;&gt;0,0.1*D54/B54,"")</f>
        <v>0</v>
      </c>
      <c r="J54" s="46">
        <f>IF(C54&lt;&gt;0,D54/C54,"")</f>
        <v>0</v>
      </c>
      <c r="K54" s="38">
        <f>IF(B54&lt;&gt;0,0.1*E54/B54,0)</f>
        <v>0</v>
      </c>
      <c r="L54" s="21">
        <f>'Adjust'!B219*'Input'!$B189*10</f>
        <v>0</v>
      </c>
      <c r="M54" s="21">
        <f>'Adjust'!C219*'Input'!$C189*10</f>
        <v>0</v>
      </c>
      <c r="N54" s="21">
        <f>'Adjust'!D219*'Input'!$D189*10</f>
        <v>0</v>
      </c>
      <c r="O54" s="40">
        <f>IF(E54&lt;&gt;0,$L54/E54,"")</f>
        <v>0</v>
      </c>
      <c r="P54" s="40">
        <f>IF(E54&lt;&gt;0,$M54/E54,"")</f>
        <v>0</v>
      </c>
      <c r="Q54" s="40">
        <f>IF(E54&lt;&gt;0,$N54/E54,"")</f>
        <v>0</v>
      </c>
      <c r="R54" s="40">
        <f>IF(D54&lt;&gt;0,$F54/D54,"")</f>
        <v>0</v>
      </c>
      <c r="S54" s="40">
        <f>IF(D54&lt;&gt;0,$G54/D54,"")</f>
        <v>0</v>
      </c>
      <c r="T54" s="40">
        <f>IF(D54&lt;&gt;0,$H54/D54,"")</f>
        <v>0</v>
      </c>
      <c r="U54" s="17"/>
    </row>
    <row r="55" spans="1:21">
      <c r="A55" s="4" t="s">
        <v>235</v>
      </c>
      <c r="B55" s="21">
        <f>'Input'!B190+'Input'!C190+'Input'!D190</f>
        <v>0</v>
      </c>
      <c r="C55" s="44">
        <f>'Input'!E190</f>
        <v>0</v>
      </c>
      <c r="D55" s="21">
        <f>0.01*'Input'!F$58*('Adjust'!$E220*'Input'!E190+'Adjust'!$F220*'Input'!F190)+10*('Adjust'!$B220*'Input'!B190+'Adjust'!$C220*'Input'!C190+'Adjust'!$D220*'Input'!D190+'Adjust'!$G220*'Input'!G190)</f>
        <v>0</v>
      </c>
      <c r="E55" s="21">
        <f>10*('Adjust'!$B220*'Input'!B190+'Adjust'!$C220*'Input'!C190+'Adjust'!$D220*'Input'!D190)</f>
        <v>0</v>
      </c>
      <c r="F55" s="21">
        <f>'Adjust'!E220*'Input'!$F$58*'Input'!$E190/100</f>
        <v>0</v>
      </c>
      <c r="G55" s="21">
        <f>'Adjust'!F220*'Input'!$F$58*'Input'!$F190/100</f>
        <v>0</v>
      </c>
      <c r="H55" s="21">
        <f>'Adjust'!G220*'Input'!$G190*10</f>
        <v>0</v>
      </c>
      <c r="I55" s="38">
        <f>IF(B55&lt;&gt;0,0.1*D55/B55,"")</f>
        <v>0</v>
      </c>
      <c r="J55" s="46">
        <f>IF(C55&lt;&gt;0,D55/C55,"")</f>
        <v>0</v>
      </c>
      <c r="K55" s="38">
        <f>IF(B55&lt;&gt;0,0.1*E55/B55,0)</f>
        <v>0</v>
      </c>
      <c r="L55" s="21">
        <f>'Adjust'!B220*'Input'!$B190*10</f>
        <v>0</v>
      </c>
      <c r="M55" s="21">
        <f>'Adjust'!C220*'Input'!$C190*10</f>
        <v>0</v>
      </c>
      <c r="N55" s="21">
        <f>'Adjust'!D220*'Input'!$D190*10</f>
        <v>0</v>
      </c>
      <c r="O55" s="40">
        <f>IF(E55&lt;&gt;0,$L55/E55,"")</f>
        <v>0</v>
      </c>
      <c r="P55" s="40">
        <f>IF(E55&lt;&gt;0,$M55/E55,"")</f>
        <v>0</v>
      </c>
      <c r="Q55" s="40">
        <f>IF(E55&lt;&gt;0,$N55/E55,"")</f>
        <v>0</v>
      </c>
      <c r="R55" s="40">
        <f>IF(D55&lt;&gt;0,$F55/D55,"")</f>
        <v>0</v>
      </c>
      <c r="S55" s="40">
        <f>IF(D55&lt;&gt;0,$G55/D55,"")</f>
        <v>0</v>
      </c>
      <c r="T55" s="40">
        <f>IF(D55&lt;&gt;0,$H55/D55,"")</f>
        <v>0</v>
      </c>
      <c r="U55" s="17"/>
    </row>
    <row r="56" spans="1:21">
      <c r="A56" s="4" t="s">
        <v>236</v>
      </c>
      <c r="B56" s="21">
        <f>'Input'!B191+'Input'!C191+'Input'!D191</f>
        <v>0</v>
      </c>
      <c r="C56" s="44">
        <f>'Input'!E191</f>
        <v>0</v>
      </c>
      <c r="D56" s="21">
        <f>0.01*'Input'!F$58*('Adjust'!$E221*'Input'!E191+'Adjust'!$F221*'Input'!F191)+10*('Adjust'!$B221*'Input'!B191+'Adjust'!$C221*'Input'!C191+'Adjust'!$D221*'Input'!D191+'Adjust'!$G221*'Input'!G191)</f>
        <v>0</v>
      </c>
      <c r="E56" s="21">
        <f>10*('Adjust'!$B221*'Input'!B191+'Adjust'!$C221*'Input'!C191+'Adjust'!$D221*'Input'!D191)</f>
        <v>0</v>
      </c>
      <c r="F56" s="21">
        <f>'Adjust'!E221*'Input'!$F$58*'Input'!$E191/100</f>
        <v>0</v>
      </c>
      <c r="G56" s="21">
        <f>'Adjust'!F221*'Input'!$F$58*'Input'!$F191/100</f>
        <v>0</v>
      </c>
      <c r="H56" s="21">
        <f>'Adjust'!G221*'Input'!$G191*10</f>
        <v>0</v>
      </c>
      <c r="I56" s="38">
        <f>IF(B56&lt;&gt;0,0.1*D56/B56,"")</f>
        <v>0</v>
      </c>
      <c r="J56" s="46">
        <f>IF(C56&lt;&gt;0,D56/C56,"")</f>
        <v>0</v>
      </c>
      <c r="K56" s="38">
        <f>IF(B56&lt;&gt;0,0.1*E56/B56,0)</f>
        <v>0</v>
      </c>
      <c r="L56" s="21">
        <f>'Adjust'!B221*'Input'!$B191*10</f>
        <v>0</v>
      </c>
      <c r="M56" s="21">
        <f>'Adjust'!C221*'Input'!$C191*10</f>
        <v>0</v>
      </c>
      <c r="N56" s="21">
        <f>'Adjust'!D221*'Input'!$D191*10</f>
        <v>0</v>
      </c>
      <c r="O56" s="40">
        <f>IF(E56&lt;&gt;0,$L56/E56,"")</f>
        <v>0</v>
      </c>
      <c r="P56" s="40">
        <f>IF(E56&lt;&gt;0,$M56/E56,"")</f>
        <v>0</v>
      </c>
      <c r="Q56" s="40">
        <f>IF(E56&lt;&gt;0,$N56/E56,"")</f>
        <v>0</v>
      </c>
      <c r="R56" s="40">
        <f>IF(D56&lt;&gt;0,$F56/D56,"")</f>
        <v>0</v>
      </c>
      <c r="S56" s="40">
        <f>IF(D56&lt;&gt;0,$G56/D56,"")</f>
        <v>0</v>
      </c>
      <c r="T56" s="40">
        <f>IF(D56&lt;&gt;0,$H56/D56,"")</f>
        <v>0</v>
      </c>
      <c r="U56" s="17"/>
    </row>
    <row r="57" spans="1:21">
      <c r="A57" s="29" t="s">
        <v>237</v>
      </c>
      <c r="U57" s="17"/>
    </row>
    <row r="58" spans="1:21">
      <c r="A58" s="4" t="s">
        <v>176</v>
      </c>
      <c r="B58" s="21">
        <f>'Input'!B193+'Input'!C193+'Input'!D193</f>
        <v>0</v>
      </c>
      <c r="C58" s="44">
        <f>'Input'!E193</f>
        <v>0</v>
      </c>
      <c r="D58" s="21">
        <f>0.01*'Input'!F$58*('Adjust'!$E223*'Input'!E193+'Adjust'!$F223*'Input'!F193)+10*('Adjust'!$B223*'Input'!B193+'Adjust'!$C223*'Input'!C193+'Adjust'!$D223*'Input'!D193+'Adjust'!$G223*'Input'!G193)</f>
        <v>0</v>
      </c>
      <c r="E58" s="21">
        <f>10*('Adjust'!$B223*'Input'!B193+'Adjust'!$C223*'Input'!C193+'Adjust'!$D223*'Input'!D193)</f>
        <v>0</v>
      </c>
      <c r="F58" s="21">
        <f>'Adjust'!E223*'Input'!$F$58*'Input'!$E193/100</f>
        <v>0</v>
      </c>
      <c r="G58" s="21">
        <f>'Adjust'!F223*'Input'!$F$58*'Input'!$F193/100</f>
        <v>0</v>
      </c>
      <c r="H58" s="21">
        <f>'Adjust'!G223*'Input'!$G193*10</f>
        <v>0</v>
      </c>
      <c r="I58" s="38">
        <f>IF(B58&lt;&gt;0,0.1*D58/B58,"")</f>
        <v>0</v>
      </c>
      <c r="J58" s="46">
        <f>IF(C58&lt;&gt;0,D58/C58,"")</f>
        <v>0</v>
      </c>
      <c r="K58" s="38">
        <f>IF(B58&lt;&gt;0,0.1*E58/B58,0)</f>
        <v>0</v>
      </c>
      <c r="L58" s="21">
        <f>'Adjust'!B223*'Input'!$B193*10</f>
        <v>0</v>
      </c>
      <c r="M58" s="21">
        <f>'Adjust'!C223*'Input'!$C193*10</f>
        <v>0</v>
      </c>
      <c r="N58" s="21">
        <f>'Adjust'!D223*'Input'!$D193*10</f>
        <v>0</v>
      </c>
      <c r="O58" s="40">
        <f>IF(E58&lt;&gt;0,$L58/E58,"")</f>
        <v>0</v>
      </c>
      <c r="P58" s="40">
        <f>IF(E58&lt;&gt;0,$M58/E58,"")</f>
        <v>0</v>
      </c>
      <c r="Q58" s="40">
        <f>IF(E58&lt;&gt;0,$N58/E58,"")</f>
        <v>0</v>
      </c>
      <c r="R58" s="40">
        <f>IF(D58&lt;&gt;0,$F58/D58,"")</f>
        <v>0</v>
      </c>
      <c r="S58" s="40">
        <f>IF(D58&lt;&gt;0,$G58/D58,"")</f>
        <v>0</v>
      </c>
      <c r="T58" s="40">
        <f>IF(D58&lt;&gt;0,$H58/D58,"")</f>
        <v>0</v>
      </c>
      <c r="U58" s="17"/>
    </row>
    <row r="59" spans="1:21">
      <c r="A59" s="4" t="s">
        <v>238</v>
      </c>
      <c r="B59" s="21">
        <f>'Input'!B194+'Input'!C194+'Input'!D194</f>
        <v>0</v>
      </c>
      <c r="C59" s="44">
        <f>'Input'!E194</f>
        <v>0</v>
      </c>
      <c r="D59" s="21">
        <f>0.01*'Input'!F$58*('Adjust'!$E224*'Input'!E194+'Adjust'!$F224*'Input'!F194)+10*('Adjust'!$B224*'Input'!B194+'Adjust'!$C224*'Input'!C194+'Adjust'!$D224*'Input'!D194+'Adjust'!$G224*'Input'!G194)</f>
        <v>0</v>
      </c>
      <c r="E59" s="21">
        <f>10*('Adjust'!$B224*'Input'!B194+'Adjust'!$C224*'Input'!C194+'Adjust'!$D224*'Input'!D194)</f>
        <v>0</v>
      </c>
      <c r="F59" s="21">
        <f>'Adjust'!E224*'Input'!$F$58*'Input'!$E194/100</f>
        <v>0</v>
      </c>
      <c r="G59" s="21">
        <f>'Adjust'!F224*'Input'!$F$58*'Input'!$F194/100</f>
        <v>0</v>
      </c>
      <c r="H59" s="21">
        <f>'Adjust'!G224*'Input'!$G194*10</f>
        <v>0</v>
      </c>
      <c r="I59" s="38">
        <f>IF(B59&lt;&gt;0,0.1*D59/B59,"")</f>
        <v>0</v>
      </c>
      <c r="J59" s="46">
        <f>IF(C59&lt;&gt;0,D59/C59,"")</f>
        <v>0</v>
      </c>
      <c r="K59" s="38">
        <f>IF(B59&lt;&gt;0,0.1*E59/B59,0)</f>
        <v>0</v>
      </c>
      <c r="L59" s="21">
        <f>'Adjust'!B224*'Input'!$B194*10</f>
        <v>0</v>
      </c>
      <c r="M59" s="21">
        <f>'Adjust'!C224*'Input'!$C194*10</f>
        <v>0</v>
      </c>
      <c r="N59" s="21">
        <f>'Adjust'!D224*'Input'!$D194*10</f>
        <v>0</v>
      </c>
      <c r="O59" s="40">
        <f>IF(E59&lt;&gt;0,$L59/E59,"")</f>
        <v>0</v>
      </c>
      <c r="P59" s="40">
        <f>IF(E59&lt;&gt;0,$M59/E59,"")</f>
        <v>0</v>
      </c>
      <c r="Q59" s="40">
        <f>IF(E59&lt;&gt;0,$N59/E59,"")</f>
        <v>0</v>
      </c>
      <c r="R59" s="40">
        <f>IF(D59&lt;&gt;0,$F59/D59,"")</f>
        <v>0</v>
      </c>
      <c r="S59" s="40">
        <f>IF(D59&lt;&gt;0,$G59/D59,"")</f>
        <v>0</v>
      </c>
      <c r="T59" s="40">
        <f>IF(D59&lt;&gt;0,$H59/D59,"")</f>
        <v>0</v>
      </c>
      <c r="U59" s="17"/>
    </row>
    <row r="60" spans="1:21">
      <c r="A60" s="4" t="s">
        <v>239</v>
      </c>
      <c r="B60" s="21">
        <f>'Input'!B195+'Input'!C195+'Input'!D195</f>
        <v>0</v>
      </c>
      <c r="C60" s="44">
        <f>'Input'!E195</f>
        <v>0</v>
      </c>
      <c r="D60" s="21">
        <f>0.01*'Input'!F$58*('Adjust'!$E225*'Input'!E195+'Adjust'!$F225*'Input'!F195)+10*('Adjust'!$B225*'Input'!B195+'Adjust'!$C225*'Input'!C195+'Adjust'!$D225*'Input'!D195+'Adjust'!$G225*'Input'!G195)</f>
        <v>0</v>
      </c>
      <c r="E60" s="21">
        <f>10*('Adjust'!$B225*'Input'!B195+'Adjust'!$C225*'Input'!C195+'Adjust'!$D225*'Input'!D195)</f>
        <v>0</v>
      </c>
      <c r="F60" s="21">
        <f>'Adjust'!E225*'Input'!$F$58*'Input'!$E195/100</f>
        <v>0</v>
      </c>
      <c r="G60" s="21">
        <f>'Adjust'!F225*'Input'!$F$58*'Input'!$F195/100</f>
        <v>0</v>
      </c>
      <c r="H60" s="21">
        <f>'Adjust'!G225*'Input'!$G195*10</f>
        <v>0</v>
      </c>
      <c r="I60" s="38">
        <f>IF(B60&lt;&gt;0,0.1*D60/B60,"")</f>
        <v>0</v>
      </c>
      <c r="J60" s="46">
        <f>IF(C60&lt;&gt;0,D60/C60,"")</f>
        <v>0</v>
      </c>
      <c r="K60" s="38">
        <f>IF(B60&lt;&gt;0,0.1*E60/B60,0)</f>
        <v>0</v>
      </c>
      <c r="L60" s="21">
        <f>'Adjust'!B225*'Input'!$B195*10</f>
        <v>0</v>
      </c>
      <c r="M60" s="21">
        <f>'Adjust'!C225*'Input'!$C195*10</f>
        <v>0</v>
      </c>
      <c r="N60" s="21">
        <f>'Adjust'!D225*'Input'!$D195*10</f>
        <v>0</v>
      </c>
      <c r="O60" s="40">
        <f>IF(E60&lt;&gt;0,$L60/E60,"")</f>
        <v>0</v>
      </c>
      <c r="P60" s="40">
        <f>IF(E60&lt;&gt;0,$M60/E60,"")</f>
        <v>0</v>
      </c>
      <c r="Q60" s="40">
        <f>IF(E60&lt;&gt;0,$N60/E60,"")</f>
        <v>0</v>
      </c>
      <c r="R60" s="40">
        <f>IF(D60&lt;&gt;0,$F60/D60,"")</f>
        <v>0</v>
      </c>
      <c r="S60" s="40">
        <f>IF(D60&lt;&gt;0,$G60/D60,"")</f>
        <v>0</v>
      </c>
      <c r="T60" s="40">
        <f>IF(D60&lt;&gt;0,$H60/D60,"")</f>
        <v>0</v>
      </c>
      <c r="U60" s="17"/>
    </row>
    <row r="61" spans="1:21">
      <c r="A61" s="29" t="s">
        <v>240</v>
      </c>
      <c r="U61" s="17"/>
    </row>
    <row r="62" spans="1:21">
      <c r="A62" s="4" t="s">
        <v>177</v>
      </c>
      <c r="B62" s="21">
        <f>'Input'!B197+'Input'!C197+'Input'!D197</f>
        <v>0</v>
      </c>
      <c r="C62" s="44">
        <f>'Input'!E197</f>
        <v>0</v>
      </c>
      <c r="D62" s="21">
        <f>0.01*'Input'!F$58*('Adjust'!$E227*'Input'!E197+'Adjust'!$F227*'Input'!F197)+10*('Adjust'!$B227*'Input'!B197+'Adjust'!$C227*'Input'!C197+'Adjust'!$D227*'Input'!D197+'Adjust'!$G227*'Input'!G197)</f>
        <v>0</v>
      </c>
      <c r="E62" s="21">
        <f>10*('Adjust'!$B227*'Input'!B197+'Adjust'!$C227*'Input'!C197+'Adjust'!$D227*'Input'!D197)</f>
        <v>0</v>
      </c>
      <c r="F62" s="21">
        <f>'Adjust'!E227*'Input'!$F$58*'Input'!$E197/100</f>
        <v>0</v>
      </c>
      <c r="G62" s="21">
        <f>'Adjust'!F227*'Input'!$F$58*'Input'!$F197/100</f>
        <v>0</v>
      </c>
      <c r="H62" s="21">
        <f>'Adjust'!G227*'Input'!$G197*10</f>
        <v>0</v>
      </c>
      <c r="I62" s="38">
        <f>IF(B62&lt;&gt;0,0.1*D62/B62,"")</f>
        <v>0</v>
      </c>
      <c r="J62" s="46">
        <f>IF(C62&lt;&gt;0,D62/C62,"")</f>
        <v>0</v>
      </c>
      <c r="K62" s="38">
        <f>IF(B62&lt;&gt;0,0.1*E62/B62,0)</f>
        <v>0</v>
      </c>
      <c r="L62" s="21">
        <f>'Adjust'!B227*'Input'!$B197*10</f>
        <v>0</v>
      </c>
      <c r="M62" s="21">
        <f>'Adjust'!C227*'Input'!$C197*10</f>
        <v>0</v>
      </c>
      <c r="N62" s="21">
        <f>'Adjust'!D227*'Input'!$D197*10</f>
        <v>0</v>
      </c>
      <c r="O62" s="40">
        <f>IF(E62&lt;&gt;0,$L62/E62,"")</f>
        <v>0</v>
      </c>
      <c r="P62" s="40">
        <f>IF(E62&lt;&gt;0,$M62/E62,"")</f>
        <v>0</v>
      </c>
      <c r="Q62" s="40">
        <f>IF(E62&lt;&gt;0,$N62/E62,"")</f>
        <v>0</v>
      </c>
      <c r="R62" s="40">
        <f>IF(D62&lt;&gt;0,$F62/D62,"")</f>
        <v>0</v>
      </c>
      <c r="S62" s="40">
        <f>IF(D62&lt;&gt;0,$G62/D62,"")</f>
        <v>0</v>
      </c>
      <c r="T62" s="40">
        <f>IF(D62&lt;&gt;0,$H62/D62,"")</f>
        <v>0</v>
      </c>
      <c r="U62" s="17"/>
    </row>
    <row r="63" spans="1:21">
      <c r="A63" s="4" t="s">
        <v>241</v>
      </c>
      <c r="B63" s="21">
        <f>'Input'!B198+'Input'!C198+'Input'!D198</f>
        <v>0</v>
      </c>
      <c r="C63" s="44">
        <f>'Input'!E198</f>
        <v>0</v>
      </c>
      <c r="D63" s="21">
        <f>0.01*'Input'!F$58*('Adjust'!$E228*'Input'!E198+'Adjust'!$F228*'Input'!F198)+10*('Adjust'!$B228*'Input'!B198+'Adjust'!$C228*'Input'!C198+'Adjust'!$D228*'Input'!D198+'Adjust'!$G228*'Input'!G198)</f>
        <v>0</v>
      </c>
      <c r="E63" s="21">
        <f>10*('Adjust'!$B228*'Input'!B198+'Adjust'!$C228*'Input'!C198+'Adjust'!$D228*'Input'!D198)</f>
        <v>0</v>
      </c>
      <c r="F63" s="21">
        <f>'Adjust'!E228*'Input'!$F$58*'Input'!$E198/100</f>
        <v>0</v>
      </c>
      <c r="G63" s="21">
        <f>'Adjust'!F228*'Input'!$F$58*'Input'!$F198/100</f>
        <v>0</v>
      </c>
      <c r="H63" s="21">
        <f>'Adjust'!G228*'Input'!$G198*10</f>
        <v>0</v>
      </c>
      <c r="I63" s="38">
        <f>IF(B63&lt;&gt;0,0.1*D63/B63,"")</f>
        <v>0</v>
      </c>
      <c r="J63" s="46">
        <f>IF(C63&lt;&gt;0,D63/C63,"")</f>
        <v>0</v>
      </c>
      <c r="K63" s="38">
        <f>IF(B63&lt;&gt;0,0.1*E63/B63,0)</f>
        <v>0</v>
      </c>
      <c r="L63" s="21">
        <f>'Adjust'!B228*'Input'!$B198*10</f>
        <v>0</v>
      </c>
      <c r="M63" s="21">
        <f>'Adjust'!C228*'Input'!$C198*10</f>
        <v>0</v>
      </c>
      <c r="N63" s="21">
        <f>'Adjust'!D228*'Input'!$D198*10</f>
        <v>0</v>
      </c>
      <c r="O63" s="40">
        <f>IF(E63&lt;&gt;0,$L63/E63,"")</f>
        <v>0</v>
      </c>
      <c r="P63" s="40">
        <f>IF(E63&lt;&gt;0,$M63/E63,"")</f>
        <v>0</v>
      </c>
      <c r="Q63" s="40">
        <f>IF(E63&lt;&gt;0,$N63/E63,"")</f>
        <v>0</v>
      </c>
      <c r="R63" s="40">
        <f>IF(D63&lt;&gt;0,$F63/D63,"")</f>
        <v>0</v>
      </c>
      <c r="S63" s="40">
        <f>IF(D63&lt;&gt;0,$G63/D63,"")</f>
        <v>0</v>
      </c>
      <c r="T63" s="40">
        <f>IF(D63&lt;&gt;0,$H63/D63,"")</f>
        <v>0</v>
      </c>
      <c r="U63" s="17"/>
    </row>
    <row r="64" spans="1:21">
      <c r="A64" s="4" t="s">
        <v>242</v>
      </c>
      <c r="B64" s="21">
        <f>'Input'!B199+'Input'!C199+'Input'!D199</f>
        <v>0</v>
      </c>
      <c r="C64" s="44">
        <f>'Input'!E199</f>
        <v>0</v>
      </c>
      <c r="D64" s="21">
        <f>0.01*'Input'!F$58*('Adjust'!$E229*'Input'!E199+'Adjust'!$F229*'Input'!F199)+10*('Adjust'!$B229*'Input'!B199+'Adjust'!$C229*'Input'!C199+'Adjust'!$D229*'Input'!D199+'Adjust'!$G229*'Input'!G199)</f>
        <v>0</v>
      </c>
      <c r="E64" s="21">
        <f>10*('Adjust'!$B229*'Input'!B199+'Adjust'!$C229*'Input'!C199+'Adjust'!$D229*'Input'!D199)</f>
        <v>0</v>
      </c>
      <c r="F64" s="21">
        <f>'Adjust'!E229*'Input'!$F$58*'Input'!$E199/100</f>
        <v>0</v>
      </c>
      <c r="G64" s="21">
        <f>'Adjust'!F229*'Input'!$F$58*'Input'!$F199/100</f>
        <v>0</v>
      </c>
      <c r="H64" s="21">
        <f>'Adjust'!G229*'Input'!$G199*10</f>
        <v>0</v>
      </c>
      <c r="I64" s="38">
        <f>IF(B64&lt;&gt;0,0.1*D64/B64,"")</f>
        <v>0</v>
      </c>
      <c r="J64" s="46">
        <f>IF(C64&lt;&gt;0,D64/C64,"")</f>
        <v>0</v>
      </c>
      <c r="K64" s="38">
        <f>IF(B64&lt;&gt;0,0.1*E64/B64,0)</f>
        <v>0</v>
      </c>
      <c r="L64" s="21">
        <f>'Adjust'!B229*'Input'!$B199*10</f>
        <v>0</v>
      </c>
      <c r="M64" s="21">
        <f>'Adjust'!C229*'Input'!$C199*10</f>
        <v>0</v>
      </c>
      <c r="N64" s="21">
        <f>'Adjust'!D229*'Input'!$D199*10</f>
        <v>0</v>
      </c>
      <c r="O64" s="40">
        <f>IF(E64&lt;&gt;0,$L64/E64,"")</f>
        <v>0</v>
      </c>
      <c r="P64" s="40">
        <f>IF(E64&lt;&gt;0,$M64/E64,"")</f>
        <v>0</v>
      </c>
      <c r="Q64" s="40">
        <f>IF(E64&lt;&gt;0,$N64/E64,"")</f>
        <v>0</v>
      </c>
      <c r="R64" s="40">
        <f>IF(D64&lt;&gt;0,$F64/D64,"")</f>
        <v>0</v>
      </c>
      <c r="S64" s="40">
        <f>IF(D64&lt;&gt;0,$G64/D64,"")</f>
        <v>0</v>
      </c>
      <c r="T64" s="40">
        <f>IF(D64&lt;&gt;0,$H64/D64,"")</f>
        <v>0</v>
      </c>
      <c r="U64" s="17"/>
    </row>
    <row r="65" spans="1:21">
      <c r="A65" s="29" t="s">
        <v>243</v>
      </c>
      <c r="U65" s="17"/>
    </row>
    <row r="66" spans="1:21">
      <c r="A66" s="4" t="s">
        <v>212</v>
      </c>
      <c r="B66" s="21">
        <f>'Input'!B201+'Input'!C201+'Input'!D201</f>
        <v>0</v>
      </c>
      <c r="C66" s="44">
        <f>'Input'!E201</f>
        <v>0</v>
      </c>
      <c r="D66" s="21">
        <f>0.01*'Input'!F$58*('Adjust'!$E231*'Input'!E201+'Adjust'!$F231*'Input'!F201)+10*('Adjust'!$B231*'Input'!B201+'Adjust'!$C231*'Input'!C201+'Adjust'!$D231*'Input'!D201+'Adjust'!$G231*'Input'!G201)</f>
        <v>0</v>
      </c>
      <c r="E66" s="21">
        <f>10*('Adjust'!$B231*'Input'!B201+'Adjust'!$C231*'Input'!C201+'Adjust'!$D231*'Input'!D201)</f>
        <v>0</v>
      </c>
      <c r="F66" s="21">
        <f>'Adjust'!E231*'Input'!$F$58*'Input'!$E201/100</f>
        <v>0</v>
      </c>
      <c r="G66" s="21">
        <f>'Adjust'!F231*'Input'!$F$58*'Input'!$F201/100</f>
        <v>0</v>
      </c>
      <c r="H66" s="21">
        <f>'Adjust'!G231*'Input'!$G201*10</f>
        <v>0</v>
      </c>
      <c r="I66" s="38">
        <f>IF(B66&lt;&gt;0,0.1*D66/B66,"")</f>
        <v>0</v>
      </c>
      <c r="J66" s="46">
        <f>IF(C66&lt;&gt;0,D66/C66,"")</f>
        <v>0</v>
      </c>
      <c r="K66" s="38">
        <f>IF(B66&lt;&gt;0,0.1*E66/B66,0)</f>
        <v>0</v>
      </c>
      <c r="L66" s="21">
        <f>'Adjust'!B231*'Input'!$B201*10</f>
        <v>0</v>
      </c>
      <c r="M66" s="21">
        <f>'Adjust'!C231*'Input'!$C201*10</f>
        <v>0</v>
      </c>
      <c r="N66" s="21">
        <f>'Adjust'!D231*'Input'!$D201*10</f>
        <v>0</v>
      </c>
      <c r="O66" s="40">
        <f>IF(E66&lt;&gt;0,$L66/E66,"")</f>
        <v>0</v>
      </c>
      <c r="P66" s="40">
        <f>IF(E66&lt;&gt;0,$M66/E66,"")</f>
        <v>0</v>
      </c>
      <c r="Q66" s="40">
        <f>IF(E66&lt;&gt;0,$N66/E66,"")</f>
        <v>0</v>
      </c>
      <c r="R66" s="40">
        <f>IF(D66&lt;&gt;0,$F66/D66,"")</f>
        <v>0</v>
      </c>
      <c r="S66" s="40">
        <f>IF(D66&lt;&gt;0,$G66/D66,"")</f>
        <v>0</v>
      </c>
      <c r="T66" s="40">
        <f>IF(D66&lt;&gt;0,$H66/D66,"")</f>
        <v>0</v>
      </c>
      <c r="U66" s="17"/>
    </row>
    <row r="67" spans="1:21">
      <c r="A67" s="4" t="s">
        <v>244</v>
      </c>
      <c r="B67" s="21">
        <f>'Input'!B202+'Input'!C202+'Input'!D202</f>
        <v>0</v>
      </c>
      <c r="C67" s="44">
        <f>'Input'!E202</f>
        <v>0</v>
      </c>
      <c r="D67" s="21">
        <f>0.01*'Input'!F$58*('Adjust'!$E232*'Input'!E202+'Adjust'!$F232*'Input'!F202)+10*('Adjust'!$B232*'Input'!B202+'Adjust'!$C232*'Input'!C202+'Adjust'!$D232*'Input'!D202+'Adjust'!$G232*'Input'!G202)</f>
        <v>0</v>
      </c>
      <c r="E67" s="21">
        <f>10*('Adjust'!$B232*'Input'!B202+'Adjust'!$C232*'Input'!C202+'Adjust'!$D232*'Input'!D202)</f>
        <v>0</v>
      </c>
      <c r="F67" s="21">
        <f>'Adjust'!E232*'Input'!$F$58*'Input'!$E202/100</f>
        <v>0</v>
      </c>
      <c r="G67" s="21">
        <f>'Adjust'!F232*'Input'!$F$58*'Input'!$F202/100</f>
        <v>0</v>
      </c>
      <c r="H67" s="21">
        <f>'Adjust'!G232*'Input'!$G202*10</f>
        <v>0</v>
      </c>
      <c r="I67" s="38">
        <f>IF(B67&lt;&gt;0,0.1*D67/B67,"")</f>
        <v>0</v>
      </c>
      <c r="J67" s="46">
        <f>IF(C67&lt;&gt;0,D67/C67,"")</f>
        <v>0</v>
      </c>
      <c r="K67" s="38">
        <f>IF(B67&lt;&gt;0,0.1*E67/B67,0)</f>
        <v>0</v>
      </c>
      <c r="L67" s="21">
        <f>'Adjust'!B232*'Input'!$B202*10</f>
        <v>0</v>
      </c>
      <c r="M67" s="21">
        <f>'Adjust'!C232*'Input'!$C202*10</f>
        <v>0</v>
      </c>
      <c r="N67" s="21">
        <f>'Adjust'!D232*'Input'!$D202*10</f>
        <v>0</v>
      </c>
      <c r="O67" s="40">
        <f>IF(E67&lt;&gt;0,$L67/E67,"")</f>
        <v>0</v>
      </c>
      <c r="P67" s="40">
        <f>IF(E67&lt;&gt;0,$M67/E67,"")</f>
        <v>0</v>
      </c>
      <c r="Q67" s="40">
        <f>IF(E67&lt;&gt;0,$N67/E67,"")</f>
        <v>0</v>
      </c>
      <c r="R67" s="40">
        <f>IF(D67&lt;&gt;0,$F67/D67,"")</f>
        <v>0</v>
      </c>
      <c r="S67" s="40">
        <f>IF(D67&lt;&gt;0,$G67/D67,"")</f>
        <v>0</v>
      </c>
      <c r="T67" s="40">
        <f>IF(D67&lt;&gt;0,$H67/D67,"")</f>
        <v>0</v>
      </c>
      <c r="U67" s="17"/>
    </row>
    <row r="68" spans="1:21">
      <c r="A68" s="4" t="s">
        <v>245</v>
      </c>
      <c r="B68" s="21">
        <f>'Input'!B203+'Input'!C203+'Input'!D203</f>
        <v>0</v>
      </c>
      <c r="C68" s="44">
        <f>'Input'!E203</f>
        <v>0</v>
      </c>
      <c r="D68" s="21">
        <f>0.01*'Input'!F$58*('Adjust'!$E233*'Input'!E203+'Adjust'!$F233*'Input'!F203)+10*('Adjust'!$B233*'Input'!B203+'Adjust'!$C233*'Input'!C203+'Adjust'!$D233*'Input'!D203+'Adjust'!$G233*'Input'!G203)</f>
        <v>0</v>
      </c>
      <c r="E68" s="21">
        <f>10*('Adjust'!$B233*'Input'!B203+'Adjust'!$C233*'Input'!C203+'Adjust'!$D233*'Input'!D203)</f>
        <v>0</v>
      </c>
      <c r="F68" s="21">
        <f>'Adjust'!E233*'Input'!$F$58*'Input'!$E203/100</f>
        <v>0</v>
      </c>
      <c r="G68" s="21">
        <f>'Adjust'!F233*'Input'!$F$58*'Input'!$F203/100</f>
        <v>0</v>
      </c>
      <c r="H68" s="21">
        <f>'Adjust'!G233*'Input'!$G203*10</f>
        <v>0</v>
      </c>
      <c r="I68" s="38">
        <f>IF(B68&lt;&gt;0,0.1*D68/B68,"")</f>
        <v>0</v>
      </c>
      <c r="J68" s="46">
        <f>IF(C68&lt;&gt;0,D68/C68,"")</f>
        <v>0</v>
      </c>
      <c r="K68" s="38">
        <f>IF(B68&lt;&gt;0,0.1*E68/B68,0)</f>
        <v>0</v>
      </c>
      <c r="L68" s="21">
        <f>'Adjust'!B233*'Input'!$B203*10</f>
        <v>0</v>
      </c>
      <c r="M68" s="21">
        <f>'Adjust'!C233*'Input'!$C203*10</f>
        <v>0</v>
      </c>
      <c r="N68" s="21">
        <f>'Adjust'!D233*'Input'!$D203*10</f>
        <v>0</v>
      </c>
      <c r="O68" s="40">
        <f>IF(E68&lt;&gt;0,$L68/E68,"")</f>
        <v>0</v>
      </c>
      <c r="P68" s="40">
        <f>IF(E68&lt;&gt;0,$M68/E68,"")</f>
        <v>0</v>
      </c>
      <c r="Q68" s="40">
        <f>IF(E68&lt;&gt;0,$N68/E68,"")</f>
        <v>0</v>
      </c>
      <c r="R68" s="40">
        <f>IF(D68&lt;&gt;0,$F68/D68,"")</f>
        <v>0</v>
      </c>
      <c r="S68" s="40">
        <f>IF(D68&lt;&gt;0,$G68/D68,"")</f>
        <v>0</v>
      </c>
      <c r="T68" s="40">
        <f>IF(D68&lt;&gt;0,$H68/D68,"")</f>
        <v>0</v>
      </c>
      <c r="U68" s="17"/>
    </row>
    <row r="69" spans="1:21">
      <c r="A69" s="29" t="s">
        <v>246</v>
      </c>
      <c r="U69" s="17"/>
    </row>
    <row r="70" spans="1:21">
      <c r="A70" s="4" t="s">
        <v>178</v>
      </c>
      <c r="B70" s="21">
        <f>'Input'!B205+'Input'!C205+'Input'!D205</f>
        <v>0</v>
      </c>
      <c r="C70" s="44">
        <f>'Input'!E205</f>
        <v>0</v>
      </c>
      <c r="D70" s="21">
        <f>0.01*'Input'!F$58*('Adjust'!$E235*'Input'!E205+'Adjust'!$F235*'Input'!F205)+10*('Adjust'!$B235*'Input'!B205+'Adjust'!$C235*'Input'!C205+'Adjust'!$D235*'Input'!D205+'Adjust'!$G235*'Input'!G205)</f>
        <v>0</v>
      </c>
      <c r="E70" s="21">
        <f>10*('Adjust'!$B235*'Input'!B205+'Adjust'!$C235*'Input'!C205+'Adjust'!$D235*'Input'!D205)</f>
        <v>0</v>
      </c>
      <c r="F70" s="21">
        <f>'Adjust'!E235*'Input'!$F$58*'Input'!$E205/100</f>
        <v>0</v>
      </c>
      <c r="G70" s="21">
        <f>'Adjust'!F235*'Input'!$F$58*'Input'!$F205/100</f>
        <v>0</v>
      </c>
      <c r="H70" s="21">
        <f>'Adjust'!G235*'Input'!$G205*10</f>
        <v>0</v>
      </c>
      <c r="I70" s="38">
        <f>IF(B70&lt;&gt;0,0.1*D70/B70,"")</f>
        <v>0</v>
      </c>
      <c r="J70" s="46">
        <f>IF(C70&lt;&gt;0,D70/C70,"")</f>
        <v>0</v>
      </c>
      <c r="K70" s="38">
        <f>IF(B70&lt;&gt;0,0.1*E70/B70,0)</f>
        <v>0</v>
      </c>
      <c r="L70" s="21">
        <f>'Adjust'!B235*'Input'!$B205*10</f>
        <v>0</v>
      </c>
      <c r="M70" s="21">
        <f>'Adjust'!C235*'Input'!$C205*10</f>
        <v>0</v>
      </c>
      <c r="N70" s="21">
        <f>'Adjust'!D235*'Input'!$D205*10</f>
        <v>0</v>
      </c>
      <c r="O70" s="40">
        <f>IF(E70&lt;&gt;0,$L70/E70,"")</f>
        <v>0</v>
      </c>
      <c r="P70" s="40">
        <f>IF(E70&lt;&gt;0,$M70/E70,"")</f>
        <v>0</v>
      </c>
      <c r="Q70" s="40">
        <f>IF(E70&lt;&gt;0,$N70/E70,"")</f>
        <v>0</v>
      </c>
      <c r="R70" s="40">
        <f>IF(D70&lt;&gt;0,$F70/D70,"")</f>
        <v>0</v>
      </c>
      <c r="S70" s="40">
        <f>IF(D70&lt;&gt;0,$G70/D70,"")</f>
        <v>0</v>
      </c>
      <c r="T70" s="40">
        <f>IF(D70&lt;&gt;0,$H70/D70,"")</f>
        <v>0</v>
      </c>
      <c r="U70" s="17"/>
    </row>
    <row r="71" spans="1:21">
      <c r="A71" s="4" t="s">
        <v>247</v>
      </c>
      <c r="B71" s="21">
        <f>'Input'!B206+'Input'!C206+'Input'!D206</f>
        <v>0</v>
      </c>
      <c r="C71" s="44">
        <f>'Input'!E206</f>
        <v>0</v>
      </c>
      <c r="D71" s="21">
        <f>0.01*'Input'!F$58*('Adjust'!$E236*'Input'!E206+'Adjust'!$F236*'Input'!F206)+10*('Adjust'!$B236*'Input'!B206+'Adjust'!$C236*'Input'!C206+'Adjust'!$D236*'Input'!D206+'Adjust'!$G236*'Input'!G206)</f>
        <v>0</v>
      </c>
      <c r="E71" s="21">
        <f>10*('Adjust'!$B236*'Input'!B206+'Adjust'!$C236*'Input'!C206+'Adjust'!$D236*'Input'!D206)</f>
        <v>0</v>
      </c>
      <c r="F71" s="21">
        <f>'Adjust'!E236*'Input'!$F$58*'Input'!$E206/100</f>
        <v>0</v>
      </c>
      <c r="G71" s="21">
        <f>'Adjust'!F236*'Input'!$F$58*'Input'!$F206/100</f>
        <v>0</v>
      </c>
      <c r="H71" s="21">
        <f>'Adjust'!G236*'Input'!$G206*10</f>
        <v>0</v>
      </c>
      <c r="I71" s="38">
        <f>IF(B71&lt;&gt;0,0.1*D71/B71,"")</f>
        <v>0</v>
      </c>
      <c r="J71" s="46">
        <f>IF(C71&lt;&gt;0,D71/C71,"")</f>
        <v>0</v>
      </c>
      <c r="K71" s="38">
        <f>IF(B71&lt;&gt;0,0.1*E71/B71,0)</f>
        <v>0</v>
      </c>
      <c r="L71" s="21">
        <f>'Adjust'!B236*'Input'!$B206*10</f>
        <v>0</v>
      </c>
      <c r="M71" s="21">
        <f>'Adjust'!C236*'Input'!$C206*10</f>
        <v>0</v>
      </c>
      <c r="N71" s="21">
        <f>'Adjust'!D236*'Input'!$D206*10</f>
        <v>0</v>
      </c>
      <c r="O71" s="40">
        <f>IF(E71&lt;&gt;0,$L71/E71,"")</f>
        <v>0</v>
      </c>
      <c r="P71" s="40">
        <f>IF(E71&lt;&gt;0,$M71/E71,"")</f>
        <v>0</v>
      </c>
      <c r="Q71" s="40">
        <f>IF(E71&lt;&gt;0,$N71/E71,"")</f>
        <v>0</v>
      </c>
      <c r="R71" s="40">
        <f>IF(D71&lt;&gt;0,$F71/D71,"")</f>
        <v>0</v>
      </c>
      <c r="S71" s="40">
        <f>IF(D71&lt;&gt;0,$G71/D71,"")</f>
        <v>0</v>
      </c>
      <c r="T71" s="40">
        <f>IF(D71&lt;&gt;0,$H71/D71,"")</f>
        <v>0</v>
      </c>
      <c r="U71" s="17"/>
    </row>
    <row r="72" spans="1:21">
      <c r="A72" s="4" t="s">
        <v>248</v>
      </c>
      <c r="B72" s="21">
        <f>'Input'!B207+'Input'!C207+'Input'!D207</f>
        <v>0</v>
      </c>
      <c r="C72" s="44">
        <f>'Input'!E207</f>
        <v>0</v>
      </c>
      <c r="D72" s="21">
        <f>0.01*'Input'!F$58*('Adjust'!$E237*'Input'!E207+'Adjust'!$F237*'Input'!F207)+10*('Adjust'!$B237*'Input'!B207+'Adjust'!$C237*'Input'!C207+'Adjust'!$D237*'Input'!D207+'Adjust'!$G237*'Input'!G207)</f>
        <v>0</v>
      </c>
      <c r="E72" s="21">
        <f>10*('Adjust'!$B237*'Input'!B207+'Adjust'!$C237*'Input'!C207+'Adjust'!$D237*'Input'!D207)</f>
        <v>0</v>
      </c>
      <c r="F72" s="21">
        <f>'Adjust'!E237*'Input'!$F$58*'Input'!$E207/100</f>
        <v>0</v>
      </c>
      <c r="G72" s="21">
        <f>'Adjust'!F237*'Input'!$F$58*'Input'!$F207/100</f>
        <v>0</v>
      </c>
      <c r="H72" s="21">
        <f>'Adjust'!G237*'Input'!$G207*10</f>
        <v>0</v>
      </c>
      <c r="I72" s="38">
        <f>IF(B72&lt;&gt;0,0.1*D72/B72,"")</f>
        <v>0</v>
      </c>
      <c r="J72" s="46">
        <f>IF(C72&lt;&gt;0,D72/C72,"")</f>
        <v>0</v>
      </c>
      <c r="K72" s="38">
        <f>IF(B72&lt;&gt;0,0.1*E72/B72,0)</f>
        <v>0</v>
      </c>
      <c r="L72" s="21">
        <f>'Adjust'!B237*'Input'!$B207*10</f>
        <v>0</v>
      </c>
      <c r="M72" s="21">
        <f>'Adjust'!C237*'Input'!$C207*10</f>
        <v>0</v>
      </c>
      <c r="N72" s="21">
        <f>'Adjust'!D237*'Input'!$D207*10</f>
        <v>0</v>
      </c>
      <c r="O72" s="40">
        <f>IF(E72&lt;&gt;0,$L72/E72,"")</f>
        <v>0</v>
      </c>
      <c r="P72" s="40">
        <f>IF(E72&lt;&gt;0,$M72/E72,"")</f>
        <v>0</v>
      </c>
      <c r="Q72" s="40">
        <f>IF(E72&lt;&gt;0,$N72/E72,"")</f>
        <v>0</v>
      </c>
      <c r="R72" s="40">
        <f>IF(D72&lt;&gt;0,$F72/D72,"")</f>
        <v>0</v>
      </c>
      <c r="S72" s="40">
        <f>IF(D72&lt;&gt;0,$G72/D72,"")</f>
        <v>0</v>
      </c>
      <c r="T72" s="40">
        <f>IF(D72&lt;&gt;0,$H72/D72,"")</f>
        <v>0</v>
      </c>
      <c r="U72" s="17"/>
    </row>
    <row r="73" spans="1:21">
      <c r="A73" s="29" t="s">
        <v>249</v>
      </c>
      <c r="U73" s="17"/>
    </row>
    <row r="74" spans="1:21">
      <c r="A74" s="4" t="s">
        <v>179</v>
      </c>
      <c r="B74" s="21">
        <f>'Input'!B209+'Input'!C209+'Input'!D209</f>
        <v>0</v>
      </c>
      <c r="C74" s="44">
        <f>'Input'!E209</f>
        <v>0</v>
      </c>
      <c r="D74" s="21">
        <f>0.01*'Input'!F$58*('Adjust'!$E239*'Input'!E209+'Adjust'!$F239*'Input'!F209)+10*('Adjust'!$B239*'Input'!B209+'Adjust'!$C239*'Input'!C209+'Adjust'!$D239*'Input'!D209+'Adjust'!$G239*'Input'!G209)</f>
        <v>0</v>
      </c>
      <c r="E74" s="21">
        <f>10*('Adjust'!$B239*'Input'!B209+'Adjust'!$C239*'Input'!C209+'Adjust'!$D239*'Input'!D209)</f>
        <v>0</v>
      </c>
      <c r="F74" s="21">
        <f>'Adjust'!E239*'Input'!$F$58*'Input'!$E209/100</f>
        <v>0</v>
      </c>
      <c r="G74" s="21">
        <f>'Adjust'!F239*'Input'!$F$58*'Input'!$F209/100</f>
        <v>0</v>
      </c>
      <c r="H74" s="21">
        <f>'Adjust'!G239*'Input'!$G209*10</f>
        <v>0</v>
      </c>
      <c r="I74" s="38">
        <f>IF(B74&lt;&gt;0,0.1*D74/B74,"")</f>
        <v>0</v>
      </c>
      <c r="J74" s="46">
        <f>IF(C74&lt;&gt;0,D74/C74,"")</f>
        <v>0</v>
      </c>
      <c r="K74" s="38">
        <f>IF(B74&lt;&gt;0,0.1*E74/B74,0)</f>
        <v>0</v>
      </c>
      <c r="L74" s="21">
        <f>'Adjust'!B239*'Input'!$B209*10</f>
        <v>0</v>
      </c>
      <c r="M74" s="21">
        <f>'Adjust'!C239*'Input'!$C209*10</f>
        <v>0</v>
      </c>
      <c r="N74" s="21">
        <f>'Adjust'!D239*'Input'!$D209*10</f>
        <v>0</v>
      </c>
      <c r="O74" s="40">
        <f>IF(E74&lt;&gt;0,$L74/E74,"")</f>
        <v>0</v>
      </c>
      <c r="P74" s="40">
        <f>IF(E74&lt;&gt;0,$M74/E74,"")</f>
        <v>0</v>
      </c>
      <c r="Q74" s="40">
        <f>IF(E74&lt;&gt;0,$N74/E74,"")</f>
        <v>0</v>
      </c>
      <c r="R74" s="40">
        <f>IF(D74&lt;&gt;0,$F74/D74,"")</f>
        <v>0</v>
      </c>
      <c r="S74" s="40">
        <f>IF(D74&lt;&gt;0,$G74/D74,"")</f>
        <v>0</v>
      </c>
      <c r="T74" s="40">
        <f>IF(D74&lt;&gt;0,$H74/D74,"")</f>
        <v>0</v>
      </c>
      <c r="U74" s="17"/>
    </row>
    <row r="75" spans="1:21">
      <c r="A75" s="4" t="s">
        <v>250</v>
      </c>
      <c r="B75" s="21">
        <f>'Input'!B210+'Input'!C210+'Input'!D210</f>
        <v>0</v>
      </c>
      <c r="C75" s="44">
        <f>'Input'!E210</f>
        <v>0</v>
      </c>
      <c r="D75" s="21">
        <f>0.01*'Input'!F$58*('Adjust'!$E240*'Input'!E210+'Adjust'!$F240*'Input'!F210)+10*('Adjust'!$B240*'Input'!B210+'Adjust'!$C240*'Input'!C210+'Adjust'!$D240*'Input'!D210+'Adjust'!$G240*'Input'!G210)</f>
        <v>0</v>
      </c>
      <c r="E75" s="21">
        <f>10*('Adjust'!$B240*'Input'!B210+'Adjust'!$C240*'Input'!C210+'Adjust'!$D240*'Input'!D210)</f>
        <v>0</v>
      </c>
      <c r="F75" s="21">
        <f>'Adjust'!E240*'Input'!$F$58*'Input'!$E210/100</f>
        <v>0</v>
      </c>
      <c r="G75" s="21">
        <f>'Adjust'!F240*'Input'!$F$58*'Input'!$F210/100</f>
        <v>0</v>
      </c>
      <c r="H75" s="21">
        <f>'Adjust'!G240*'Input'!$G210*10</f>
        <v>0</v>
      </c>
      <c r="I75" s="38">
        <f>IF(B75&lt;&gt;0,0.1*D75/B75,"")</f>
        <v>0</v>
      </c>
      <c r="J75" s="46">
        <f>IF(C75&lt;&gt;0,D75/C75,"")</f>
        <v>0</v>
      </c>
      <c r="K75" s="38">
        <f>IF(B75&lt;&gt;0,0.1*E75/B75,0)</f>
        <v>0</v>
      </c>
      <c r="L75" s="21">
        <f>'Adjust'!B240*'Input'!$B210*10</f>
        <v>0</v>
      </c>
      <c r="M75" s="21">
        <f>'Adjust'!C240*'Input'!$C210*10</f>
        <v>0</v>
      </c>
      <c r="N75" s="21">
        <f>'Adjust'!D240*'Input'!$D210*10</f>
        <v>0</v>
      </c>
      <c r="O75" s="40">
        <f>IF(E75&lt;&gt;0,$L75/E75,"")</f>
        <v>0</v>
      </c>
      <c r="P75" s="40">
        <f>IF(E75&lt;&gt;0,$M75/E75,"")</f>
        <v>0</v>
      </c>
      <c r="Q75" s="40">
        <f>IF(E75&lt;&gt;0,$N75/E75,"")</f>
        <v>0</v>
      </c>
      <c r="R75" s="40">
        <f>IF(D75&lt;&gt;0,$F75/D75,"")</f>
        <v>0</v>
      </c>
      <c r="S75" s="40">
        <f>IF(D75&lt;&gt;0,$G75/D75,"")</f>
        <v>0</v>
      </c>
      <c r="T75" s="40">
        <f>IF(D75&lt;&gt;0,$H75/D75,"")</f>
        <v>0</v>
      </c>
      <c r="U75" s="17"/>
    </row>
    <row r="76" spans="1:21">
      <c r="A76" s="4" t="s">
        <v>251</v>
      </c>
      <c r="B76" s="21">
        <f>'Input'!B211+'Input'!C211+'Input'!D211</f>
        <v>0</v>
      </c>
      <c r="C76" s="44">
        <f>'Input'!E211</f>
        <v>0</v>
      </c>
      <c r="D76" s="21">
        <f>0.01*'Input'!F$58*('Adjust'!$E241*'Input'!E211+'Adjust'!$F241*'Input'!F211)+10*('Adjust'!$B241*'Input'!B211+'Adjust'!$C241*'Input'!C211+'Adjust'!$D241*'Input'!D211+'Adjust'!$G241*'Input'!G211)</f>
        <v>0</v>
      </c>
      <c r="E76" s="21">
        <f>10*('Adjust'!$B241*'Input'!B211+'Adjust'!$C241*'Input'!C211+'Adjust'!$D241*'Input'!D211)</f>
        <v>0</v>
      </c>
      <c r="F76" s="21">
        <f>'Adjust'!E241*'Input'!$F$58*'Input'!$E211/100</f>
        <v>0</v>
      </c>
      <c r="G76" s="21">
        <f>'Adjust'!F241*'Input'!$F$58*'Input'!$F211/100</f>
        <v>0</v>
      </c>
      <c r="H76" s="21">
        <f>'Adjust'!G241*'Input'!$G211*10</f>
        <v>0</v>
      </c>
      <c r="I76" s="38">
        <f>IF(B76&lt;&gt;0,0.1*D76/B76,"")</f>
        <v>0</v>
      </c>
      <c r="J76" s="46">
        <f>IF(C76&lt;&gt;0,D76/C76,"")</f>
        <v>0</v>
      </c>
      <c r="K76" s="38">
        <f>IF(B76&lt;&gt;0,0.1*E76/B76,0)</f>
        <v>0</v>
      </c>
      <c r="L76" s="21">
        <f>'Adjust'!B241*'Input'!$B211*10</f>
        <v>0</v>
      </c>
      <c r="M76" s="21">
        <f>'Adjust'!C241*'Input'!$C211*10</f>
        <v>0</v>
      </c>
      <c r="N76" s="21">
        <f>'Adjust'!D241*'Input'!$D211*10</f>
        <v>0</v>
      </c>
      <c r="O76" s="40">
        <f>IF(E76&lt;&gt;0,$L76/E76,"")</f>
        <v>0</v>
      </c>
      <c r="P76" s="40">
        <f>IF(E76&lt;&gt;0,$M76/E76,"")</f>
        <v>0</v>
      </c>
      <c r="Q76" s="40">
        <f>IF(E76&lt;&gt;0,$N76/E76,"")</f>
        <v>0</v>
      </c>
      <c r="R76" s="40">
        <f>IF(D76&lt;&gt;0,$F76/D76,"")</f>
        <v>0</v>
      </c>
      <c r="S76" s="40">
        <f>IF(D76&lt;&gt;0,$G76/D76,"")</f>
        <v>0</v>
      </c>
      <c r="T76" s="40">
        <f>IF(D76&lt;&gt;0,$H76/D76,"")</f>
        <v>0</v>
      </c>
      <c r="U76" s="17"/>
    </row>
    <row r="77" spans="1:21">
      <c r="A77" s="29" t="s">
        <v>252</v>
      </c>
      <c r="U77" s="17"/>
    </row>
    <row r="78" spans="1:21">
      <c r="A78" s="4" t="s">
        <v>180</v>
      </c>
      <c r="B78" s="21">
        <f>'Input'!B213+'Input'!C213+'Input'!D213</f>
        <v>0</v>
      </c>
      <c r="C78" s="44">
        <f>'Input'!E213</f>
        <v>0</v>
      </c>
      <c r="D78" s="21">
        <f>0.01*'Input'!F$58*('Adjust'!$E243*'Input'!E213+'Adjust'!$F243*'Input'!F213)+10*('Adjust'!$B243*'Input'!B213+'Adjust'!$C243*'Input'!C213+'Adjust'!$D243*'Input'!D213+'Adjust'!$G243*'Input'!G213)</f>
        <v>0</v>
      </c>
      <c r="E78" s="21">
        <f>10*('Adjust'!$B243*'Input'!B213+'Adjust'!$C243*'Input'!C213+'Adjust'!$D243*'Input'!D213)</f>
        <v>0</v>
      </c>
      <c r="F78" s="21">
        <f>'Adjust'!E243*'Input'!$F$58*'Input'!$E213/100</f>
        <v>0</v>
      </c>
      <c r="G78" s="21">
        <f>'Adjust'!F243*'Input'!$F$58*'Input'!$F213/100</f>
        <v>0</v>
      </c>
      <c r="H78" s="21">
        <f>'Adjust'!G243*'Input'!$G213*10</f>
        <v>0</v>
      </c>
      <c r="I78" s="38">
        <f>IF(B78&lt;&gt;0,0.1*D78/B78,"")</f>
        <v>0</v>
      </c>
      <c r="J78" s="46">
        <f>IF(C78&lt;&gt;0,D78/C78,"")</f>
        <v>0</v>
      </c>
      <c r="K78" s="38">
        <f>IF(B78&lt;&gt;0,0.1*E78/B78,0)</f>
        <v>0</v>
      </c>
      <c r="L78" s="21">
        <f>'Adjust'!B243*'Input'!$B213*10</f>
        <v>0</v>
      </c>
      <c r="M78" s="21">
        <f>'Adjust'!C243*'Input'!$C213*10</f>
        <v>0</v>
      </c>
      <c r="N78" s="21">
        <f>'Adjust'!D243*'Input'!$D213*10</f>
        <v>0</v>
      </c>
      <c r="O78" s="40">
        <f>IF(E78&lt;&gt;0,$L78/E78,"")</f>
        <v>0</v>
      </c>
      <c r="P78" s="40">
        <f>IF(E78&lt;&gt;0,$M78/E78,"")</f>
        <v>0</v>
      </c>
      <c r="Q78" s="40">
        <f>IF(E78&lt;&gt;0,$N78/E78,"")</f>
        <v>0</v>
      </c>
      <c r="R78" s="40">
        <f>IF(D78&lt;&gt;0,$F78/D78,"")</f>
        <v>0</v>
      </c>
      <c r="S78" s="40">
        <f>IF(D78&lt;&gt;0,$G78/D78,"")</f>
        <v>0</v>
      </c>
      <c r="T78" s="40">
        <f>IF(D78&lt;&gt;0,$H78/D78,"")</f>
        <v>0</v>
      </c>
      <c r="U78" s="17"/>
    </row>
    <row r="79" spans="1:21">
      <c r="A79" s="4" t="s">
        <v>253</v>
      </c>
      <c r="B79" s="21">
        <f>'Input'!B214+'Input'!C214+'Input'!D214</f>
        <v>0</v>
      </c>
      <c r="C79" s="44">
        <f>'Input'!E214</f>
        <v>0</v>
      </c>
      <c r="D79" s="21">
        <f>0.01*'Input'!F$58*('Adjust'!$E244*'Input'!E214+'Adjust'!$F244*'Input'!F214)+10*('Adjust'!$B244*'Input'!B214+'Adjust'!$C244*'Input'!C214+'Adjust'!$D244*'Input'!D214+'Adjust'!$G244*'Input'!G214)</f>
        <v>0</v>
      </c>
      <c r="E79" s="21">
        <f>10*('Adjust'!$B244*'Input'!B214+'Adjust'!$C244*'Input'!C214+'Adjust'!$D244*'Input'!D214)</f>
        <v>0</v>
      </c>
      <c r="F79" s="21">
        <f>'Adjust'!E244*'Input'!$F$58*'Input'!$E214/100</f>
        <v>0</v>
      </c>
      <c r="G79" s="21">
        <f>'Adjust'!F244*'Input'!$F$58*'Input'!$F214/100</f>
        <v>0</v>
      </c>
      <c r="H79" s="21">
        <f>'Adjust'!G244*'Input'!$G214*10</f>
        <v>0</v>
      </c>
      <c r="I79" s="38">
        <f>IF(B79&lt;&gt;0,0.1*D79/B79,"")</f>
        <v>0</v>
      </c>
      <c r="J79" s="46">
        <f>IF(C79&lt;&gt;0,D79/C79,"")</f>
        <v>0</v>
      </c>
      <c r="K79" s="38">
        <f>IF(B79&lt;&gt;0,0.1*E79/B79,0)</f>
        <v>0</v>
      </c>
      <c r="L79" s="21">
        <f>'Adjust'!B244*'Input'!$B214*10</f>
        <v>0</v>
      </c>
      <c r="M79" s="21">
        <f>'Adjust'!C244*'Input'!$C214*10</f>
        <v>0</v>
      </c>
      <c r="N79" s="21">
        <f>'Adjust'!D244*'Input'!$D214*10</f>
        <v>0</v>
      </c>
      <c r="O79" s="40">
        <f>IF(E79&lt;&gt;0,$L79/E79,"")</f>
        <v>0</v>
      </c>
      <c r="P79" s="40">
        <f>IF(E79&lt;&gt;0,$M79/E79,"")</f>
        <v>0</v>
      </c>
      <c r="Q79" s="40">
        <f>IF(E79&lt;&gt;0,$N79/E79,"")</f>
        <v>0</v>
      </c>
      <c r="R79" s="40">
        <f>IF(D79&lt;&gt;0,$F79/D79,"")</f>
        <v>0</v>
      </c>
      <c r="S79" s="40">
        <f>IF(D79&lt;&gt;0,$G79/D79,"")</f>
        <v>0</v>
      </c>
      <c r="T79" s="40">
        <f>IF(D79&lt;&gt;0,$H79/D79,"")</f>
        <v>0</v>
      </c>
      <c r="U79" s="17"/>
    </row>
    <row r="80" spans="1:21">
      <c r="A80" s="4" t="s">
        <v>254</v>
      </c>
      <c r="B80" s="21">
        <f>'Input'!B215+'Input'!C215+'Input'!D215</f>
        <v>0</v>
      </c>
      <c r="C80" s="44">
        <f>'Input'!E215</f>
        <v>0</v>
      </c>
      <c r="D80" s="21">
        <f>0.01*'Input'!F$58*('Adjust'!$E245*'Input'!E215+'Adjust'!$F245*'Input'!F215)+10*('Adjust'!$B245*'Input'!B215+'Adjust'!$C245*'Input'!C215+'Adjust'!$D245*'Input'!D215+'Adjust'!$G245*'Input'!G215)</f>
        <v>0</v>
      </c>
      <c r="E80" s="21">
        <f>10*('Adjust'!$B245*'Input'!B215+'Adjust'!$C245*'Input'!C215+'Adjust'!$D245*'Input'!D215)</f>
        <v>0</v>
      </c>
      <c r="F80" s="21">
        <f>'Adjust'!E245*'Input'!$F$58*'Input'!$E215/100</f>
        <v>0</v>
      </c>
      <c r="G80" s="21">
        <f>'Adjust'!F245*'Input'!$F$58*'Input'!$F215/100</f>
        <v>0</v>
      </c>
      <c r="H80" s="21">
        <f>'Adjust'!G245*'Input'!$G215*10</f>
        <v>0</v>
      </c>
      <c r="I80" s="38">
        <f>IF(B80&lt;&gt;0,0.1*D80/B80,"")</f>
        <v>0</v>
      </c>
      <c r="J80" s="46">
        <f>IF(C80&lt;&gt;0,D80/C80,"")</f>
        <v>0</v>
      </c>
      <c r="K80" s="38">
        <f>IF(B80&lt;&gt;0,0.1*E80/B80,0)</f>
        <v>0</v>
      </c>
      <c r="L80" s="21">
        <f>'Adjust'!B245*'Input'!$B215*10</f>
        <v>0</v>
      </c>
      <c r="M80" s="21">
        <f>'Adjust'!C245*'Input'!$C215*10</f>
        <v>0</v>
      </c>
      <c r="N80" s="21">
        <f>'Adjust'!D245*'Input'!$D215*10</f>
        <v>0</v>
      </c>
      <c r="O80" s="40">
        <f>IF(E80&lt;&gt;0,$L80/E80,"")</f>
        <v>0</v>
      </c>
      <c r="P80" s="40">
        <f>IF(E80&lt;&gt;0,$M80/E80,"")</f>
        <v>0</v>
      </c>
      <c r="Q80" s="40">
        <f>IF(E80&lt;&gt;0,$N80/E80,"")</f>
        <v>0</v>
      </c>
      <c r="R80" s="40">
        <f>IF(D80&lt;&gt;0,$F80/D80,"")</f>
        <v>0</v>
      </c>
      <c r="S80" s="40">
        <f>IF(D80&lt;&gt;0,$G80/D80,"")</f>
        <v>0</v>
      </c>
      <c r="T80" s="40">
        <f>IF(D80&lt;&gt;0,$H80/D80,"")</f>
        <v>0</v>
      </c>
      <c r="U80" s="17"/>
    </row>
    <row r="81" spans="1:21">
      <c r="A81" s="29" t="s">
        <v>255</v>
      </c>
      <c r="U81" s="17"/>
    </row>
    <row r="82" spans="1:21">
      <c r="A82" s="4" t="s">
        <v>181</v>
      </c>
      <c r="B82" s="21">
        <f>'Input'!B217+'Input'!C217+'Input'!D217</f>
        <v>0</v>
      </c>
      <c r="C82" s="44">
        <f>'Input'!E217</f>
        <v>0</v>
      </c>
      <c r="D82" s="21">
        <f>0.01*'Input'!F$58*('Adjust'!$E247*'Input'!E217+'Adjust'!$F247*'Input'!F217)+10*('Adjust'!$B247*'Input'!B217+'Adjust'!$C247*'Input'!C217+'Adjust'!$D247*'Input'!D217+'Adjust'!$G247*'Input'!G217)</f>
        <v>0</v>
      </c>
      <c r="E82" s="21">
        <f>10*('Adjust'!$B247*'Input'!B217+'Adjust'!$C247*'Input'!C217+'Adjust'!$D247*'Input'!D217)</f>
        <v>0</v>
      </c>
      <c r="F82" s="21">
        <f>'Adjust'!E247*'Input'!$F$58*'Input'!$E217/100</f>
        <v>0</v>
      </c>
      <c r="G82" s="21">
        <f>'Adjust'!F247*'Input'!$F$58*'Input'!$F217/100</f>
        <v>0</v>
      </c>
      <c r="H82" s="21">
        <f>'Adjust'!G247*'Input'!$G217*10</f>
        <v>0</v>
      </c>
      <c r="I82" s="38">
        <f>IF(B82&lt;&gt;0,0.1*D82/B82,"")</f>
        <v>0</v>
      </c>
      <c r="J82" s="46">
        <f>IF(C82&lt;&gt;0,D82/C82,"")</f>
        <v>0</v>
      </c>
      <c r="K82" s="38">
        <f>IF(B82&lt;&gt;0,0.1*E82/B82,0)</f>
        <v>0</v>
      </c>
      <c r="L82" s="21">
        <f>'Adjust'!B247*'Input'!$B217*10</f>
        <v>0</v>
      </c>
      <c r="M82" s="21">
        <f>'Adjust'!C247*'Input'!$C217*10</f>
        <v>0</v>
      </c>
      <c r="N82" s="21">
        <f>'Adjust'!D247*'Input'!$D217*10</f>
        <v>0</v>
      </c>
      <c r="O82" s="40">
        <f>IF(E82&lt;&gt;0,$L82/E82,"")</f>
        <v>0</v>
      </c>
      <c r="P82" s="40">
        <f>IF(E82&lt;&gt;0,$M82/E82,"")</f>
        <v>0</v>
      </c>
      <c r="Q82" s="40">
        <f>IF(E82&lt;&gt;0,$N82/E82,"")</f>
        <v>0</v>
      </c>
      <c r="R82" s="40">
        <f>IF(D82&lt;&gt;0,$F82/D82,"")</f>
        <v>0</v>
      </c>
      <c r="S82" s="40">
        <f>IF(D82&lt;&gt;0,$G82/D82,"")</f>
        <v>0</v>
      </c>
      <c r="T82" s="40">
        <f>IF(D82&lt;&gt;0,$H82/D82,"")</f>
        <v>0</v>
      </c>
      <c r="U82" s="17"/>
    </row>
    <row r="83" spans="1:21">
      <c r="A83" s="4" t="s">
        <v>256</v>
      </c>
      <c r="B83" s="21">
        <f>'Input'!B218+'Input'!C218+'Input'!D218</f>
        <v>0</v>
      </c>
      <c r="C83" s="44">
        <f>'Input'!E218</f>
        <v>0</v>
      </c>
      <c r="D83" s="21">
        <f>0.01*'Input'!F$58*('Adjust'!$E248*'Input'!E218+'Adjust'!$F248*'Input'!F218)+10*('Adjust'!$B248*'Input'!B218+'Adjust'!$C248*'Input'!C218+'Adjust'!$D248*'Input'!D218+'Adjust'!$G248*'Input'!G218)</f>
        <v>0</v>
      </c>
      <c r="E83" s="21">
        <f>10*('Adjust'!$B248*'Input'!B218+'Adjust'!$C248*'Input'!C218+'Adjust'!$D248*'Input'!D218)</f>
        <v>0</v>
      </c>
      <c r="F83" s="21">
        <f>'Adjust'!E248*'Input'!$F$58*'Input'!$E218/100</f>
        <v>0</v>
      </c>
      <c r="G83" s="21">
        <f>'Adjust'!F248*'Input'!$F$58*'Input'!$F218/100</f>
        <v>0</v>
      </c>
      <c r="H83" s="21">
        <f>'Adjust'!G248*'Input'!$G218*10</f>
        <v>0</v>
      </c>
      <c r="I83" s="38">
        <f>IF(B83&lt;&gt;0,0.1*D83/B83,"")</f>
        <v>0</v>
      </c>
      <c r="J83" s="46">
        <f>IF(C83&lt;&gt;0,D83/C83,"")</f>
        <v>0</v>
      </c>
      <c r="K83" s="38">
        <f>IF(B83&lt;&gt;0,0.1*E83/B83,0)</f>
        <v>0</v>
      </c>
      <c r="L83" s="21">
        <f>'Adjust'!B248*'Input'!$B218*10</f>
        <v>0</v>
      </c>
      <c r="M83" s="21">
        <f>'Adjust'!C248*'Input'!$C218*10</f>
        <v>0</v>
      </c>
      <c r="N83" s="21">
        <f>'Adjust'!D248*'Input'!$D218*10</f>
        <v>0</v>
      </c>
      <c r="O83" s="40">
        <f>IF(E83&lt;&gt;0,$L83/E83,"")</f>
        <v>0</v>
      </c>
      <c r="P83" s="40">
        <f>IF(E83&lt;&gt;0,$M83/E83,"")</f>
        <v>0</v>
      </c>
      <c r="Q83" s="40">
        <f>IF(E83&lt;&gt;0,$N83/E83,"")</f>
        <v>0</v>
      </c>
      <c r="R83" s="40">
        <f>IF(D83&lt;&gt;0,$F83/D83,"")</f>
        <v>0</v>
      </c>
      <c r="S83" s="40">
        <f>IF(D83&lt;&gt;0,$G83/D83,"")</f>
        <v>0</v>
      </c>
      <c r="T83" s="40">
        <f>IF(D83&lt;&gt;0,$H83/D83,"")</f>
        <v>0</v>
      </c>
      <c r="U83" s="17"/>
    </row>
    <row r="84" spans="1:21">
      <c r="A84" s="29" t="s">
        <v>257</v>
      </c>
      <c r="U84" s="17"/>
    </row>
    <row r="85" spans="1:21">
      <c r="A85" s="4" t="s">
        <v>193</v>
      </c>
      <c r="B85" s="21">
        <f>'Input'!B220+'Input'!C220+'Input'!D220</f>
        <v>0</v>
      </c>
      <c r="C85" s="44">
        <f>'Input'!E220</f>
        <v>0</v>
      </c>
      <c r="D85" s="21">
        <f>0.01*'Input'!F$58*('Adjust'!$E250*'Input'!E220+'Adjust'!$F250*'Input'!F220)+10*('Adjust'!$B250*'Input'!B220+'Adjust'!$C250*'Input'!C220+'Adjust'!$D250*'Input'!D220+'Adjust'!$G250*'Input'!G220)</f>
        <v>0</v>
      </c>
      <c r="E85" s="21">
        <f>10*('Adjust'!$B250*'Input'!B220+'Adjust'!$C250*'Input'!C220+'Adjust'!$D250*'Input'!D220)</f>
        <v>0</v>
      </c>
      <c r="F85" s="21">
        <f>'Adjust'!E250*'Input'!$F$58*'Input'!$E220/100</f>
        <v>0</v>
      </c>
      <c r="G85" s="21">
        <f>'Adjust'!F250*'Input'!$F$58*'Input'!$F220/100</f>
        <v>0</v>
      </c>
      <c r="H85" s="21">
        <f>'Adjust'!G250*'Input'!$G220*10</f>
        <v>0</v>
      </c>
      <c r="I85" s="38">
        <f>IF(B85&lt;&gt;0,0.1*D85/B85,"")</f>
        <v>0</v>
      </c>
      <c r="J85" s="46">
        <f>IF(C85&lt;&gt;0,D85/C85,"")</f>
        <v>0</v>
      </c>
      <c r="K85" s="38">
        <f>IF(B85&lt;&gt;0,0.1*E85/B85,0)</f>
        <v>0</v>
      </c>
      <c r="L85" s="21">
        <f>'Adjust'!B250*'Input'!$B220*10</f>
        <v>0</v>
      </c>
      <c r="M85" s="21">
        <f>'Adjust'!C250*'Input'!$C220*10</f>
        <v>0</v>
      </c>
      <c r="N85" s="21">
        <f>'Adjust'!D250*'Input'!$D220*10</f>
        <v>0</v>
      </c>
      <c r="O85" s="40">
        <f>IF(E85&lt;&gt;0,$L85/E85,"")</f>
        <v>0</v>
      </c>
      <c r="P85" s="40">
        <f>IF(E85&lt;&gt;0,$M85/E85,"")</f>
        <v>0</v>
      </c>
      <c r="Q85" s="40">
        <f>IF(E85&lt;&gt;0,$N85/E85,"")</f>
        <v>0</v>
      </c>
      <c r="R85" s="40">
        <f>IF(D85&lt;&gt;0,$F85/D85,"")</f>
        <v>0</v>
      </c>
      <c r="S85" s="40">
        <f>IF(D85&lt;&gt;0,$G85/D85,"")</f>
        <v>0</v>
      </c>
      <c r="T85" s="40">
        <f>IF(D85&lt;&gt;0,$H85/D85,"")</f>
        <v>0</v>
      </c>
      <c r="U85" s="17"/>
    </row>
    <row r="86" spans="1:21">
      <c r="A86" s="4" t="s">
        <v>258</v>
      </c>
      <c r="B86" s="21">
        <f>'Input'!B221+'Input'!C221+'Input'!D221</f>
        <v>0</v>
      </c>
      <c r="C86" s="44">
        <f>'Input'!E221</f>
        <v>0</v>
      </c>
      <c r="D86" s="21">
        <f>0.01*'Input'!F$58*('Adjust'!$E251*'Input'!E221+'Adjust'!$F251*'Input'!F221)+10*('Adjust'!$B251*'Input'!B221+'Adjust'!$C251*'Input'!C221+'Adjust'!$D251*'Input'!D221+'Adjust'!$G251*'Input'!G221)</f>
        <v>0</v>
      </c>
      <c r="E86" s="21">
        <f>10*('Adjust'!$B251*'Input'!B221+'Adjust'!$C251*'Input'!C221+'Adjust'!$D251*'Input'!D221)</f>
        <v>0</v>
      </c>
      <c r="F86" s="21">
        <f>'Adjust'!E251*'Input'!$F$58*'Input'!$E221/100</f>
        <v>0</v>
      </c>
      <c r="G86" s="21">
        <f>'Adjust'!F251*'Input'!$F$58*'Input'!$F221/100</f>
        <v>0</v>
      </c>
      <c r="H86" s="21">
        <f>'Adjust'!G251*'Input'!$G221*10</f>
        <v>0</v>
      </c>
      <c r="I86" s="38">
        <f>IF(B86&lt;&gt;0,0.1*D86/B86,"")</f>
        <v>0</v>
      </c>
      <c r="J86" s="46">
        <f>IF(C86&lt;&gt;0,D86/C86,"")</f>
        <v>0</v>
      </c>
      <c r="K86" s="38">
        <f>IF(B86&lt;&gt;0,0.1*E86/B86,0)</f>
        <v>0</v>
      </c>
      <c r="L86" s="21">
        <f>'Adjust'!B251*'Input'!$B221*10</f>
        <v>0</v>
      </c>
      <c r="M86" s="21">
        <f>'Adjust'!C251*'Input'!$C221*10</f>
        <v>0</v>
      </c>
      <c r="N86" s="21">
        <f>'Adjust'!D251*'Input'!$D221*10</f>
        <v>0</v>
      </c>
      <c r="O86" s="40">
        <f>IF(E86&lt;&gt;0,$L86/E86,"")</f>
        <v>0</v>
      </c>
      <c r="P86" s="40">
        <f>IF(E86&lt;&gt;0,$M86/E86,"")</f>
        <v>0</v>
      </c>
      <c r="Q86" s="40">
        <f>IF(E86&lt;&gt;0,$N86/E86,"")</f>
        <v>0</v>
      </c>
      <c r="R86" s="40">
        <f>IF(D86&lt;&gt;0,$F86/D86,"")</f>
        <v>0</v>
      </c>
      <c r="S86" s="40">
        <f>IF(D86&lt;&gt;0,$G86/D86,"")</f>
        <v>0</v>
      </c>
      <c r="T86" s="40">
        <f>IF(D86&lt;&gt;0,$H86/D86,"")</f>
        <v>0</v>
      </c>
      <c r="U86" s="17"/>
    </row>
    <row r="87" spans="1:21">
      <c r="A87" s="29" t="s">
        <v>259</v>
      </c>
      <c r="U87" s="17"/>
    </row>
    <row r="88" spans="1:21">
      <c r="A88" s="4" t="s">
        <v>213</v>
      </c>
      <c r="B88" s="21">
        <f>'Input'!B223+'Input'!C223+'Input'!D223</f>
        <v>0</v>
      </c>
      <c r="C88" s="44">
        <f>'Input'!E223</f>
        <v>0</v>
      </c>
      <c r="D88" s="21">
        <f>0.01*'Input'!F$58*('Adjust'!$E253*'Input'!E223+'Adjust'!$F253*'Input'!F223)+10*('Adjust'!$B253*'Input'!B223+'Adjust'!$C253*'Input'!C223+'Adjust'!$D253*'Input'!D223+'Adjust'!$G253*'Input'!G223)</f>
        <v>0</v>
      </c>
      <c r="E88" s="21">
        <f>10*('Adjust'!$B253*'Input'!B223+'Adjust'!$C253*'Input'!C223+'Adjust'!$D253*'Input'!D223)</f>
        <v>0</v>
      </c>
      <c r="F88" s="21">
        <f>'Adjust'!E253*'Input'!$F$58*'Input'!$E223/100</f>
        <v>0</v>
      </c>
      <c r="G88" s="21">
        <f>'Adjust'!F253*'Input'!$F$58*'Input'!$F223/100</f>
        <v>0</v>
      </c>
      <c r="H88" s="21">
        <f>'Adjust'!G253*'Input'!$G223*10</f>
        <v>0</v>
      </c>
      <c r="I88" s="38">
        <f>IF(B88&lt;&gt;0,0.1*D88/B88,"")</f>
        <v>0</v>
      </c>
      <c r="J88" s="46">
        <f>IF(C88&lt;&gt;0,D88/C88,"")</f>
        <v>0</v>
      </c>
      <c r="K88" s="38">
        <f>IF(B88&lt;&gt;0,0.1*E88/B88,0)</f>
        <v>0</v>
      </c>
      <c r="L88" s="21">
        <f>'Adjust'!B253*'Input'!$B223*10</f>
        <v>0</v>
      </c>
      <c r="M88" s="21">
        <f>'Adjust'!C253*'Input'!$C223*10</f>
        <v>0</v>
      </c>
      <c r="N88" s="21">
        <f>'Adjust'!D253*'Input'!$D223*10</f>
        <v>0</v>
      </c>
      <c r="O88" s="40">
        <f>IF(E88&lt;&gt;0,$L88/E88,"")</f>
        <v>0</v>
      </c>
      <c r="P88" s="40">
        <f>IF(E88&lt;&gt;0,$M88/E88,"")</f>
        <v>0</v>
      </c>
      <c r="Q88" s="40">
        <f>IF(E88&lt;&gt;0,$N88/E88,"")</f>
        <v>0</v>
      </c>
      <c r="R88" s="40">
        <f>IF(D88&lt;&gt;0,$F88/D88,"")</f>
        <v>0</v>
      </c>
      <c r="S88" s="40">
        <f>IF(D88&lt;&gt;0,$G88/D88,"")</f>
        <v>0</v>
      </c>
      <c r="T88" s="40">
        <f>IF(D88&lt;&gt;0,$H88/D88,"")</f>
        <v>0</v>
      </c>
      <c r="U88" s="17"/>
    </row>
    <row r="89" spans="1:21">
      <c r="A89" s="4" t="s">
        <v>260</v>
      </c>
      <c r="B89" s="21">
        <f>'Input'!B224+'Input'!C224+'Input'!D224</f>
        <v>0</v>
      </c>
      <c r="C89" s="44">
        <f>'Input'!E224</f>
        <v>0</v>
      </c>
      <c r="D89" s="21">
        <f>0.01*'Input'!F$58*('Adjust'!$E254*'Input'!E224+'Adjust'!$F254*'Input'!F224)+10*('Adjust'!$B254*'Input'!B224+'Adjust'!$C254*'Input'!C224+'Adjust'!$D254*'Input'!D224+'Adjust'!$G254*'Input'!G224)</f>
        <v>0</v>
      </c>
      <c r="E89" s="21">
        <f>10*('Adjust'!$B254*'Input'!B224+'Adjust'!$C254*'Input'!C224+'Adjust'!$D254*'Input'!D224)</f>
        <v>0</v>
      </c>
      <c r="F89" s="21">
        <f>'Adjust'!E254*'Input'!$F$58*'Input'!$E224/100</f>
        <v>0</v>
      </c>
      <c r="G89" s="21">
        <f>'Adjust'!F254*'Input'!$F$58*'Input'!$F224/100</f>
        <v>0</v>
      </c>
      <c r="H89" s="21">
        <f>'Adjust'!G254*'Input'!$G224*10</f>
        <v>0</v>
      </c>
      <c r="I89" s="38">
        <f>IF(B89&lt;&gt;0,0.1*D89/B89,"")</f>
        <v>0</v>
      </c>
      <c r="J89" s="46">
        <f>IF(C89&lt;&gt;0,D89/C89,"")</f>
        <v>0</v>
      </c>
      <c r="K89" s="38">
        <f>IF(B89&lt;&gt;0,0.1*E89/B89,0)</f>
        <v>0</v>
      </c>
      <c r="L89" s="21">
        <f>'Adjust'!B254*'Input'!$B224*10</f>
        <v>0</v>
      </c>
      <c r="M89" s="21">
        <f>'Adjust'!C254*'Input'!$C224*10</f>
        <v>0</v>
      </c>
      <c r="N89" s="21">
        <f>'Adjust'!D254*'Input'!$D224*10</f>
        <v>0</v>
      </c>
      <c r="O89" s="40">
        <f>IF(E89&lt;&gt;0,$L89/E89,"")</f>
        <v>0</v>
      </c>
      <c r="P89" s="40">
        <f>IF(E89&lt;&gt;0,$M89/E89,"")</f>
        <v>0</v>
      </c>
      <c r="Q89" s="40">
        <f>IF(E89&lt;&gt;0,$N89/E89,"")</f>
        <v>0</v>
      </c>
      <c r="R89" s="40">
        <f>IF(D89&lt;&gt;0,$F89/D89,"")</f>
        <v>0</v>
      </c>
      <c r="S89" s="40">
        <f>IF(D89&lt;&gt;0,$G89/D89,"")</f>
        <v>0</v>
      </c>
      <c r="T89" s="40">
        <f>IF(D89&lt;&gt;0,$H89/D89,"")</f>
        <v>0</v>
      </c>
      <c r="U89" s="17"/>
    </row>
    <row r="90" spans="1:21">
      <c r="A90" s="4" t="s">
        <v>261</v>
      </c>
      <c r="B90" s="21">
        <f>'Input'!B225+'Input'!C225+'Input'!D225</f>
        <v>0</v>
      </c>
      <c r="C90" s="44">
        <f>'Input'!E225</f>
        <v>0</v>
      </c>
      <c r="D90" s="21">
        <f>0.01*'Input'!F$58*('Adjust'!$E255*'Input'!E225+'Adjust'!$F255*'Input'!F225)+10*('Adjust'!$B255*'Input'!B225+'Adjust'!$C255*'Input'!C225+'Adjust'!$D255*'Input'!D225+'Adjust'!$G255*'Input'!G225)</f>
        <v>0</v>
      </c>
      <c r="E90" s="21">
        <f>10*('Adjust'!$B255*'Input'!B225+'Adjust'!$C255*'Input'!C225+'Adjust'!$D255*'Input'!D225)</f>
        <v>0</v>
      </c>
      <c r="F90" s="21">
        <f>'Adjust'!E255*'Input'!$F$58*'Input'!$E225/100</f>
        <v>0</v>
      </c>
      <c r="G90" s="21">
        <f>'Adjust'!F255*'Input'!$F$58*'Input'!$F225/100</f>
        <v>0</v>
      </c>
      <c r="H90" s="21">
        <f>'Adjust'!G255*'Input'!$G225*10</f>
        <v>0</v>
      </c>
      <c r="I90" s="38">
        <f>IF(B90&lt;&gt;0,0.1*D90/B90,"")</f>
        <v>0</v>
      </c>
      <c r="J90" s="46">
        <f>IF(C90&lt;&gt;0,D90/C90,"")</f>
        <v>0</v>
      </c>
      <c r="K90" s="38">
        <f>IF(B90&lt;&gt;0,0.1*E90/B90,0)</f>
        <v>0</v>
      </c>
      <c r="L90" s="21">
        <f>'Adjust'!B255*'Input'!$B225*10</f>
        <v>0</v>
      </c>
      <c r="M90" s="21">
        <f>'Adjust'!C255*'Input'!$C225*10</f>
        <v>0</v>
      </c>
      <c r="N90" s="21">
        <f>'Adjust'!D255*'Input'!$D225*10</f>
        <v>0</v>
      </c>
      <c r="O90" s="40">
        <f>IF(E90&lt;&gt;0,$L90/E90,"")</f>
        <v>0</v>
      </c>
      <c r="P90" s="40">
        <f>IF(E90&lt;&gt;0,$M90/E90,"")</f>
        <v>0</v>
      </c>
      <c r="Q90" s="40">
        <f>IF(E90&lt;&gt;0,$N90/E90,"")</f>
        <v>0</v>
      </c>
      <c r="R90" s="40">
        <f>IF(D90&lt;&gt;0,$F90/D90,"")</f>
        <v>0</v>
      </c>
      <c r="S90" s="40">
        <f>IF(D90&lt;&gt;0,$G90/D90,"")</f>
        <v>0</v>
      </c>
      <c r="T90" s="40">
        <f>IF(D90&lt;&gt;0,$H90/D90,"")</f>
        <v>0</v>
      </c>
      <c r="U90" s="17"/>
    </row>
    <row r="91" spans="1:21">
      <c r="A91" s="29" t="s">
        <v>262</v>
      </c>
      <c r="U91" s="17"/>
    </row>
    <row r="92" spans="1:21">
      <c r="A92" s="4" t="s">
        <v>214</v>
      </c>
      <c r="B92" s="21">
        <f>'Input'!B227+'Input'!C227+'Input'!D227</f>
        <v>0</v>
      </c>
      <c r="C92" s="44">
        <f>'Input'!E227</f>
        <v>0</v>
      </c>
      <c r="D92" s="21">
        <f>0.01*'Input'!F$58*('Adjust'!$E257*'Input'!E227+'Adjust'!$F257*'Input'!F227)+10*('Adjust'!$B257*'Input'!B227+'Adjust'!$C257*'Input'!C227+'Adjust'!$D257*'Input'!D227+'Adjust'!$G257*'Input'!G227)</f>
        <v>0</v>
      </c>
      <c r="E92" s="21">
        <f>10*('Adjust'!$B257*'Input'!B227+'Adjust'!$C257*'Input'!C227+'Adjust'!$D257*'Input'!D227)</f>
        <v>0</v>
      </c>
      <c r="F92" s="21">
        <f>'Adjust'!E257*'Input'!$F$58*'Input'!$E227/100</f>
        <v>0</v>
      </c>
      <c r="G92" s="21">
        <f>'Adjust'!F257*'Input'!$F$58*'Input'!$F227/100</f>
        <v>0</v>
      </c>
      <c r="H92" s="21">
        <f>'Adjust'!G257*'Input'!$G227*10</f>
        <v>0</v>
      </c>
      <c r="I92" s="38">
        <f>IF(B92&lt;&gt;0,0.1*D92/B92,"")</f>
        <v>0</v>
      </c>
      <c r="J92" s="46">
        <f>IF(C92&lt;&gt;0,D92/C92,"")</f>
        <v>0</v>
      </c>
      <c r="K92" s="38">
        <f>IF(B92&lt;&gt;0,0.1*E92/B92,0)</f>
        <v>0</v>
      </c>
      <c r="L92" s="21">
        <f>'Adjust'!B257*'Input'!$B227*10</f>
        <v>0</v>
      </c>
      <c r="M92" s="21">
        <f>'Adjust'!C257*'Input'!$C227*10</f>
        <v>0</v>
      </c>
      <c r="N92" s="21">
        <f>'Adjust'!D257*'Input'!$D227*10</f>
        <v>0</v>
      </c>
      <c r="O92" s="40">
        <f>IF(E92&lt;&gt;0,$L92/E92,"")</f>
        <v>0</v>
      </c>
      <c r="P92" s="40">
        <f>IF(E92&lt;&gt;0,$M92/E92,"")</f>
        <v>0</v>
      </c>
      <c r="Q92" s="40">
        <f>IF(E92&lt;&gt;0,$N92/E92,"")</f>
        <v>0</v>
      </c>
      <c r="R92" s="40">
        <f>IF(D92&lt;&gt;0,$F92/D92,"")</f>
        <v>0</v>
      </c>
      <c r="S92" s="40">
        <f>IF(D92&lt;&gt;0,$G92/D92,"")</f>
        <v>0</v>
      </c>
      <c r="T92" s="40">
        <f>IF(D92&lt;&gt;0,$H92/D92,"")</f>
        <v>0</v>
      </c>
      <c r="U92" s="17"/>
    </row>
    <row r="93" spans="1:21">
      <c r="A93" s="4" t="s">
        <v>263</v>
      </c>
      <c r="B93" s="21">
        <f>'Input'!B228+'Input'!C228+'Input'!D228</f>
        <v>0</v>
      </c>
      <c r="C93" s="44">
        <f>'Input'!E228</f>
        <v>0</v>
      </c>
      <c r="D93" s="21">
        <f>0.01*'Input'!F$58*('Adjust'!$E258*'Input'!E228+'Adjust'!$F258*'Input'!F228)+10*('Adjust'!$B258*'Input'!B228+'Adjust'!$C258*'Input'!C228+'Adjust'!$D258*'Input'!D228+'Adjust'!$G258*'Input'!G228)</f>
        <v>0</v>
      </c>
      <c r="E93" s="21">
        <f>10*('Adjust'!$B258*'Input'!B228+'Adjust'!$C258*'Input'!C228+'Adjust'!$D258*'Input'!D228)</f>
        <v>0</v>
      </c>
      <c r="F93" s="21">
        <f>'Adjust'!E258*'Input'!$F$58*'Input'!$E228/100</f>
        <v>0</v>
      </c>
      <c r="G93" s="21">
        <f>'Adjust'!F258*'Input'!$F$58*'Input'!$F228/100</f>
        <v>0</v>
      </c>
      <c r="H93" s="21">
        <f>'Adjust'!G258*'Input'!$G228*10</f>
        <v>0</v>
      </c>
      <c r="I93" s="38">
        <f>IF(B93&lt;&gt;0,0.1*D93/B93,"")</f>
        <v>0</v>
      </c>
      <c r="J93" s="46">
        <f>IF(C93&lt;&gt;0,D93/C93,"")</f>
        <v>0</v>
      </c>
      <c r="K93" s="38">
        <f>IF(B93&lt;&gt;0,0.1*E93/B93,0)</f>
        <v>0</v>
      </c>
      <c r="L93" s="21">
        <f>'Adjust'!B258*'Input'!$B228*10</f>
        <v>0</v>
      </c>
      <c r="M93" s="21">
        <f>'Adjust'!C258*'Input'!$C228*10</f>
        <v>0</v>
      </c>
      <c r="N93" s="21">
        <f>'Adjust'!D258*'Input'!$D228*10</f>
        <v>0</v>
      </c>
      <c r="O93" s="40">
        <f>IF(E93&lt;&gt;0,$L93/E93,"")</f>
        <v>0</v>
      </c>
      <c r="P93" s="40">
        <f>IF(E93&lt;&gt;0,$M93/E93,"")</f>
        <v>0</v>
      </c>
      <c r="Q93" s="40">
        <f>IF(E93&lt;&gt;0,$N93/E93,"")</f>
        <v>0</v>
      </c>
      <c r="R93" s="40">
        <f>IF(D93&lt;&gt;0,$F93/D93,"")</f>
        <v>0</v>
      </c>
      <c r="S93" s="40">
        <f>IF(D93&lt;&gt;0,$G93/D93,"")</f>
        <v>0</v>
      </c>
      <c r="T93" s="40">
        <f>IF(D93&lt;&gt;0,$H93/D93,"")</f>
        <v>0</v>
      </c>
      <c r="U93" s="17"/>
    </row>
    <row r="94" spans="1:21">
      <c r="A94" s="4" t="s">
        <v>264</v>
      </c>
      <c r="B94" s="21">
        <f>'Input'!B229+'Input'!C229+'Input'!D229</f>
        <v>0</v>
      </c>
      <c r="C94" s="44">
        <f>'Input'!E229</f>
        <v>0</v>
      </c>
      <c r="D94" s="21">
        <f>0.01*'Input'!F$58*('Adjust'!$E259*'Input'!E229+'Adjust'!$F259*'Input'!F229)+10*('Adjust'!$B259*'Input'!B229+'Adjust'!$C259*'Input'!C229+'Adjust'!$D259*'Input'!D229+'Adjust'!$G259*'Input'!G229)</f>
        <v>0</v>
      </c>
      <c r="E94" s="21">
        <f>10*('Adjust'!$B259*'Input'!B229+'Adjust'!$C259*'Input'!C229+'Adjust'!$D259*'Input'!D229)</f>
        <v>0</v>
      </c>
      <c r="F94" s="21">
        <f>'Adjust'!E259*'Input'!$F$58*'Input'!$E229/100</f>
        <v>0</v>
      </c>
      <c r="G94" s="21">
        <f>'Adjust'!F259*'Input'!$F$58*'Input'!$F229/100</f>
        <v>0</v>
      </c>
      <c r="H94" s="21">
        <f>'Adjust'!G259*'Input'!$G229*10</f>
        <v>0</v>
      </c>
      <c r="I94" s="38">
        <f>IF(B94&lt;&gt;0,0.1*D94/B94,"")</f>
        <v>0</v>
      </c>
      <c r="J94" s="46">
        <f>IF(C94&lt;&gt;0,D94/C94,"")</f>
        <v>0</v>
      </c>
      <c r="K94" s="38">
        <f>IF(B94&lt;&gt;0,0.1*E94/B94,0)</f>
        <v>0</v>
      </c>
      <c r="L94" s="21">
        <f>'Adjust'!B259*'Input'!$B229*10</f>
        <v>0</v>
      </c>
      <c r="M94" s="21">
        <f>'Adjust'!C259*'Input'!$C229*10</f>
        <v>0</v>
      </c>
      <c r="N94" s="21">
        <f>'Adjust'!D259*'Input'!$D229*10</f>
        <v>0</v>
      </c>
      <c r="O94" s="40">
        <f>IF(E94&lt;&gt;0,$L94/E94,"")</f>
        <v>0</v>
      </c>
      <c r="P94" s="40">
        <f>IF(E94&lt;&gt;0,$M94/E94,"")</f>
        <v>0</v>
      </c>
      <c r="Q94" s="40">
        <f>IF(E94&lt;&gt;0,$N94/E94,"")</f>
        <v>0</v>
      </c>
      <c r="R94" s="40">
        <f>IF(D94&lt;&gt;0,$F94/D94,"")</f>
        <v>0</v>
      </c>
      <c r="S94" s="40">
        <f>IF(D94&lt;&gt;0,$G94/D94,"")</f>
        <v>0</v>
      </c>
      <c r="T94" s="40">
        <f>IF(D94&lt;&gt;0,$H94/D94,"")</f>
        <v>0</v>
      </c>
      <c r="U94" s="17"/>
    </row>
    <row r="95" spans="1:21">
      <c r="A95" s="29" t="s">
        <v>265</v>
      </c>
      <c r="U95" s="17"/>
    </row>
    <row r="96" spans="1:21">
      <c r="A96" s="4" t="s">
        <v>215</v>
      </c>
      <c r="B96" s="21">
        <f>'Input'!B231+'Input'!C231+'Input'!D231</f>
        <v>0</v>
      </c>
      <c r="C96" s="44">
        <f>'Input'!E231</f>
        <v>0</v>
      </c>
      <c r="D96" s="21">
        <f>0.01*'Input'!F$58*('Adjust'!$E261*'Input'!E231+'Adjust'!$F261*'Input'!F231)+10*('Adjust'!$B261*'Input'!B231+'Adjust'!$C261*'Input'!C231+'Adjust'!$D261*'Input'!D231+'Adjust'!$G261*'Input'!G231)</f>
        <v>0</v>
      </c>
      <c r="E96" s="21">
        <f>10*('Adjust'!$B261*'Input'!B231+'Adjust'!$C261*'Input'!C231+'Adjust'!$D261*'Input'!D231)</f>
        <v>0</v>
      </c>
      <c r="F96" s="21">
        <f>'Adjust'!E261*'Input'!$F$58*'Input'!$E231/100</f>
        <v>0</v>
      </c>
      <c r="G96" s="21">
        <f>'Adjust'!F261*'Input'!$F$58*'Input'!$F231/100</f>
        <v>0</v>
      </c>
      <c r="H96" s="21">
        <f>'Adjust'!G261*'Input'!$G231*10</f>
        <v>0</v>
      </c>
      <c r="I96" s="38">
        <f>IF(B96&lt;&gt;0,0.1*D96/B96,"")</f>
        <v>0</v>
      </c>
      <c r="J96" s="46">
        <f>IF(C96&lt;&gt;0,D96/C96,"")</f>
        <v>0</v>
      </c>
      <c r="K96" s="38">
        <f>IF(B96&lt;&gt;0,0.1*E96/B96,0)</f>
        <v>0</v>
      </c>
      <c r="L96" s="21">
        <f>'Adjust'!B261*'Input'!$B231*10</f>
        <v>0</v>
      </c>
      <c r="M96" s="21">
        <f>'Adjust'!C261*'Input'!$C231*10</f>
        <v>0</v>
      </c>
      <c r="N96" s="21">
        <f>'Adjust'!D261*'Input'!$D231*10</f>
        <v>0</v>
      </c>
      <c r="O96" s="40">
        <f>IF(E96&lt;&gt;0,$L96/E96,"")</f>
        <v>0</v>
      </c>
      <c r="P96" s="40">
        <f>IF(E96&lt;&gt;0,$M96/E96,"")</f>
        <v>0</v>
      </c>
      <c r="Q96" s="40">
        <f>IF(E96&lt;&gt;0,$N96/E96,"")</f>
        <v>0</v>
      </c>
      <c r="R96" s="40">
        <f>IF(D96&lt;&gt;0,$F96/D96,"")</f>
        <v>0</v>
      </c>
      <c r="S96" s="40">
        <f>IF(D96&lt;&gt;0,$G96/D96,"")</f>
        <v>0</v>
      </c>
      <c r="T96" s="40">
        <f>IF(D96&lt;&gt;0,$H96/D96,"")</f>
        <v>0</v>
      </c>
      <c r="U96" s="17"/>
    </row>
    <row r="97" spans="1:21">
      <c r="A97" s="4" t="s">
        <v>266</v>
      </c>
      <c r="B97" s="21">
        <f>'Input'!B232+'Input'!C232+'Input'!D232</f>
        <v>0</v>
      </c>
      <c r="C97" s="44">
        <f>'Input'!E232</f>
        <v>0</v>
      </c>
      <c r="D97" s="21">
        <f>0.01*'Input'!F$58*('Adjust'!$E262*'Input'!E232+'Adjust'!$F262*'Input'!F232)+10*('Adjust'!$B262*'Input'!B232+'Adjust'!$C262*'Input'!C232+'Adjust'!$D262*'Input'!D232+'Adjust'!$G262*'Input'!G232)</f>
        <v>0</v>
      </c>
      <c r="E97" s="21">
        <f>10*('Adjust'!$B262*'Input'!B232+'Adjust'!$C262*'Input'!C232+'Adjust'!$D262*'Input'!D232)</f>
        <v>0</v>
      </c>
      <c r="F97" s="21">
        <f>'Adjust'!E262*'Input'!$F$58*'Input'!$E232/100</f>
        <v>0</v>
      </c>
      <c r="G97" s="21">
        <f>'Adjust'!F262*'Input'!$F$58*'Input'!$F232/100</f>
        <v>0</v>
      </c>
      <c r="H97" s="21">
        <f>'Adjust'!G262*'Input'!$G232*10</f>
        <v>0</v>
      </c>
      <c r="I97" s="38">
        <f>IF(B97&lt;&gt;0,0.1*D97/B97,"")</f>
        <v>0</v>
      </c>
      <c r="J97" s="46">
        <f>IF(C97&lt;&gt;0,D97/C97,"")</f>
        <v>0</v>
      </c>
      <c r="K97" s="38">
        <f>IF(B97&lt;&gt;0,0.1*E97/B97,0)</f>
        <v>0</v>
      </c>
      <c r="L97" s="21">
        <f>'Adjust'!B262*'Input'!$B232*10</f>
        <v>0</v>
      </c>
      <c r="M97" s="21">
        <f>'Adjust'!C262*'Input'!$C232*10</f>
        <v>0</v>
      </c>
      <c r="N97" s="21">
        <f>'Adjust'!D262*'Input'!$D232*10</f>
        <v>0</v>
      </c>
      <c r="O97" s="40">
        <f>IF(E97&lt;&gt;0,$L97/E97,"")</f>
        <v>0</v>
      </c>
      <c r="P97" s="40">
        <f>IF(E97&lt;&gt;0,$M97/E97,"")</f>
        <v>0</v>
      </c>
      <c r="Q97" s="40">
        <f>IF(E97&lt;&gt;0,$N97/E97,"")</f>
        <v>0</v>
      </c>
      <c r="R97" s="40">
        <f>IF(D97&lt;&gt;0,$F97/D97,"")</f>
        <v>0</v>
      </c>
      <c r="S97" s="40">
        <f>IF(D97&lt;&gt;0,$G97/D97,"")</f>
        <v>0</v>
      </c>
      <c r="T97" s="40">
        <f>IF(D97&lt;&gt;0,$H97/D97,"")</f>
        <v>0</v>
      </c>
      <c r="U97" s="17"/>
    </row>
    <row r="98" spans="1:21">
      <c r="A98" s="4" t="s">
        <v>267</v>
      </c>
      <c r="B98" s="21">
        <f>'Input'!B233+'Input'!C233+'Input'!D233</f>
        <v>0</v>
      </c>
      <c r="C98" s="44">
        <f>'Input'!E233</f>
        <v>0</v>
      </c>
      <c r="D98" s="21">
        <f>0.01*'Input'!F$58*('Adjust'!$E263*'Input'!E233+'Adjust'!$F263*'Input'!F233)+10*('Adjust'!$B263*'Input'!B233+'Adjust'!$C263*'Input'!C233+'Adjust'!$D263*'Input'!D233+'Adjust'!$G263*'Input'!G233)</f>
        <v>0</v>
      </c>
      <c r="E98" s="21">
        <f>10*('Adjust'!$B263*'Input'!B233+'Adjust'!$C263*'Input'!C233+'Adjust'!$D263*'Input'!D233)</f>
        <v>0</v>
      </c>
      <c r="F98" s="21">
        <f>'Adjust'!E263*'Input'!$F$58*'Input'!$E233/100</f>
        <v>0</v>
      </c>
      <c r="G98" s="21">
        <f>'Adjust'!F263*'Input'!$F$58*'Input'!$F233/100</f>
        <v>0</v>
      </c>
      <c r="H98" s="21">
        <f>'Adjust'!G263*'Input'!$G233*10</f>
        <v>0</v>
      </c>
      <c r="I98" s="38">
        <f>IF(B98&lt;&gt;0,0.1*D98/B98,"")</f>
        <v>0</v>
      </c>
      <c r="J98" s="46">
        <f>IF(C98&lt;&gt;0,D98/C98,"")</f>
        <v>0</v>
      </c>
      <c r="K98" s="38">
        <f>IF(B98&lt;&gt;0,0.1*E98/B98,0)</f>
        <v>0</v>
      </c>
      <c r="L98" s="21">
        <f>'Adjust'!B263*'Input'!$B233*10</f>
        <v>0</v>
      </c>
      <c r="M98" s="21">
        <f>'Adjust'!C263*'Input'!$C233*10</f>
        <v>0</v>
      </c>
      <c r="N98" s="21">
        <f>'Adjust'!D263*'Input'!$D233*10</f>
        <v>0</v>
      </c>
      <c r="O98" s="40">
        <f>IF(E98&lt;&gt;0,$L98/E98,"")</f>
        <v>0</v>
      </c>
      <c r="P98" s="40">
        <f>IF(E98&lt;&gt;0,$M98/E98,"")</f>
        <v>0</v>
      </c>
      <c r="Q98" s="40">
        <f>IF(E98&lt;&gt;0,$N98/E98,"")</f>
        <v>0</v>
      </c>
      <c r="R98" s="40">
        <f>IF(D98&lt;&gt;0,$F98/D98,"")</f>
        <v>0</v>
      </c>
      <c r="S98" s="40">
        <f>IF(D98&lt;&gt;0,$G98/D98,"")</f>
        <v>0</v>
      </c>
      <c r="T98" s="40">
        <f>IF(D98&lt;&gt;0,$H98/D98,"")</f>
        <v>0</v>
      </c>
      <c r="U98" s="17"/>
    </row>
    <row r="99" spans="1:21">
      <c r="A99" s="29" t="s">
        <v>268</v>
      </c>
      <c r="U99" s="17"/>
    </row>
    <row r="100" spans="1:21">
      <c r="A100" s="4" t="s">
        <v>216</v>
      </c>
      <c r="B100" s="21">
        <f>'Input'!B235+'Input'!C235+'Input'!D235</f>
        <v>0</v>
      </c>
      <c r="C100" s="44">
        <f>'Input'!E235</f>
        <v>0</v>
      </c>
      <c r="D100" s="21">
        <f>0.01*'Input'!F$58*('Adjust'!$E265*'Input'!E235+'Adjust'!$F265*'Input'!F235)+10*('Adjust'!$B265*'Input'!B235+'Adjust'!$C265*'Input'!C235+'Adjust'!$D265*'Input'!D235+'Adjust'!$G265*'Input'!G235)</f>
        <v>0</v>
      </c>
      <c r="E100" s="21">
        <f>10*('Adjust'!$B265*'Input'!B235+'Adjust'!$C265*'Input'!C235+'Adjust'!$D265*'Input'!D235)</f>
        <v>0</v>
      </c>
      <c r="F100" s="21">
        <f>'Adjust'!E265*'Input'!$F$58*'Input'!$E235/100</f>
        <v>0</v>
      </c>
      <c r="G100" s="21">
        <f>'Adjust'!F265*'Input'!$F$58*'Input'!$F235/100</f>
        <v>0</v>
      </c>
      <c r="H100" s="21">
        <f>'Adjust'!G265*'Input'!$G235*10</f>
        <v>0</v>
      </c>
      <c r="I100" s="38">
        <f>IF(B100&lt;&gt;0,0.1*D100/B100,"")</f>
        <v>0</v>
      </c>
      <c r="J100" s="46">
        <f>IF(C100&lt;&gt;0,D100/C100,"")</f>
        <v>0</v>
      </c>
      <c r="K100" s="38">
        <f>IF(B100&lt;&gt;0,0.1*E100/B100,0)</f>
        <v>0</v>
      </c>
      <c r="L100" s="21">
        <f>'Adjust'!B265*'Input'!$B235*10</f>
        <v>0</v>
      </c>
      <c r="M100" s="21">
        <f>'Adjust'!C265*'Input'!$C235*10</f>
        <v>0</v>
      </c>
      <c r="N100" s="21">
        <f>'Adjust'!D265*'Input'!$D235*10</f>
        <v>0</v>
      </c>
      <c r="O100" s="40">
        <f>IF(E100&lt;&gt;0,$L100/E100,"")</f>
        <v>0</v>
      </c>
      <c r="P100" s="40">
        <f>IF(E100&lt;&gt;0,$M100/E100,"")</f>
        <v>0</v>
      </c>
      <c r="Q100" s="40">
        <f>IF(E100&lt;&gt;0,$N100/E100,"")</f>
        <v>0</v>
      </c>
      <c r="R100" s="40">
        <f>IF(D100&lt;&gt;0,$F100/D100,"")</f>
        <v>0</v>
      </c>
      <c r="S100" s="40">
        <f>IF(D100&lt;&gt;0,$G100/D100,"")</f>
        <v>0</v>
      </c>
      <c r="T100" s="40">
        <f>IF(D100&lt;&gt;0,$H100/D100,"")</f>
        <v>0</v>
      </c>
      <c r="U100" s="17"/>
    </row>
    <row r="101" spans="1:21">
      <c r="A101" s="4" t="s">
        <v>269</v>
      </c>
      <c r="B101" s="21">
        <f>'Input'!B236+'Input'!C236+'Input'!D236</f>
        <v>0</v>
      </c>
      <c r="C101" s="44">
        <f>'Input'!E236</f>
        <v>0</v>
      </c>
      <c r="D101" s="21">
        <f>0.01*'Input'!F$58*('Adjust'!$E266*'Input'!E236+'Adjust'!$F266*'Input'!F236)+10*('Adjust'!$B266*'Input'!B236+'Adjust'!$C266*'Input'!C236+'Adjust'!$D266*'Input'!D236+'Adjust'!$G266*'Input'!G236)</f>
        <v>0</v>
      </c>
      <c r="E101" s="21">
        <f>10*('Adjust'!$B266*'Input'!B236+'Adjust'!$C266*'Input'!C236+'Adjust'!$D266*'Input'!D236)</f>
        <v>0</v>
      </c>
      <c r="F101" s="21">
        <f>'Adjust'!E266*'Input'!$F$58*'Input'!$E236/100</f>
        <v>0</v>
      </c>
      <c r="G101" s="21">
        <f>'Adjust'!F266*'Input'!$F$58*'Input'!$F236/100</f>
        <v>0</v>
      </c>
      <c r="H101" s="21">
        <f>'Adjust'!G266*'Input'!$G236*10</f>
        <v>0</v>
      </c>
      <c r="I101" s="38">
        <f>IF(B101&lt;&gt;0,0.1*D101/B101,"")</f>
        <v>0</v>
      </c>
      <c r="J101" s="46">
        <f>IF(C101&lt;&gt;0,D101/C101,"")</f>
        <v>0</v>
      </c>
      <c r="K101" s="38">
        <f>IF(B101&lt;&gt;0,0.1*E101/B101,0)</f>
        <v>0</v>
      </c>
      <c r="L101" s="21">
        <f>'Adjust'!B266*'Input'!$B236*10</f>
        <v>0</v>
      </c>
      <c r="M101" s="21">
        <f>'Adjust'!C266*'Input'!$C236*10</f>
        <v>0</v>
      </c>
      <c r="N101" s="21">
        <f>'Adjust'!D266*'Input'!$D236*10</f>
        <v>0</v>
      </c>
      <c r="O101" s="40">
        <f>IF(E101&lt;&gt;0,$L101/E101,"")</f>
        <v>0</v>
      </c>
      <c r="P101" s="40">
        <f>IF(E101&lt;&gt;0,$M101/E101,"")</f>
        <v>0</v>
      </c>
      <c r="Q101" s="40">
        <f>IF(E101&lt;&gt;0,$N101/E101,"")</f>
        <v>0</v>
      </c>
      <c r="R101" s="40">
        <f>IF(D101&lt;&gt;0,$F101/D101,"")</f>
        <v>0</v>
      </c>
      <c r="S101" s="40">
        <f>IF(D101&lt;&gt;0,$G101/D101,"")</f>
        <v>0</v>
      </c>
      <c r="T101" s="40">
        <f>IF(D101&lt;&gt;0,$H101/D101,"")</f>
        <v>0</v>
      </c>
      <c r="U101" s="17"/>
    </row>
    <row r="102" spans="1:21">
      <c r="A102" s="4" t="s">
        <v>270</v>
      </c>
      <c r="B102" s="21">
        <f>'Input'!B237+'Input'!C237+'Input'!D237</f>
        <v>0</v>
      </c>
      <c r="C102" s="44">
        <f>'Input'!E237</f>
        <v>0</v>
      </c>
      <c r="D102" s="21">
        <f>0.01*'Input'!F$58*('Adjust'!$E267*'Input'!E237+'Adjust'!$F267*'Input'!F237)+10*('Adjust'!$B267*'Input'!B237+'Adjust'!$C267*'Input'!C237+'Adjust'!$D267*'Input'!D237+'Adjust'!$G267*'Input'!G237)</f>
        <v>0</v>
      </c>
      <c r="E102" s="21">
        <f>10*('Adjust'!$B267*'Input'!B237+'Adjust'!$C267*'Input'!C237+'Adjust'!$D267*'Input'!D237)</f>
        <v>0</v>
      </c>
      <c r="F102" s="21">
        <f>'Adjust'!E267*'Input'!$F$58*'Input'!$E237/100</f>
        <v>0</v>
      </c>
      <c r="G102" s="21">
        <f>'Adjust'!F267*'Input'!$F$58*'Input'!$F237/100</f>
        <v>0</v>
      </c>
      <c r="H102" s="21">
        <f>'Adjust'!G267*'Input'!$G237*10</f>
        <v>0</v>
      </c>
      <c r="I102" s="38">
        <f>IF(B102&lt;&gt;0,0.1*D102/B102,"")</f>
        <v>0</v>
      </c>
      <c r="J102" s="46">
        <f>IF(C102&lt;&gt;0,D102/C102,"")</f>
        <v>0</v>
      </c>
      <c r="K102" s="38">
        <f>IF(B102&lt;&gt;0,0.1*E102/B102,0)</f>
        <v>0</v>
      </c>
      <c r="L102" s="21">
        <f>'Adjust'!B267*'Input'!$B237*10</f>
        <v>0</v>
      </c>
      <c r="M102" s="21">
        <f>'Adjust'!C267*'Input'!$C237*10</f>
        <v>0</v>
      </c>
      <c r="N102" s="21">
        <f>'Adjust'!D267*'Input'!$D237*10</f>
        <v>0</v>
      </c>
      <c r="O102" s="40">
        <f>IF(E102&lt;&gt;0,$L102/E102,"")</f>
        <v>0</v>
      </c>
      <c r="P102" s="40">
        <f>IF(E102&lt;&gt;0,$M102/E102,"")</f>
        <v>0</v>
      </c>
      <c r="Q102" s="40">
        <f>IF(E102&lt;&gt;0,$N102/E102,"")</f>
        <v>0</v>
      </c>
      <c r="R102" s="40">
        <f>IF(D102&lt;&gt;0,$F102/D102,"")</f>
        <v>0</v>
      </c>
      <c r="S102" s="40">
        <f>IF(D102&lt;&gt;0,$G102/D102,"")</f>
        <v>0</v>
      </c>
      <c r="T102" s="40">
        <f>IF(D102&lt;&gt;0,$H102/D102,"")</f>
        <v>0</v>
      </c>
      <c r="U102" s="17"/>
    </row>
    <row r="103" spans="1:21">
      <c r="A103" s="29" t="s">
        <v>271</v>
      </c>
      <c r="U103" s="17"/>
    </row>
    <row r="104" spans="1:21">
      <c r="A104" s="4" t="s">
        <v>217</v>
      </c>
      <c r="B104" s="21">
        <f>'Input'!B239+'Input'!C239+'Input'!D239</f>
        <v>0</v>
      </c>
      <c r="C104" s="44">
        <f>'Input'!E239</f>
        <v>0</v>
      </c>
      <c r="D104" s="21">
        <f>0.01*'Input'!F$58*('Adjust'!$E269*'Input'!E239+'Adjust'!$F269*'Input'!F239)+10*('Adjust'!$B269*'Input'!B239+'Adjust'!$C269*'Input'!C239+'Adjust'!$D269*'Input'!D239+'Adjust'!$G269*'Input'!G239)</f>
        <v>0</v>
      </c>
      <c r="E104" s="21">
        <f>10*('Adjust'!$B269*'Input'!B239+'Adjust'!$C269*'Input'!C239+'Adjust'!$D269*'Input'!D239)</f>
        <v>0</v>
      </c>
      <c r="F104" s="21">
        <f>'Adjust'!E269*'Input'!$F$58*'Input'!$E239/100</f>
        <v>0</v>
      </c>
      <c r="G104" s="21">
        <f>'Adjust'!F269*'Input'!$F$58*'Input'!$F239/100</f>
        <v>0</v>
      </c>
      <c r="H104" s="21">
        <f>'Adjust'!G269*'Input'!$G239*10</f>
        <v>0</v>
      </c>
      <c r="I104" s="38">
        <f>IF(B104&lt;&gt;0,0.1*D104/B104,"")</f>
        <v>0</v>
      </c>
      <c r="J104" s="46">
        <f>IF(C104&lt;&gt;0,D104/C104,"")</f>
        <v>0</v>
      </c>
      <c r="K104" s="38">
        <f>IF(B104&lt;&gt;0,0.1*E104/B104,0)</f>
        <v>0</v>
      </c>
      <c r="L104" s="21">
        <f>'Adjust'!B269*'Input'!$B239*10</f>
        <v>0</v>
      </c>
      <c r="M104" s="21">
        <f>'Adjust'!C269*'Input'!$C239*10</f>
        <v>0</v>
      </c>
      <c r="N104" s="21">
        <f>'Adjust'!D269*'Input'!$D239*10</f>
        <v>0</v>
      </c>
      <c r="O104" s="40">
        <f>IF(E104&lt;&gt;0,$L104/E104,"")</f>
        <v>0</v>
      </c>
      <c r="P104" s="40">
        <f>IF(E104&lt;&gt;0,$M104/E104,"")</f>
        <v>0</v>
      </c>
      <c r="Q104" s="40">
        <f>IF(E104&lt;&gt;0,$N104/E104,"")</f>
        <v>0</v>
      </c>
      <c r="R104" s="40">
        <f>IF(D104&lt;&gt;0,$F104/D104,"")</f>
        <v>0</v>
      </c>
      <c r="S104" s="40">
        <f>IF(D104&lt;&gt;0,$G104/D104,"")</f>
        <v>0</v>
      </c>
      <c r="T104" s="40">
        <f>IF(D104&lt;&gt;0,$H104/D104,"")</f>
        <v>0</v>
      </c>
      <c r="U104" s="17"/>
    </row>
    <row r="105" spans="1:21">
      <c r="A105" s="4" t="s">
        <v>272</v>
      </c>
      <c r="B105" s="21">
        <f>'Input'!B240+'Input'!C240+'Input'!D240</f>
        <v>0</v>
      </c>
      <c r="C105" s="44">
        <f>'Input'!E240</f>
        <v>0</v>
      </c>
      <c r="D105" s="21">
        <f>0.01*'Input'!F$58*('Adjust'!$E270*'Input'!E240+'Adjust'!$F270*'Input'!F240)+10*('Adjust'!$B270*'Input'!B240+'Adjust'!$C270*'Input'!C240+'Adjust'!$D270*'Input'!D240+'Adjust'!$G270*'Input'!G240)</f>
        <v>0</v>
      </c>
      <c r="E105" s="21">
        <f>10*('Adjust'!$B270*'Input'!B240+'Adjust'!$C270*'Input'!C240+'Adjust'!$D270*'Input'!D240)</f>
        <v>0</v>
      </c>
      <c r="F105" s="21">
        <f>'Adjust'!E270*'Input'!$F$58*'Input'!$E240/100</f>
        <v>0</v>
      </c>
      <c r="G105" s="21">
        <f>'Adjust'!F270*'Input'!$F$58*'Input'!$F240/100</f>
        <v>0</v>
      </c>
      <c r="H105" s="21">
        <f>'Adjust'!G270*'Input'!$G240*10</f>
        <v>0</v>
      </c>
      <c r="I105" s="38">
        <f>IF(B105&lt;&gt;0,0.1*D105/B105,"")</f>
        <v>0</v>
      </c>
      <c r="J105" s="46">
        <f>IF(C105&lt;&gt;0,D105/C105,"")</f>
        <v>0</v>
      </c>
      <c r="K105" s="38">
        <f>IF(B105&lt;&gt;0,0.1*E105/B105,0)</f>
        <v>0</v>
      </c>
      <c r="L105" s="21">
        <f>'Adjust'!B270*'Input'!$B240*10</f>
        <v>0</v>
      </c>
      <c r="M105" s="21">
        <f>'Adjust'!C270*'Input'!$C240*10</f>
        <v>0</v>
      </c>
      <c r="N105" s="21">
        <f>'Adjust'!D270*'Input'!$D240*10</f>
        <v>0</v>
      </c>
      <c r="O105" s="40">
        <f>IF(E105&lt;&gt;0,$L105/E105,"")</f>
        <v>0</v>
      </c>
      <c r="P105" s="40">
        <f>IF(E105&lt;&gt;0,$M105/E105,"")</f>
        <v>0</v>
      </c>
      <c r="Q105" s="40">
        <f>IF(E105&lt;&gt;0,$N105/E105,"")</f>
        <v>0</v>
      </c>
      <c r="R105" s="40">
        <f>IF(D105&lt;&gt;0,$F105/D105,"")</f>
        <v>0</v>
      </c>
      <c r="S105" s="40">
        <f>IF(D105&lt;&gt;0,$G105/D105,"")</f>
        <v>0</v>
      </c>
      <c r="T105" s="40">
        <f>IF(D105&lt;&gt;0,$H105/D105,"")</f>
        <v>0</v>
      </c>
      <c r="U105" s="17"/>
    </row>
    <row r="106" spans="1:21">
      <c r="A106" s="4" t="s">
        <v>273</v>
      </c>
      <c r="B106" s="21">
        <f>'Input'!B241+'Input'!C241+'Input'!D241</f>
        <v>0</v>
      </c>
      <c r="C106" s="44">
        <f>'Input'!E241</f>
        <v>0</v>
      </c>
      <c r="D106" s="21">
        <f>0.01*'Input'!F$58*('Adjust'!$E271*'Input'!E241+'Adjust'!$F271*'Input'!F241)+10*('Adjust'!$B271*'Input'!B241+'Adjust'!$C271*'Input'!C241+'Adjust'!$D271*'Input'!D241+'Adjust'!$G271*'Input'!G241)</f>
        <v>0</v>
      </c>
      <c r="E106" s="21">
        <f>10*('Adjust'!$B271*'Input'!B241+'Adjust'!$C271*'Input'!C241+'Adjust'!$D271*'Input'!D241)</f>
        <v>0</v>
      </c>
      <c r="F106" s="21">
        <f>'Adjust'!E271*'Input'!$F$58*'Input'!$E241/100</f>
        <v>0</v>
      </c>
      <c r="G106" s="21">
        <f>'Adjust'!F271*'Input'!$F$58*'Input'!$F241/100</f>
        <v>0</v>
      </c>
      <c r="H106" s="21">
        <f>'Adjust'!G271*'Input'!$G241*10</f>
        <v>0</v>
      </c>
      <c r="I106" s="38">
        <f>IF(B106&lt;&gt;0,0.1*D106/B106,"")</f>
        <v>0</v>
      </c>
      <c r="J106" s="46">
        <f>IF(C106&lt;&gt;0,D106/C106,"")</f>
        <v>0</v>
      </c>
      <c r="K106" s="38">
        <f>IF(B106&lt;&gt;0,0.1*E106/B106,0)</f>
        <v>0</v>
      </c>
      <c r="L106" s="21">
        <f>'Adjust'!B271*'Input'!$B241*10</f>
        <v>0</v>
      </c>
      <c r="M106" s="21">
        <f>'Adjust'!C271*'Input'!$C241*10</f>
        <v>0</v>
      </c>
      <c r="N106" s="21">
        <f>'Adjust'!D271*'Input'!$D241*10</f>
        <v>0</v>
      </c>
      <c r="O106" s="40">
        <f>IF(E106&lt;&gt;0,$L106/E106,"")</f>
        <v>0</v>
      </c>
      <c r="P106" s="40">
        <f>IF(E106&lt;&gt;0,$M106/E106,"")</f>
        <v>0</v>
      </c>
      <c r="Q106" s="40">
        <f>IF(E106&lt;&gt;0,$N106/E106,"")</f>
        <v>0</v>
      </c>
      <c r="R106" s="40">
        <f>IF(D106&lt;&gt;0,$F106/D106,"")</f>
        <v>0</v>
      </c>
      <c r="S106" s="40">
        <f>IF(D106&lt;&gt;0,$G106/D106,"")</f>
        <v>0</v>
      </c>
      <c r="T106" s="40">
        <f>IF(D106&lt;&gt;0,$H106/D106,"")</f>
        <v>0</v>
      </c>
      <c r="U106" s="17"/>
    </row>
    <row r="107" spans="1:21">
      <c r="A107" s="29" t="s">
        <v>274</v>
      </c>
      <c r="U107" s="17"/>
    </row>
    <row r="108" spans="1:21">
      <c r="A108" s="4" t="s">
        <v>182</v>
      </c>
      <c r="B108" s="21">
        <f>'Input'!B243+'Input'!C243+'Input'!D243</f>
        <v>0</v>
      </c>
      <c r="C108" s="44">
        <f>'Input'!E243</f>
        <v>0</v>
      </c>
      <c r="D108" s="21">
        <f>0.01*'Input'!F$58*('Adjust'!$E273*'Input'!E243+'Adjust'!$F273*'Input'!F243)+10*('Adjust'!$B273*'Input'!B243+'Adjust'!$C273*'Input'!C243+'Adjust'!$D273*'Input'!D243+'Adjust'!$G273*'Input'!G243)</f>
        <v>0</v>
      </c>
      <c r="E108" s="21">
        <f>10*('Adjust'!$B273*'Input'!B243+'Adjust'!$C273*'Input'!C243+'Adjust'!$D273*'Input'!D243)</f>
        <v>0</v>
      </c>
      <c r="F108" s="21">
        <f>'Adjust'!E273*'Input'!$F$58*'Input'!$E243/100</f>
        <v>0</v>
      </c>
      <c r="G108" s="21">
        <f>'Adjust'!F273*'Input'!$F$58*'Input'!$F243/100</f>
        <v>0</v>
      </c>
      <c r="H108" s="21">
        <f>'Adjust'!G273*'Input'!$G243*10</f>
        <v>0</v>
      </c>
      <c r="I108" s="38">
        <f>IF(B108&lt;&gt;0,0.1*D108/B108,"")</f>
        <v>0</v>
      </c>
      <c r="J108" s="46">
        <f>IF(C108&lt;&gt;0,D108/C108,"")</f>
        <v>0</v>
      </c>
      <c r="K108" s="38">
        <f>IF(B108&lt;&gt;0,0.1*E108/B108,0)</f>
        <v>0</v>
      </c>
      <c r="L108" s="21">
        <f>'Adjust'!B273*'Input'!$B243*10</f>
        <v>0</v>
      </c>
      <c r="M108" s="21">
        <f>'Adjust'!C273*'Input'!$C243*10</f>
        <v>0</v>
      </c>
      <c r="N108" s="21">
        <f>'Adjust'!D273*'Input'!$D243*10</f>
        <v>0</v>
      </c>
      <c r="O108" s="40">
        <f>IF(E108&lt;&gt;0,$L108/E108,"")</f>
        <v>0</v>
      </c>
      <c r="P108" s="40">
        <f>IF(E108&lt;&gt;0,$M108/E108,"")</f>
        <v>0</v>
      </c>
      <c r="Q108" s="40">
        <f>IF(E108&lt;&gt;0,$N108/E108,"")</f>
        <v>0</v>
      </c>
      <c r="R108" s="40">
        <f>IF(D108&lt;&gt;0,$F108/D108,"")</f>
        <v>0</v>
      </c>
      <c r="S108" s="40">
        <f>IF(D108&lt;&gt;0,$G108/D108,"")</f>
        <v>0</v>
      </c>
      <c r="T108" s="40">
        <f>IF(D108&lt;&gt;0,$H108/D108,"")</f>
        <v>0</v>
      </c>
      <c r="U108" s="17"/>
    </row>
    <row r="109" spans="1:21">
      <c r="A109" s="4" t="s">
        <v>275</v>
      </c>
      <c r="B109" s="21">
        <f>'Input'!B244+'Input'!C244+'Input'!D244</f>
        <v>0</v>
      </c>
      <c r="C109" s="44">
        <f>'Input'!E244</f>
        <v>0</v>
      </c>
      <c r="D109" s="21">
        <f>0.01*'Input'!F$58*('Adjust'!$E274*'Input'!E244+'Adjust'!$F274*'Input'!F244)+10*('Adjust'!$B274*'Input'!B244+'Adjust'!$C274*'Input'!C244+'Adjust'!$D274*'Input'!D244+'Adjust'!$G274*'Input'!G244)</f>
        <v>0</v>
      </c>
      <c r="E109" s="21">
        <f>10*('Adjust'!$B274*'Input'!B244+'Adjust'!$C274*'Input'!C244+'Adjust'!$D274*'Input'!D244)</f>
        <v>0</v>
      </c>
      <c r="F109" s="21">
        <f>'Adjust'!E274*'Input'!$F$58*'Input'!$E244/100</f>
        <v>0</v>
      </c>
      <c r="G109" s="21">
        <f>'Adjust'!F274*'Input'!$F$58*'Input'!$F244/100</f>
        <v>0</v>
      </c>
      <c r="H109" s="21">
        <f>'Adjust'!G274*'Input'!$G244*10</f>
        <v>0</v>
      </c>
      <c r="I109" s="38">
        <f>IF(B109&lt;&gt;0,0.1*D109/B109,"")</f>
        <v>0</v>
      </c>
      <c r="J109" s="46">
        <f>IF(C109&lt;&gt;0,D109/C109,"")</f>
        <v>0</v>
      </c>
      <c r="K109" s="38">
        <f>IF(B109&lt;&gt;0,0.1*E109/B109,0)</f>
        <v>0</v>
      </c>
      <c r="L109" s="21">
        <f>'Adjust'!B274*'Input'!$B244*10</f>
        <v>0</v>
      </c>
      <c r="M109" s="21">
        <f>'Adjust'!C274*'Input'!$C244*10</f>
        <v>0</v>
      </c>
      <c r="N109" s="21">
        <f>'Adjust'!D274*'Input'!$D244*10</f>
        <v>0</v>
      </c>
      <c r="O109" s="40">
        <f>IF(E109&lt;&gt;0,$L109/E109,"")</f>
        <v>0</v>
      </c>
      <c r="P109" s="40">
        <f>IF(E109&lt;&gt;0,$M109/E109,"")</f>
        <v>0</v>
      </c>
      <c r="Q109" s="40">
        <f>IF(E109&lt;&gt;0,$N109/E109,"")</f>
        <v>0</v>
      </c>
      <c r="R109" s="40">
        <f>IF(D109&lt;&gt;0,$F109/D109,"")</f>
        <v>0</v>
      </c>
      <c r="S109" s="40">
        <f>IF(D109&lt;&gt;0,$G109/D109,"")</f>
        <v>0</v>
      </c>
      <c r="T109" s="40">
        <f>IF(D109&lt;&gt;0,$H109/D109,"")</f>
        <v>0</v>
      </c>
      <c r="U109" s="17"/>
    </row>
    <row r="110" spans="1:21">
      <c r="A110" s="4" t="s">
        <v>276</v>
      </c>
      <c r="B110" s="21">
        <f>'Input'!B245+'Input'!C245+'Input'!D245</f>
        <v>0</v>
      </c>
      <c r="C110" s="44">
        <f>'Input'!E245</f>
        <v>0</v>
      </c>
      <c r="D110" s="21">
        <f>0.01*'Input'!F$58*('Adjust'!$E275*'Input'!E245+'Adjust'!$F275*'Input'!F245)+10*('Adjust'!$B275*'Input'!B245+'Adjust'!$C275*'Input'!C245+'Adjust'!$D275*'Input'!D245+'Adjust'!$G275*'Input'!G245)</f>
        <v>0</v>
      </c>
      <c r="E110" s="21">
        <f>10*('Adjust'!$B275*'Input'!B245+'Adjust'!$C275*'Input'!C245+'Adjust'!$D275*'Input'!D245)</f>
        <v>0</v>
      </c>
      <c r="F110" s="21">
        <f>'Adjust'!E275*'Input'!$F$58*'Input'!$E245/100</f>
        <v>0</v>
      </c>
      <c r="G110" s="21">
        <f>'Adjust'!F275*'Input'!$F$58*'Input'!$F245/100</f>
        <v>0</v>
      </c>
      <c r="H110" s="21">
        <f>'Adjust'!G275*'Input'!$G245*10</f>
        <v>0</v>
      </c>
      <c r="I110" s="38">
        <f>IF(B110&lt;&gt;0,0.1*D110/B110,"")</f>
        <v>0</v>
      </c>
      <c r="J110" s="46">
        <f>IF(C110&lt;&gt;0,D110/C110,"")</f>
        <v>0</v>
      </c>
      <c r="K110" s="38">
        <f>IF(B110&lt;&gt;0,0.1*E110/B110,0)</f>
        <v>0</v>
      </c>
      <c r="L110" s="21">
        <f>'Adjust'!B275*'Input'!$B245*10</f>
        <v>0</v>
      </c>
      <c r="M110" s="21">
        <f>'Adjust'!C275*'Input'!$C245*10</f>
        <v>0</v>
      </c>
      <c r="N110" s="21">
        <f>'Adjust'!D275*'Input'!$D245*10</f>
        <v>0</v>
      </c>
      <c r="O110" s="40">
        <f>IF(E110&lt;&gt;0,$L110/E110,"")</f>
        <v>0</v>
      </c>
      <c r="P110" s="40">
        <f>IF(E110&lt;&gt;0,$M110/E110,"")</f>
        <v>0</v>
      </c>
      <c r="Q110" s="40">
        <f>IF(E110&lt;&gt;0,$N110/E110,"")</f>
        <v>0</v>
      </c>
      <c r="R110" s="40">
        <f>IF(D110&lt;&gt;0,$F110/D110,"")</f>
        <v>0</v>
      </c>
      <c r="S110" s="40">
        <f>IF(D110&lt;&gt;0,$G110/D110,"")</f>
        <v>0</v>
      </c>
      <c r="T110" s="40">
        <f>IF(D110&lt;&gt;0,$H110/D110,"")</f>
        <v>0</v>
      </c>
      <c r="U110" s="17"/>
    </row>
    <row r="111" spans="1:21">
      <c r="A111" s="29" t="s">
        <v>277</v>
      </c>
      <c r="U111" s="17"/>
    </row>
    <row r="112" spans="1:21">
      <c r="A112" s="4" t="s">
        <v>183</v>
      </c>
      <c r="B112" s="21">
        <f>'Input'!B247+'Input'!C247+'Input'!D247</f>
        <v>0</v>
      </c>
      <c r="C112" s="44">
        <f>'Input'!E247</f>
        <v>0</v>
      </c>
      <c r="D112" s="21">
        <f>0.01*'Input'!F$58*('Adjust'!$E277*'Input'!E247+'Adjust'!$F277*'Input'!F247)+10*('Adjust'!$B277*'Input'!B247+'Adjust'!$C277*'Input'!C247+'Adjust'!$D277*'Input'!D247+'Adjust'!$G277*'Input'!G247)</f>
        <v>0</v>
      </c>
      <c r="E112" s="21">
        <f>10*('Adjust'!$B277*'Input'!B247+'Adjust'!$C277*'Input'!C247+'Adjust'!$D277*'Input'!D247)</f>
        <v>0</v>
      </c>
      <c r="F112" s="21">
        <f>'Adjust'!E277*'Input'!$F$58*'Input'!$E247/100</f>
        <v>0</v>
      </c>
      <c r="G112" s="21">
        <f>'Adjust'!F277*'Input'!$F$58*'Input'!$F247/100</f>
        <v>0</v>
      </c>
      <c r="H112" s="21">
        <f>'Adjust'!G277*'Input'!$G247*10</f>
        <v>0</v>
      </c>
      <c r="I112" s="38">
        <f>IF(B112&lt;&gt;0,0.1*D112/B112,"")</f>
        <v>0</v>
      </c>
      <c r="J112" s="46">
        <f>IF(C112&lt;&gt;0,D112/C112,"")</f>
        <v>0</v>
      </c>
      <c r="K112" s="38">
        <f>IF(B112&lt;&gt;0,0.1*E112/B112,0)</f>
        <v>0</v>
      </c>
      <c r="L112" s="21">
        <f>'Adjust'!B277*'Input'!$B247*10</f>
        <v>0</v>
      </c>
      <c r="M112" s="21">
        <f>'Adjust'!C277*'Input'!$C247*10</f>
        <v>0</v>
      </c>
      <c r="N112" s="21">
        <f>'Adjust'!D277*'Input'!$D247*10</f>
        <v>0</v>
      </c>
      <c r="O112" s="40">
        <f>IF(E112&lt;&gt;0,$L112/E112,"")</f>
        <v>0</v>
      </c>
      <c r="P112" s="40">
        <f>IF(E112&lt;&gt;0,$M112/E112,"")</f>
        <v>0</v>
      </c>
      <c r="Q112" s="40">
        <f>IF(E112&lt;&gt;0,$N112/E112,"")</f>
        <v>0</v>
      </c>
      <c r="R112" s="40">
        <f>IF(D112&lt;&gt;0,$F112/D112,"")</f>
        <v>0</v>
      </c>
      <c r="S112" s="40">
        <f>IF(D112&lt;&gt;0,$G112/D112,"")</f>
        <v>0</v>
      </c>
      <c r="T112" s="40">
        <f>IF(D112&lt;&gt;0,$H112/D112,"")</f>
        <v>0</v>
      </c>
      <c r="U112" s="17"/>
    </row>
    <row r="113" spans="1:21">
      <c r="A113" s="4" t="s">
        <v>278</v>
      </c>
      <c r="B113" s="21">
        <f>'Input'!B248+'Input'!C248+'Input'!D248</f>
        <v>0</v>
      </c>
      <c r="C113" s="44">
        <f>'Input'!E248</f>
        <v>0</v>
      </c>
      <c r="D113" s="21">
        <f>0.01*'Input'!F$58*('Adjust'!$E278*'Input'!E248+'Adjust'!$F278*'Input'!F248)+10*('Adjust'!$B278*'Input'!B248+'Adjust'!$C278*'Input'!C248+'Adjust'!$D278*'Input'!D248+'Adjust'!$G278*'Input'!G248)</f>
        <v>0</v>
      </c>
      <c r="E113" s="21">
        <f>10*('Adjust'!$B278*'Input'!B248+'Adjust'!$C278*'Input'!C248+'Adjust'!$D278*'Input'!D248)</f>
        <v>0</v>
      </c>
      <c r="F113" s="21">
        <f>'Adjust'!E278*'Input'!$F$58*'Input'!$E248/100</f>
        <v>0</v>
      </c>
      <c r="G113" s="21">
        <f>'Adjust'!F278*'Input'!$F$58*'Input'!$F248/100</f>
        <v>0</v>
      </c>
      <c r="H113" s="21">
        <f>'Adjust'!G278*'Input'!$G248*10</f>
        <v>0</v>
      </c>
      <c r="I113" s="38">
        <f>IF(B113&lt;&gt;0,0.1*D113/B113,"")</f>
        <v>0</v>
      </c>
      <c r="J113" s="46">
        <f>IF(C113&lt;&gt;0,D113/C113,"")</f>
        <v>0</v>
      </c>
      <c r="K113" s="38">
        <f>IF(B113&lt;&gt;0,0.1*E113/B113,0)</f>
        <v>0</v>
      </c>
      <c r="L113" s="21">
        <f>'Adjust'!B278*'Input'!$B248*10</f>
        <v>0</v>
      </c>
      <c r="M113" s="21">
        <f>'Adjust'!C278*'Input'!$C248*10</f>
        <v>0</v>
      </c>
      <c r="N113" s="21">
        <f>'Adjust'!D278*'Input'!$D248*10</f>
        <v>0</v>
      </c>
      <c r="O113" s="40">
        <f>IF(E113&lt;&gt;0,$L113/E113,"")</f>
        <v>0</v>
      </c>
      <c r="P113" s="40">
        <f>IF(E113&lt;&gt;0,$M113/E113,"")</f>
        <v>0</v>
      </c>
      <c r="Q113" s="40">
        <f>IF(E113&lt;&gt;0,$N113/E113,"")</f>
        <v>0</v>
      </c>
      <c r="R113" s="40">
        <f>IF(D113&lt;&gt;0,$F113/D113,"")</f>
        <v>0</v>
      </c>
      <c r="S113" s="40">
        <f>IF(D113&lt;&gt;0,$G113/D113,"")</f>
        <v>0</v>
      </c>
      <c r="T113" s="40">
        <f>IF(D113&lt;&gt;0,$H113/D113,"")</f>
        <v>0</v>
      </c>
      <c r="U113" s="17"/>
    </row>
    <row r="114" spans="1:21">
      <c r="A114" s="29" t="s">
        <v>279</v>
      </c>
      <c r="U114" s="17"/>
    </row>
    <row r="115" spans="1:21">
      <c r="A115" s="4" t="s">
        <v>184</v>
      </c>
      <c r="B115" s="21">
        <f>'Input'!B250+'Input'!C250+'Input'!D250</f>
        <v>0</v>
      </c>
      <c r="C115" s="44">
        <f>'Input'!E250</f>
        <v>0</v>
      </c>
      <c r="D115" s="21">
        <f>0.01*'Input'!F$58*('Adjust'!$E280*'Input'!E250+'Adjust'!$F280*'Input'!F250)+10*('Adjust'!$B280*'Input'!B250+'Adjust'!$C280*'Input'!C250+'Adjust'!$D280*'Input'!D250+'Adjust'!$G280*'Input'!G250)</f>
        <v>0</v>
      </c>
      <c r="E115" s="21">
        <f>10*('Adjust'!$B280*'Input'!B250+'Adjust'!$C280*'Input'!C250+'Adjust'!$D280*'Input'!D250)</f>
        <v>0</v>
      </c>
      <c r="F115" s="21">
        <f>'Adjust'!E280*'Input'!$F$58*'Input'!$E250/100</f>
        <v>0</v>
      </c>
      <c r="G115" s="21">
        <f>'Adjust'!F280*'Input'!$F$58*'Input'!$F250/100</f>
        <v>0</v>
      </c>
      <c r="H115" s="21">
        <f>'Adjust'!G280*'Input'!$G250*10</f>
        <v>0</v>
      </c>
      <c r="I115" s="38">
        <f>IF(B115&lt;&gt;0,0.1*D115/B115,"")</f>
        <v>0</v>
      </c>
      <c r="J115" s="46">
        <f>IF(C115&lt;&gt;0,D115/C115,"")</f>
        <v>0</v>
      </c>
      <c r="K115" s="38">
        <f>IF(B115&lt;&gt;0,0.1*E115/B115,0)</f>
        <v>0</v>
      </c>
      <c r="L115" s="21">
        <f>'Adjust'!B280*'Input'!$B250*10</f>
        <v>0</v>
      </c>
      <c r="M115" s="21">
        <f>'Adjust'!C280*'Input'!$C250*10</f>
        <v>0</v>
      </c>
      <c r="N115" s="21">
        <f>'Adjust'!D280*'Input'!$D250*10</f>
        <v>0</v>
      </c>
      <c r="O115" s="40">
        <f>IF(E115&lt;&gt;0,$L115/E115,"")</f>
        <v>0</v>
      </c>
      <c r="P115" s="40">
        <f>IF(E115&lt;&gt;0,$M115/E115,"")</f>
        <v>0</v>
      </c>
      <c r="Q115" s="40">
        <f>IF(E115&lt;&gt;0,$N115/E115,"")</f>
        <v>0</v>
      </c>
      <c r="R115" s="40">
        <f>IF(D115&lt;&gt;0,$F115/D115,"")</f>
        <v>0</v>
      </c>
      <c r="S115" s="40">
        <f>IF(D115&lt;&gt;0,$G115/D115,"")</f>
        <v>0</v>
      </c>
      <c r="T115" s="40">
        <f>IF(D115&lt;&gt;0,$H115/D115,"")</f>
        <v>0</v>
      </c>
      <c r="U115" s="17"/>
    </row>
    <row r="116" spans="1:21">
      <c r="A116" s="4" t="s">
        <v>280</v>
      </c>
      <c r="B116" s="21">
        <f>'Input'!B251+'Input'!C251+'Input'!D251</f>
        <v>0</v>
      </c>
      <c r="C116" s="44">
        <f>'Input'!E251</f>
        <v>0</v>
      </c>
      <c r="D116" s="21">
        <f>0.01*'Input'!F$58*('Adjust'!$E281*'Input'!E251+'Adjust'!$F281*'Input'!F251)+10*('Adjust'!$B281*'Input'!B251+'Adjust'!$C281*'Input'!C251+'Adjust'!$D281*'Input'!D251+'Adjust'!$G281*'Input'!G251)</f>
        <v>0</v>
      </c>
      <c r="E116" s="21">
        <f>10*('Adjust'!$B281*'Input'!B251+'Adjust'!$C281*'Input'!C251+'Adjust'!$D281*'Input'!D251)</f>
        <v>0</v>
      </c>
      <c r="F116" s="21">
        <f>'Adjust'!E281*'Input'!$F$58*'Input'!$E251/100</f>
        <v>0</v>
      </c>
      <c r="G116" s="21">
        <f>'Adjust'!F281*'Input'!$F$58*'Input'!$F251/100</f>
        <v>0</v>
      </c>
      <c r="H116" s="21">
        <f>'Adjust'!G281*'Input'!$G251*10</f>
        <v>0</v>
      </c>
      <c r="I116" s="38">
        <f>IF(B116&lt;&gt;0,0.1*D116/B116,"")</f>
        <v>0</v>
      </c>
      <c r="J116" s="46">
        <f>IF(C116&lt;&gt;0,D116/C116,"")</f>
        <v>0</v>
      </c>
      <c r="K116" s="38">
        <f>IF(B116&lt;&gt;0,0.1*E116/B116,0)</f>
        <v>0</v>
      </c>
      <c r="L116" s="21">
        <f>'Adjust'!B281*'Input'!$B251*10</f>
        <v>0</v>
      </c>
      <c r="M116" s="21">
        <f>'Adjust'!C281*'Input'!$C251*10</f>
        <v>0</v>
      </c>
      <c r="N116" s="21">
        <f>'Adjust'!D281*'Input'!$D251*10</f>
        <v>0</v>
      </c>
      <c r="O116" s="40">
        <f>IF(E116&lt;&gt;0,$L116/E116,"")</f>
        <v>0</v>
      </c>
      <c r="P116" s="40">
        <f>IF(E116&lt;&gt;0,$M116/E116,"")</f>
        <v>0</v>
      </c>
      <c r="Q116" s="40">
        <f>IF(E116&lt;&gt;0,$N116/E116,"")</f>
        <v>0</v>
      </c>
      <c r="R116" s="40">
        <f>IF(D116&lt;&gt;0,$F116/D116,"")</f>
        <v>0</v>
      </c>
      <c r="S116" s="40">
        <f>IF(D116&lt;&gt;0,$G116/D116,"")</f>
        <v>0</v>
      </c>
      <c r="T116" s="40">
        <f>IF(D116&lt;&gt;0,$H116/D116,"")</f>
        <v>0</v>
      </c>
      <c r="U116" s="17"/>
    </row>
    <row r="117" spans="1:21">
      <c r="A117" s="4" t="s">
        <v>281</v>
      </c>
      <c r="B117" s="21">
        <f>'Input'!B252+'Input'!C252+'Input'!D252</f>
        <v>0</v>
      </c>
      <c r="C117" s="44">
        <f>'Input'!E252</f>
        <v>0</v>
      </c>
      <c r="D117" s="21">
        <f>0.01*'Input'!F$58*('Adjust'!$E282*'Input'!E252+'Adjust'!$F282*'Input'!F252)+10*('Adjust'!$B282*'Input'!B252+'Adjust'!$C282*'Input'!C252+'Adjust'!$D282*'Input'!D252+'Adjust'!$G282*'Input'!G252)</f>
        <v>0</v>
      </c>
      <c r="E117" s="21">
        <f>10*('Adjust'!$B282*'Input'!B252+'Adjust'!$C282*'Input'!C252+'Adjust'!$D282*'Input'!D252)</f>
        <v>0</v>
      </c>
      <c r="F117" s="21">
        <f>'Adjust'!E282*'Input'!$F$58*'Input'!$E252/100</f>
        <v>0</v>
      </c>
      <c r="G117" s="21">
        <f>'Adjust'!F282*'Input'!$F$58*'Input'!$F252/100</f>
        <v>0</v>
      </c>
      <c r="H117" s="21">
        <f>'Adjust'!G282*'Input'!$G252*10</f>
        <v>0</v>
      </c>
      <c r="I117" s="38">
        <f>IF(B117&lt;&gt;0,0.1*D117/B117,"")</f>
        <v>0</v>
      </c>
      <c r="J117" s="46">
        <f>IF(C117&lt;&gt;0,D117/C117,"")</f>
        <v>0</v>
      </c>
      <c r="K117" s="38">
        <f>IF(B117&lt;&gt;0,0.1*E117/B117,0)</f>
        <v>0</v>
      </c>
      <c r="L117" s="21">
        <f>'Adjust'!B282*'Input'!$B252*10</f>
        <v>0</v>
      </c>
      <c r="M117" s="21">
        <f>'Adjust'!C282*'Input'!$C252*10</f>
        <v>0</v>
      </c>
      <c r="N117" s="21">
        <f>'Adjust'!D282*'Input'!$D252*10</f>
        <v>0</v>
      </c>
      <c r="O117" s="40">
        <f>IF(E117&lt;&gt;0,$L117/E117,"")</f>
        <v>0</v>
      </c>
      <c r="P117" s="40">
        <f>IF(E117&lt;&gt;0,$M117/E117,"")</f>
        <v>0</v>
      </c>
      <c r="Q117" s="40">
        <f>IF(E117&lt;&gt;0,$N117/E117,"")</f>
        <v>0</v>
      </c>
      <c r="R117" s="40">
        <f>IF(D117&lt;&gt;0,$F117/D117,"")</f>
        <v>0</v>
      </c>
      <c r="S117" s="40">
        <f>IF(D117&lt;&gt;0,$G117/D117,"")</f>
        <v>0</v>
      </c>
      <c r="T117" s="40">
        <f>IF(D117&lt;&gt;0,$H117/D117,"")</f>
        <v>0</v>
      </c>
      <c r="U117" s="17"/>
    </row>
    <row r="118" spans="1:21">
      <c r="A118" s="29" t="s">
        <v>282</v>
      </c>
      <c r="U118" s="17"/>
    </row>
    <row r="119" spans="1:21">
      <c r="A119" s="4" t="s">
        <v>185</v>
      </c>
      <c r="B119" s="21">
        <f>'Input'!B254+'Input'!C254+'Input'!D254</f>
        <v>0</v>
      </c>
      <c r="C119" s="44">
        <f>'Input'!E254</f>
        <v>0</v>
      </c>
      <c r="D119" s="21">
        <f>0.01*'Input'!F$58*('Adjust'!$E284*'Input'!E254+'Adjust'!$F284*'Input'!F254)+10*('Adjust'!$B284*'Input'!B254+'Adjust'!$C284*'Input'!C254+'Adjust'!$D284*'Input'!D254+'Adjust'!$G284*'Input'!G254)</f>
        <v>0</v>
      </c>
      <c r="E119" s="21">
        <f>10*('Adjust'!$B284*'Input'!B254+'Adjust'!$C284*'Input'!C254+'Adjust'!$D284*'Input'!D254)</f>
        <v>0</v>
      </c>
      <c r="F119" s="21">
        <f>'Adjust'!E284*'Input'!$F$58*'Input'!$E254/100</f>
        <v>0</v>
      </c>
      <c r="G119" s="21">
        <f>'Adjust'!F284*'Input'!$F$58*'Input'!$F254/100</f>
        <v>0</v>
      </c>
      <c r="H119" s="21">
        <f>'Adjust'!G284*'Input'!$G254*10</f>
        <v>0</v>
      </c>
      <c r="I119" s="38">
        <f>IF(B119&lt;&gt;0,0.1*D119/B119,"")</f>
        <v>0</v>
      </c>
      <c r="J119" s="46">
        <f>IF(C119&lt;&gt;0,D119/C119,"")</f>
        <v>0</v>
      </c>
      <c r="K119" s="38">
        <f>IF(B119&lt;&gt;0,0.1*E119/B119,0)</f>
        <v>0</v>
      </c>
      <c r="L119" s="21">
        <f>'Adjust'!B284*'Input'!$B254*10</f>
        <v>0</v>
      </c>
      <c r="M119" s="21">
        <f>'Adjust'!C284*'Input'!$C254*10</f>
        <v>0</v>
      </c>
      <c r="N119" s="21">
        <f>'Adjust'!D284*'Input'!$D254*10</f>
        <v>0</v>
      </c>
      <c r="O119" s="40">
        <f>IF(E119&lt;&gt;0,$L119/E119,"")</f>
        <v>0</v>
      </c>
      <c r="P119" s="40">
        <f>IF(E119&lt;&gt;0,$M119/E119,"")</f>
        <v>0</v>
      </c>
      <c r="Q119" s="40">
        <f>IF(E119&lt;&gt;0,$N119/E119,"")</f>
        <v>0</v>
      </c>
      <c r="R119" s="40">
        <f>IF(D119&lt;&gt;0,$F119/D119,"")</f>
        <v>0</v>
      </c>
      <c r="S119" s="40">
        <f>IF(D119&lt;&gt;0,$G119/D119,"")</f>
        <v>0</v>
      </c>
      <c r="T119" s="40">
        <f>IF(D119&lt;&gt;0,$H119/D119,"")</f>
        <v>0</v>
      </c>
      <c r="U119" s="17"/>
    </row>
    <row r="120" spans="1:21">
      <c r="A120" s="4" t="s">
        <v>283</v>
      </c>
      <c r="B120" s="21">
        <f>'Input'!B255+'Input'!C255+'Input'!D255</f>
        <v>0</v>
      </c>
      <c r="C120" s="44">
        <f>'Input'!E255</f>
        <v>0</v>
      </c>
      <c r="D120" s="21">
        <f>0.01*'Input'!F$58*('Adjust'!$E285*'Input'!E255+'Adjust'!$F285*'Input'!F255)+10*('Adjust'!$B285*'Input'!B255+'Adjust'!$C285*'Input'!C255+'Adjust'!$D285*'Input'!D255+'Adjust'!$G285*'Input'!G255)</f>
        <v>0</v>
      </c>
      <c r="E120" s="21">
        <f>10*('Adjust'!$B285*'Input'!B255+'Adjust'!$C285*'Input'!C255+'Adjust'!$D285*'Input'!D255)</f>
        <v>0</v>
      </c>
      <c r="F120" s="21">
        <f>'Adjust'!E285*'Input'!$F$58*'Input'!$E255/100</f>
        <v>0</v>
      </c>
      <c r="G120" s="21">
        <f>'Adjust'!F285*'Input'!$F$58*'Input'!$F255/100</f>
        <v>0</v>
      </c>
      <c r="H120" s="21">
        <f>'Adjust'!G285*'Input'!$G255*10</f>
        <v>0</v>
      </c>
      <c r="I120" s="38">
        <f>IF(B120&lt;&gt;0,0.1*D120/B120,"")</f>
        <v>0</v>
      </c>
      <c r="J120" s="46">
        <f>IF(C120&lt;&gt;0,D120/C120,"")</f>
        <v>0</v>
      </c>
      <c r="K120" s="38">
        <f>IF(B120&lt;&gt;0,0.1*E120/B120,0)</f>
        <v>0</v>
      </c>
      <c r="L120" s="21">
        <f>'Adjust'!B285*'Input'!$B255*10</f>
        <v>0</v>
      </c>
      <c r="M120" s="21">
        <f>'Adjust'!C285*'Input'!$C255*10</f>
        <v>0</v>
      </c>
      <c r="N120" s="21">
        <f>'Adjust'!D285*'Input'!$D255*10</f>
        <v>0</v>
      </c>
      <c r="O120" s="40">
        <f>IF(E120&lt;&gt;0,$L120/E120,"")</f>
        <v>0</v>
      </c>
      <c r="P120" s="40">
        <f>IF(E120&lt;&gt;0,$M120/E120,"")</f>
        <v>0</v>
      </c>
      <c r="Q120" s="40">
        <f>IF(E120&lt;&gt;0,$N120/E120,"")</f>
        <v>0</v>
      </c>
      <c r="R120" s="40">
        <f>IF(D120&lt;&gt;0,$F120/D120,"")</f>
        <v>0</v>
      </c>
      <c r="S120" s="40">
        <f>IF(D120&lt;&gt;0,$G120/D120,"")</f>
        <v>0</v>
      </c>
      <c r="T120" s="40">
        <f>IF(D120&lt;&gt;0,$H120/D120,"")</f>
        <v>0</v>
      </c>
      <c r="U120" s="17"/>
    </row>
    <row r="121" spans="1:21">
      <c r="A121" s="4" t="s">
        <v>284</v>
      </c>
      <c r="B121" s="21">
        <f>'Input'!B256+'Input'!C256+'Input'!D256</f>
        <v>0</v>
      </c>
      <c r="C121" s="44">
        <f>'Input'!E256</f>
        <v>0</v>
      </c>
      <c r="D121" s="21">
        <f>0.01*'Input'!F$58*('Adjust'!$E286*'Input'!E256+'Adjust'!$F286*'Input'!F256)+10*('Adjust'!$B286*'Input'!B256+'Adjust'!$C286*'Input'!C256+'Adjust'!$D286*'Input'!D256+'Adjust'!$G286*'Input'!G256)</f>
        <v>0</v>
      </c>
      <c r="E121" s="21">
        <f>10*('Adjust'!$B286*'Input'!B256+'Adjust'!$C286*'Input'!C256+'Adjust'!$D286*'Input'!D256)</f>
        <v>0</v>
      </c>
      <c r="F121" s="21">
        <f>'Adjust'!E286*'Input'!$F$58*'Input'!$E256/100</f>
        <v>0</v>
      </c>
      <c r="G121" s="21">
        <f>'Adjust'!F286*'Input'!$F$58*'Input'!$F256/100</f>
        <v>0</v>
      </c>
      <c r="H121" s="21">
        <f>'Adjust'!G286*'Input'!$G256*10</f>
        <v>0</v>
      </c>
      <c r="I121" s="38">
        <f>IF(B121&lt;&gt;0,0.1*D121/B121,"")</f>
        <v>0</v>
      </c>
      <c r="J121" s="46">
        <f>IF(C121&lt;&gt;0,D121/C121,"")</f>
        <v>0</v>
      </c>
      <c r="K121" s="38">
        <f>IF(B121&lt;&gt;0,0.1*E121/B121,0)</f>
        <v>0</v>
      </c>
      <c r="L121" s="21">
        <f>'Adjust'!B286*'Input'!$B256*10</f>
        <v>0</v>
      </c>
      <c r="M121" s="21">
        <f>'Adjust'!C286*'Input'!$C256*10</f>
        <v>0</v>
      </c>
      <c r="N121" s="21">
        <f>'Adjust'!D286*'Input'!$D256*10</f>
        <v>0</v>
      </c>
      <c r="O121" s="40">
        <f>IF(E121&lt;&gt;0,$L121/E121,"")</f>
        <v>0</v>
      </c>
      <c r="P121" s="40">
        <f>IF(E121&lt;&gt;0,$M121/E121,"")</f>
        <v>0</v>
      </c>
      <c r="Q121" s="40">
        <f>IF(E121&lt;&gt;0,$N121/E121,"")</f>
        <v>0</v>
      </c>
      <c r="R121" s="40">
        <f>IF(D121&lt;&gt;0,$F121/D121,"")</f>
        <v>0</v>
      </c>
      <c r="S121" s="40">
        <f>IF(D121&lt;&gt;0,$G121/D121,"")</f>
        <v>0</v>
      </c>
      <c r="T121" s="40">
        <f>IF(D121&lt;&gt;0,$H121/D121,"")</f>
        <v>0</v>
      </c>
      <c r="U121" s="17"/>
    </row>
    <row r="122" spans="1:21">
      <c r="A122" s="29" t="s">
        <v>285</v>
      </c>
      <c r="U122" s="17"/>
    </row>
    <row r="123" spans="1:21">
      <c r="A123" s="4" t="s">
        <v>186</v>
      </c>
      <c r="B123" s="21">
        <f>'Input'!B258+'Input'!C258+'Input'!D258</f>
        <v>0</v>
      </c>
      <c r="C123" s="44">
        <f>'Input'!E258</f>
        <v>0</v>
      </c>
      <c r="D123" s="21">
        <f>0.01*'Input'!F$58*('Adjust'!$E288*'Input'!E258+'Adjust'!$F288*'Input'!F258)+10*('Adjust'!$B288*'Input'!B258+'Adjust'!$C288*'Input'!C258+'Adjust'!$D288*'Input'!D258+'Adjust'!$G288*'Input'!G258)</f>
        <v>0</v>
      </c>
      <c r="E123" s="21">
        <f>10*('Adjust'!$B288*'Input'!B258+'Adjust'!$C288*'Input'!C258+'Adjust'!$D288*'Input'!D258)</f>
        <v>0</v>
      </c>
      <c r="F123" s="21">
        <f>'Adjust'!E288*'Input'!$F$58*'Input'!$E258/100</f>
        <v>0</v>
      </c>
      <c r="G123" s="21">
        <f>'Adjust'!F288*'Input'!$F$58*'Input'!$F258/100</f>
        <v>0</v>
      </c>
      <c r="H123" s="21">
        <f>'Adjust'!G288*'Input'!$G258*10</f>
        <v>0</v>
      </c>
      <c r="I123" s="38">
        <f>IF(B123&lt;&gt;0,0.1*D123/B123,"")</f>
        <v>0</v>
      </c>
      <c r="J123" s="46">
        <f>IF(C123&lt;&gt;0,D123/C123,"")</f>
        <v>0</v>
      </c>
      <c r="K123" s="38">
        <f>IF(B123&lt;&gt;0,0.1*E123/B123,0)</f>
        <v>0</v>
      </c>
      <c r="L123" s="21">
        <f>'Adjust'!B288*'Input'!$B258*10</f>
        <v>0</v>
      </c>
      <c r="M123" s="21">
        <f>'Adjust'!C288*'Input'!$C258*10</f>
        <v>0</v>
      </c>
      <c r="N123" s="21">
        <f>'Adjust'!D288*'Input'!$D258*10</f>
        <v>0</v>
      </c>
      <c r="O123" s="40">
        <f>IF(E123&lt;&gt;0,$L123/E123,"")</f>
        <v>0</v>
      </c>
      <c r="P123" s="40">
        <f>IF(E123&lt;&gt;0,$M123/E123,"")</f>
        <v>0</v>
      </c>
      <c r="Q123" s="40">
        <f>IF(E123&lt;&gt;0,$N123/E123,"")</f>
        <v>0</v>
      </c>
      <c r="R123" s="40">
        <f>IF(D123&lt;&gt;0,$F123/D123,"")</f>
        <v>0</v>
      </c>
      <c r="S123" s="40">
        <f>IF(D123&lt;&gt;0,$G123/D123,"")</f>
        <v>0</v>
      </c>
      <c r="T123" s="40">
        <f>IF(D123&lt;&gt;0,$H123/D123,"")</f>
        <v>0</v>
      </c>
      <c r="U123" s="17"/>
    </row>
    <row r="124" spans="1:21">
      <c r="A124" s="4" t="s">
        <v>286</v>
      </c>
      <c r="B124" s="21">
        <f>'Input'!B259+'Input'!C259+'Input'!D259</f>
        <v>0</v>
      </c>
      <c r="C124" s="44">
        <f>'Input'!E259</f>
        <v>0</v>
      </c>
      <c r="D124" s="21">
        <f>0.01*'Input'!F$58*('Adjust'!$E289*'Input'!E259+'Adjust'!$F289*'Input'!F259)+10*('Adjust'!$B289*'Input'!B259+'Adjust'!$C289*'Input'!C259+'Adjust'!$D289*'Input'!D259+'Adjust'!$G289*'Input'!G259)</f>
        <v>0</v>
      </c>
      <c r="E124" s="21">
        <f>10*('Adjust'!$B289*'Input'!B259+'Adjust'!$C289*'Input'!C259+'Adjust'!$D289*'Input'!D259)</f>
        <v>0</v>
      </c>
      <c r="F124" s="21">
        <f>'Adjust'!E289*'Input'!$F$58*'Input'!$E259/100</f>
        <v>0</v>
      </c>
      <c r="G124" s="21">
        <f>'Adjust'!F289*'Input'!$F$58*'Input'!$F259/100</f>
        <v>0</v>
      </c>
      <c r="H124" s="21">
        <f>'Adjust'!G289*'Input'!$G259*10</f>
        <v>0</v>
      </c>
      <c r="I124" s="38">
        <f>IF(B124&lt;&gt;0,0.1*D124/B124,"")</f>
        <v>0</v>
      </c>
      <c r="J124" s="46">
        <f>IF(C124&lt;&gt;0,D124/C124,"")</f>
        <v>0</v>
      </c>
      <c r="K124" s="38">
        <f>IF(B124&lt;&gt;0,0.1*E124/B124,0)</f>
        <v>0</v>
      </c>
      <c r="L124" s="21">
        <f>'Adjust'!B289*'Input'!$B259*10</f>
        <v>0</v>
      </c>
      <c r="M124" s="21">
        <f>'Adjust'!C289*'Input'!$C259*10</f>
        <v>0</v>
      </c>
      <c r="N124" s="21">
        <f>'Adjust'!D289*'Input'!$D259*10</f>
        <v>0</v>
      </c>
      <c r="O124" s="40">
        <f>IF(E124&lt;&gt;0,$L124/E124,"")</f>
        <v>0</v>
      </c>
      <c r="P124" s="40">
        <f>IF(E124&lt;&gt;0,$M124/E124,"")</f>
        <v>0</v>
      </c>
      <c r="Q124" s="40">
        <f>IF(E124&lt;&gt;0,$N124/E124,"")</f>
        <v>0</v>
      </c>
      <c r="R124" s="40">
        <f>IF(D124&lt;&gt;0,$F124/D124,"")</f>
        <v>0</v>
      </c>
      <c r="S124" s="40">
        <f>IF(D124&lt;&gt;0,$G124/D124,"")</f>
        <v>0</v>
      </c>
      <c r="T124" s="40">
        <f>IF(D124&lt;&gt;0,$H124/D124,"")</f>
        <v>0</v>
      </c>
      <c r="U124" s="17"/>
    </row>
    <row r="125" spans="1:21">
      <c r="A125" s="29" t="s">
        <v>287</v>
      </c>
      <c r="U125" s="17"/>
    </row>
    <row r="126" spans="1:21">
      <c r="A126" s="4" t="s">
        <v>187</v>
      </c>
      <c r="B126" s="21">
        <f>'Input'!B261+'Input'!C261+'Input'!D261</f>
        <v>0</v>
      </c>
      <c r="C126" s="44">
        <f>'Input'!E261</f>
        <v>0</v>
      </c>
      <c r="D126" s="21">
        <f>0.01*'Input'!F$58*('Adjust'!$E291*'Input'!E261+'Adjust'!$F291*'Input'!F261)+10*('Adjust'!$B291*'Input'!B261+'Adjust'!$C291*'Input'!C261+'Adjust'!$D291*'Input'!D261+'Adjust'!$G291*'Input'!G261)</f>
        <v>0</v>
      </c>
      <c r="E126" s="21">
        <f>10*('Adjust'!$B291*'Input'!B261+'Adjust'!$C291*'Input'!C261+'Adjust'!$D291*'Input'!D261)</f>
        <v>0</v>
      </c>
      <c r="F126" s="21">
        <f>'Adjust'!E291*'Input'!$F$58*'Input'!$E261/100</f>
        <v>0</v>
      </c>
      <c r="G126" s="21">
        <f>'Adjust'!F291*'Input'!$F$58*'Input'!$F261/100</f>
        <v>0</v>
      </c>
      <c r="H126" s="21">
        <f>'Adjust'!G291*'Input'!$G261*10</f>
        <v>0</v>
      </c>
      <c r="I126" s="38">
        <f>IF(B126&lt;&gt;0,0.1*D126/B126,"")</f>
        <v>0</v>
      </c>
      <c r="J126" s="46">
        <f>IF(C126&lt;&gt;0,D126/C126,"")</f>
        <v>0</v>
      </c>
      <c r="K126" s="38">
        <f>IF(B126&lt;&gt;0,0.1*E126/B126,0)</f>
        <v>0</v>
      </c>
      <c r="L126" s="21">
        <f>'Adjust'!B291*'Input'!$B261*10</f>
        <v>0</v>
      </c>
      <c r="M126" s="21">
        <f>'Adjust'!C291*'Input'!$C261*10</f>
        <v>0</v>
      </c>
      <c r="N126" s="21">
        <f>'Adjust'!D291*'Input'!$D261*10</f>
        <v>0</v>
      </c>
      <c r="O126" s="40">
        <f>IF(E126&lt;&gt;0,$L126/E126,"")</f>
        <v>0</v>
      </c>
      <c r="P126" s="40">
        <f>IF(E126&lt;&gt;0,$M126/E126,"")</f>
        <v>0</v>
      </c>
      <c r="Q126" s="40">
        <f>IF(E126&lt;&gt;0,$N126/E126,"")</f>
        <v>0</v>
      </c>
      <c r="R126" s="40">
        <f>IF(D126&lt;&gt;0,$F126/D126,"")</f>
        <v>0</v>
      </c>
      <c r="S126" s="40">
        <f>IF(D126&lt;&gt;0,$G126/D126,"")</f>
        <v>0</v>
      </c>
      <c r="T126" s="40">
        <f>IF(D126&lt;&gt;0,$H126/D126,"")</f>
        <v>0</v>
      </c>
      <c r="U126" s="17"/>
    </row>
    <row r="127" spans="1:21">
      <c r="A127" s="4" t="s">
        <v>288</v>
      </c>
      <c r="B127" s="21">
        <f>'Input'!B262+'Input'!C262+'Input'!D262</f>
        <v>0</v>
      </c>
      <c r="C127" s="44">
        <f>'Input'!E262</f>
        <v>0</v>
      </c>
      <c r="D127" s="21">
        <f>0.01*'Input'!F$58*('Adjust'!$E292*'Input'!E262+'Adjust'!$F292*'Input'!F262)+10*('Adjust'!$B292*'Input'!B262+'Adjust'!$C292*'Input'!C262+'Adjust'!$D292*'Input'!D262+'Adjust'!$G292*'Input'!G262)</f>
        <v>0</v>
      </c>
      <c r="E127" s="21">
        <f>10*('Adjust'!$B292*'Input'!B262+'Adjust'!$C292*'Input'!C262+'Adjust'!$D292*'Input'!D262)</f>
        <v>0</v>
      </c>
      <c r="F127" s="21">
        <f>'Adjust'!E292*'Input'!$F$58*'Input'!$E262/100</f>
        <v>0</v>
      </c>
      <c r="G127" s="21">
        <f>'Adjust'!F292*'Input'!$F$58*'Input'!$F262/100</f>
        <v>0</v>
      </c>
      <c r="H127" s="21">
        <f>'Adjust'!G292*'Input'!$G262*10</f>
        <v>0</v>
      </c>
      <c r="I127" s="38">
        <f>IF(B127&lt;&gt;0,0.1*D127/B127,"")</f>
        <v>0</v>
      </c>
      <c r="J127" s="46">
        <f>IF(C127&lt;&gt;0,D127/C127,"")</f>
        <v>0</v>
      </c>
      <c r="K127" s="38">
        <f>IF(B127&lt;&gt;0,0.1*E127/B127,0)</f>
        <v>0</v>
      </c>
      <c r="L127" s="21">
        <f>'Adjust'!B292*'Input'!$B262*10</f>
        <v>0</v>
      </c>
      <c r="M127" s="21">
        <f>'Adjust'!C292*'Input'!$C262*10</f>
        <v>0</v>
      </c>
      <c r="N127" s="21">
        <f>'Adjust'!D292*'Input'!$D262*10</f>
        <v>0</v>
      </c>
      <c r="O127" s="40">
        <f>IF(E127&lt;&gt;0,$L127/E127,"")</f>
        <v>0</v>
      </c>
      <c r="P127" s="40">
        <f>IF(E127&lt;&gt;0,$M127/E127,"")</f>
        <v>0</v>
      </c>
      <c r="Q127" s="40">
        <f>IF(E127&lt;&gt;0,$N127/E127,"")</f>
        <v>0</v>
      </c>
      <c r="R127" s="40">
        <f>IF(D127&lt;&gt;0,$F127/D127,"")</f>
        <v>0</v>
      </c>
      <c r="S127" s="40">
        <f>IF(D127&lt;&gt;0,$G127/D127,"")</f>
        <v>0</v>
      </c>
      <c r="T127" s="40">
        <f>IF(D127&lt;&gt;0,$H127/D127,"")</f>
        <v>0</v>
      </c>
      <c r="U127" s="17"/>
    </row>
    <row r="128" spans="1:21">
      <c r="A128" s="29" t="s">
        <v>289</v>
      </c>
      <c r="U128" s="17"/>
    </row>
    <row r="129" spans="1:21">
      <c r="A129" s="4" t="s">
        <v>194</v>
      </c>
      <c r="B129" s="21">
        <f>'Input'!B264+'Input'!C264+'Input'!D264</f>
        <v>0</v>
      </c>
      <c r="C129" s="44">
        <f>'Input'!E264</f>
        <v>0</v>
      </c>
      <c r="D129" s="21">
        <f>0.01*'Input'!F$58*('Adjust'!$E294*'Input'!E264+'Adjust'!$F294*'Input'!F264)+10*('Adjust'!$B294*'Input'!B264+'Adjust'!$C294*'Input'!C264+'Adjust'!$D294*'Input'!D264+'Adjust'!$G294*'Input'!G264)</f>
        <v>0</v>
      </c>
      <c r="E129" s="21">
        <f>10*('Adjust'!$B294*'Input'!B264+'Adjust'!$C294*'Input'!C264+'Adjust'!$D294*'Input'!D264)</f>
        <v>0</v>
      </c>
      <c r="F129" s="21">
        <f>'Adjust'!E294*'Input'!$F$58*'Input'!$E264/100</f>
        <v>0</v>
      </c>
      <c r="G129" s="21">
        <f>'Adjust'!F294*'Input'!$F$58*'Input'!$F264/100</f>
        <v>0</v>
      </c>
      <c r="H129" s="21">
        <f>'Adjust'!G294*'Input'!$G264*10</f>
        <v>0</v>
      </c>
      <c r="I129" s="38">
        <f>IF(B129&lt;&gt;0,0.1*D129/B129,"")</f>
        <v>0</v>
      </c>
      <c r="J129" s="46">
        <f>IF(C129&lt;&gt;0,D129/C129,"")</f>
        <v>0</v>
      </c>
      <c r="K129" s="38">
        <f>IF(B129&lt;&gt;0,0.1*E129/B129,0)</f>
        <v>0</v>
      </c>
      <c r="L129" s="21">
        <f>'Adjust'!B294*'Input'!$B264*10</f>
        <v>0</v>
      </c>
      <c r="M129" s="21">
        <f>'Adjust'!C294*'Input'!$C264*10</f>
        <v>0</v>
      </c>
      <c r="N129" s="21">
        <f>'Adjust'!D294*'Input'!$D264*10</f>
        <v>0</v>
      </c>
      <c r="O129" s="40">
        <f>IF(E129&lt;&gt;0,$L129/E129,"")</f>
        <v>0</v>
      </c>
      <c r="P129" s="40">
        <f>IF(E129&lt;&gt;0,$M129/E129,"")</f>
        <v>0</v>
      </c>
      <c r="Q129" s="40">
        <f>IF(E129&lt;&gt;0,$N129/E129,"")</f>
        <v>0</v>
      </c>
      <c r="R129" s="40">
        <f>IF(D129&lt;&gt;0,$F129/D129,"")</f>
        <v>0</v>
      </c>
      <c r="S129" s="40">
        <f>IF(D129&lt;&gt;0,$G129/D129,"")</f>
        <v>0</v>
      </c>
      <c r="T129" s="40">
        <f>IF(D129&lt;&gt;0,$H129/D129,"")</f>
        <v>0</v>
      </c>
      <c r="U129" s="17"/>
    </row>
    <row r="130" spans="1:21">
      <c r="A130" s="4" t="s">
        <v>290</v>
      </c>
      <c r="B130" s="21">
        <f>'Input'!B265+'Input'!C265+'Input'!D265</f>
        <v>0</v>
      </c>
      <c r="C130" s="44">
        <f>'Input'!E265</f>
        <v>0</v>
      </c>
      <c r="D130" s="21">
        <f>0.01*'Input'!F$58*('Adjust'!$E295*'Input'!E265+'Adjust'!$F295*'Input'!F265)+10*('Adjust'!$B295*'Input'!B265+'Adjust'!$C295*'Input'!C265+'Adjust'!$D295*'Input'!D265+'Adjust'!$G295*'Input'!G265)</f>
        <v>0</v>
      </c>
      <c r="E130" s="21">
        <f>10*('Adjust'!$B295*'Input'!B265+'Adjust'!$C295*'Input'!C265+'Adjust'!$D295*'Input'!D265)</f>
        <v>0</v>
      </c>
      <c r="F130" s="21">
        <f>'Adjust'!E295*'Input'!$F$58*'Input'!$E265/100</f>
        <v>0</v>
      </c>
      <c r="G130" s="21">
        <f>'Adjust'!F295*'Input'!$F$58*'Input'!$F265/100</f>
        <v>0</v>
      </c>
      <c r="H130" s="21">
        <f>'Adjust'!G295*'Input'!$G265*10</f>
        <v>0</v>
      </c>
      <c r="I130" s="38">
        <f>IF(B130&lt;&gt;0,0.1*D130/B130,"")</f>
        <v>0</v>
      </c>
      <c r="J130" s="46">
        <f>IF(C130&lt;&gt;0,D130/C130,"")</f>
        <v>0</v>
      </c>
      <c r="K130" s="38">
        <f>IF(B130&lt;&gt;0,0.1*E130/B130,0)</f>
        <v>0</v>
      </c>
      <c r="L130" s="21">
        <f>'Adjust'!B295*'Input'!$B265*10</f>
        <v>0</v>
      </c>
      <c r="M130" s="21">
        <f>'Adjust'!C295*'Input'!$C265*10</f>
        <v>0</v>
      </c>
      <c r="N130" s="21">
        <f>'Adjust'!D295*'Input'!$D265*10</f>
        <v>0</v>
      </c>
      <c r="O130" s="40">
        <f>IF(E130&lt;&gt;0,$L130/E130,"")</f>
        <v>0</v>
      </c>
      <c r="P130" s="40">
        <f>IF(E130&lt;&gt;0,$M130/E130,"")</f>
        <v>0</v>
      </c>
      <c r="Q130" s="40">
        <f>IF(E130&lt;&gt;0,$N130/E130,"")</f>
        <v>0</v>
      </c>
      <c r="R130" s="40">
        <f>IF(D130&lt;&gt;0,$F130/D130,"")</f>
        <v>0</v>
      </c>
      <c r="S130" s="40">
        <f>IF(D130&lt;&gt;0,$G130/D130,"")</f>
        <v>0</v>
      </c>
      <c r="T130" s="40">
        <f>IF(D130&lt;&gt;0,$H130/D130,"")</f>
        <v>0</v>
      </c>
      <c r="U130" s="17"/>
    </row>
    <row r="131" spans="1:21">
      <c r="A131" s="29" t="s">
        <v>291</v>
      </c>
      <c r="U131" s="17"/>
    </row>
    <row r="132" spans="1:21">
      <c r="A132" s="4" t="s">
        <v>195</v>
      </c>
      <c r="B132" s="21">
        <f>'Input'!B267+'Input'!C267+'Input'!D267</f>
        <v>0</v>
      </c>
      <c r="C132" s="44">
        <f>'Input'!E267</f>
        <v>0</v>
      </c>
      <c r="D132" s="21">
        <f>0.01*'Input'!F$58*('Adjust'!$E297*'Input'!E267+'Adjust'!$F297*'Input'!F267)+10*('Adjust'!$B297*'Input'!B267+'Adjust'!$C297*'Input'!C267+'Adjust'!$D297*'Input'!D267+'Adjust'!$G297*'Input'!G267)</f>
        <v>0</v>
      </c>
      <c r="E132" s="21">
        <f>10*('Adjust'!$B297*'Input'!B267+'Adjust'!$C297*'Input'!C267+'Adjust'!$D297*'Input'!D267)</f>
        <v>0</v>
      </c>
      <c r="F132" s="21">
        <f>'Adjust'!E297*'Input'!$F$58*'Input'!$E267/100</f>
        <v>0</v>
      </c>
      <c r="G132" s="21">
        <f>'Adjust'!F297*'Input'!$F$58*'Input'!$F267/100</f>
        <v>0</v>
      </c>
      <c r="H132" s="21">
        <f>'Adjust'!G297*'Input'!$G267*10</f>
        <v>0</v>
      </c>
      <c r="I132" s="38">
        <f>IF(B132&lt;&gt;0,0.1*D132/B132,"")</f>
        <v>0</v>
      </c>
      <c r="J132" s="46">
        <f>IF(C132&lt;&gt;0,D132/C132,"")</f>
        <v>0</v>
      </c>
      <c r="K132" s="38">
        <f>IF(B132&lt;&gt;0,0.1*E132/B132,0)</f>
        <v>0</v>
      </c>
      <c r="L132" s="21">
        <f>'Adjust'!B297*'Input'!$B267*10</f>
        <v>0</v>
      </c>
      <c r="M132" s="21">
        <f>'Adjust'!C297*'Input'!$C267*10</f>
        <v>0</v>
      </c>
      <c r="N132" s="21">
        <f>'Adjust'!D297*'Input'!$D267*10</f>
        <v>0</v>
      </c>
      <c r="O132" s="40">
        <f>IF(E132&lt;&gt;0,$L132/E132,"")</f>
        <v>0</v>
      </c>
      <c r="P132" s="40">
        <f>IF(E132&lt;&gt;0,$M132/E132,"")</f>
        <v>0</v>
      </c>
      <c r="Q132" s="40">
        <f>IF(E132&lt;&gt;0,$N132/E132,"")</f>
        <v>0</v>
      </c>
      <c r="R132" s="40">
        <f>IF(D132&lt;&gt;0,$F132/D132,"")</f>
        <v>0</v>
      </c>
      <c r="S132" s="40">
        <f>IF(D132&lt;&gt;0,$G132/D132,"")</f>
        <v>0</v>
      </c>
      <c r="T132" s="40">
        <f>IF(D132&lt;&gt;0,$H132/D132,"")</f>
        <v>0</v>
      </c>
      <c r="U132" s="17"/>
    </row>
    <row r="133" spans="1:21">
      <c r="A133" s="4" t="s">
        <v>292</v>
      </c>
      <c r="B133" s="21">
        <f>'Input'!B268+'Input'!C268+'Input'!D268</f>
        <v>0</v>
      </c>
      <c r="C133" s="44">
        <f>'Input'!E268</f>
        <v>0</v>
      </c>
      <c r="D133" s="21">
        <f>0.01*'Input'!F$58*('Adjust'!$E298*'Input'!E268+'Adjust'!$F298*'Input'!F268)+10*('Adjust'!$B298*'Input'!B268+'Adjust'!$C298*'Input'!C268+'Adjust'!$D298*'Input'!D268+'Adjust'!$G298*'Input'!G268)</f>
        <v>0</v>
      </c>
      <c r="E133" s="21">
        <f>10*('Adjust'!$B298*'Input'!B268+'Adjust'!$C298*'Input'!C268+'Adjust'!$D298*'Input'!D268)</f>
        <v>0</v>
      </c>
      <c r="F133" s="21">
        <f>'Adjust'!E298*'Input'!$F$58*'Input'!$E268/100</f>
        <v>0</v>
      </c>
      <c r="G133" s="21">
        <f>'Adjust'!F298*'Input'!$F$58*'Input'!$F268/100</f>
        <v>0</v>
      </c>
      <c r="H133" s="21">
        <f>'Adjust'!G298*'Input'!$G268*10</f>
        <v>0</v>
      </c>
      <c r="I133" s="38">
        <f>IF(B133&lt;&gt;0,0.1*D133/B133,"")</f>
        <v>0</v>
      </c>
      <c r="J133" s="46">
        <f>IF(C133&lt;&gt;0,D133/C133,"")</f>
        <v>0</v>
      </c>
      <c r="K133" s="38">
        <f>IF(B133&lt;&gt;0,0.1*E133/B133,0)</f>
        <v>0</v>
      </c>
      <c r="L133" s="21">
        <f>'Adjust'!B298*'Input'!$B268*10</f>
        <v>0</v>
      </c>
      <c r="M133" s="21">
        <f>'Adjust'!C298*'Input'!$C268*10</f>
        <v>0</v>
      </c>
      <c r="N133" s="21">
        <f>'Adjust'!D298*'Input'!$D268*10</f>
        <v>0</v>
      </c>
      <c r="O133" s="40">
        <f>IF(E133&lt;&gt;0,$L133/E133,"")</f>
        <v>0</v>
      </c>
      <c r="P133" s="40">
        <f>IF(E133&lt;&gt;0,$M133/E133,"")</f>
        <v>0</v>
      </c>
      <c r="Q133" s="40">
        <f>IF(E133&lt;&gt;0,$N133/E133,"")</f>
        <v>0</v>
      </c>
      <c r="R133" s="40">
        <f>IF(D133&lt;&gt;0,$F133/D133,"")</f>
        <v>0</v>
      </c>
      <c r="S133" s="40">
        <f>IF(D133&lt;&gt;0,$G133/D133,"")</f>
        <v>0</v>
      </c>
      <c r="T133" s="40">
        <f>IF(D133&lt;&gt;0,$H133/D133,"")</f>
        <v>0</v>
      </c>
      <c r="U133" s="17"/>
    </row>
    <row r="135" spans="1:21" ht="21" customHeight="1">
      <c r="A135" s="1" t="s">
        <v>1618</v>
      </c>
    </row>
    <row r="136" spans="1:21">
      <c r="A136" s="2" t="s">
        <v>351</v>
      </c>
    </row>
    <row r="137" spans="1:21">
      <c r="A137" s="33" t="s">
        <v>1619</v>
      </c>
    </row>
    <row r="138" spans="1:21">
      <c r="A138" s="33" t="s">
        <v>1620</v>
      </c>
    </row>
    <row r="139" spans="1:21">
      <c r="A139" s="33" t="s">
        <v>1621</v>
      </c>
    </row>
    <row r="140" spans="1:21">
      <c r="A140" s="33" t="s">
        <v>1622</v>
      </c>
    </row>
    <row r="141" spans="1:21">
      <c r="A141" s="33" t="s">
        <v>1623</v>
      </c>
    </row>
    <row r="142" spans="1:21">
      <c r="A142" s="33" t="s">
        <v>1624</v>
      </c>
    </row>
    <row r="143" spans="1:21">
      <c r="A143" s="33" t="s">
        <v>1625</v>
      </c>
    </row>
    <row r="144" spans="1:21">
      <c r="A144" s="34" t="s">
        <v>354</v>
      </c>
      <c r="B144" s="34" t="s">
        <v>485</v>
      </c>
      <c r="C144" s="34" t="s">
        <v>485</v>
      </c>
      <c r="D144" s="34" t="s">
        <v>485</v>
      </c>
      <c r="E144" s="34" t="s">
        <v>485</v>
      </c>
      <c r="F144" s="34" t="s">
        <v>485</v>
      </c>
      <c r="G144" s="34" t="s">
        <v>485</v>
      </c>
      <c r="H144" s="34" t="s">
        <v>485</v>
      </c>
    </row>
    <row r="145" spans="1:9">
      <c r="A145" s="34" t="s">
        <v>357</v>
      </c>
      <c r="B145" s="34" t="s">
        <v>535</v>
      </c>
      <c r="C145" s="34" t="s">
        <v>536</v>
      </c>
      <c r="D145" s="34" t="s">
        <v>537</v>
      </c>
      <c r="E145" s="34" t="s">
        <v>538</v>
      </c>
      <c r="F145" s="34" t="s">
        <v>487</v>
      </c>
      <c r="G145" s="34" t="s">
        <v>539</v>
      </c>
      <c r="H145" s="34" t="s">
        <v>1626</v>
      </c>
    </row>
    <row r="147" spans="1:9">
      <c r="B147" s="15" t="s">
        <v>1627</v>
      </c>
      <c r="C147" s="15" t="s">
        <v>1628</v>
      </c>
      <c r="D147" s="15" t="s">
        <v>1519</v>
      </c>
      <c r="E147" s="15" t="s">
        <v>1629</v>
      </c>
      <c r="F147" s="15" t="s">
        <v>1630</v>
      </c>
      <c r="G147" s="15" t="s">
        <v>1631</v>
      </c>
      <c r="H147" s="15" t="s">
        <v>1632</v>
      </c>
    </row>
    <row r="148" spans="1:9">
      <c r="A148" s="4" t="s">
        <v>1633</v>
      </c>
      <c r="B148" s="21">
        <f>SUM(B$45:B$133)</f>
        <v>0</v>
      </c>
      <c r="C148" s="21">
        <f>SUM(C$45:C$133)</f>
        <v>0</v>
      </c>
      <c r="D148" s="21">
        <f>SUM(D$45:D$133)</f>
        <v>0</v>
      </c>
      <c r="E148" s="21">
        <f>SUM(E$45:E$133)</f>
        <v>0</v>
      </c>
      <c r="F148" s="21">
        <f>SUM($F$45:$F$133)</f>
        <v>0</v>
      </c>
      <c r="G148" s="21">
        <f>SUM($G$45:$G$133)</f>
        <v>0</v>
      </c>
      <c r="H148" s="21">
        <f>SUM($H$45:$H$133)</f>
        <v>0</v>
      </c>
      <c r="I148" s="17"/>
    </row>
  </sheetData>
  <sheetProtection sheet="1" objects="1" scenarios="1"/>
  <hyperlinks>
    <hyperlink ref="A6" location="'Input'!D57" display="x1 = 1010. Annuity proportion for customer-contributed assets (in Financial and general assumptions)"/>
    <hyperlink ref="A7" location="'Adjust'!C193" display="x2 = 3606. Total net revenues from scaler (£) (in Revenue forecast summary)"/>
    <hyperlink ref="A8" location="'Adjust'!F193" display="x3 = 3606. Deviation from target revenue (£) (in Revenue forecast summary)"/>
    <hyperlink ref="A9" location="'Revenue'!B54" display="x4 = 3402. Target CDCM revenue (£/year) (in Target CDCM revenue)"/>
    <hyperlink ref="A18" location="'Input'!B179" display="x1 = 1053. Rate 1 units (MWh) by tariff (in Volume forecasts for the charging year)"/>
    <hyperlink ref="A19" location="'Input'!C179" display="x2 = 1053. Rate 2 units (MWh) by tariff (in Volume forecasts for the charging year)"/>
    <hyperlink ref="A20" location="'Input'!D179" display="x3 = 1053. Rate 3 units (MWh) by tariff (in Volume forecasts for the charging year)"/>
    <hyperlink ref="A21" location="'Input'!E179" display="x4 = 1053. MPANs by tariff (in Volume forecasts for the charging year)"/>
    <hyperlink ref="A22" location="'Input'!F57" display="x5 = 1010. Days in the charging year (in Financial and general assumptions)"/>
    <hyperlink ref="A23" location="'Adjust'!E209" display="x6 = 3607. Fixed charge p/MPAN/day (in Tariffs)"/>
    <hyperlink ref="A24" location="'Adjust'!F209" display="x7 = 3607. Capacity charge p/kVA/day (in Tariffs)"/>
    <hyperlink ref="A25" location="'Input'!F179" display="x8 = 1053. Import capacity (kVA) by tariff (in Volume forecasts for the charging year)"/>
    <hyperlink ref="A26" location="'Adjust'!B209" display="x9 = 3607. Unit rate 1 p/kWh (in Tariffs)"/>
    <hyperlink ref="A27" location="'Adjust'!C209" display="x10 = 3607. Unit rate 2 p/kWh (in Tariffs)"/>
    <hyperlink ref="A28" location="'Adjust'!D209" display="x11 = 3607. Unit rate 3 p/kWh (in Tariffs)"/>
    <hyperlink ref="A29" location="'Adjust'!G209" display="x12 = 3607. Reactive power charge p/kVArh (in Tariffs)"/>
    <hyperlink ref="A30" location="'Input'!G179" display="x13 = 1053. Reactive power units (MVArh) by tariff (in Volume forecasts for the charging year)"/>
    <hyperlink ref="A31" location="'Summary'!B44" display="x14 = All units (MWh) (in Revenue summary)"/>
    <hyperlink ref="A32" location="'Summary'!D44" display="x15 = Net revenues (£) (in Revenue summary)"/>
    <hyperlink ref="A33" location="'Summary'!C44" display="x16 = MPANs (in Revenue summary)"/>
    <hyperlink ref="A34" location="'Summary'!E44" display="x17 = Revenues from unit rates (£) (in Revenue summary)"/>
    <hyperlink ref="A35" location="'Summary'!L44" display="x18 = Net revenues from unit rate 1 (£) (in Revenue summary)"/>
    <hyperlink ref="A36" location="'Summary'!M44" display="x19 = Net revenues from unit rate 2 (£) (in Revenue summary)"/>
    <hyperlink ref="A37" location="'Summary'!N44" display="x20 = Net revenues from unit rate 3 (£) (in Revenue summary)"/>
    <hyperlink ref="A38" location="'Summary'!F44" display="x21 = Revenues from fixed charges (£) (in Revenue summary)"/>
    <hyperlink ref="A39" location="'Summary'!G44" display="x22 = Revenues from capacity charges (£) (in Revenue summary)"/>
    <hyperlink ref="A40" location="'Summary'!H44" display="x23 = Revenues from reactive power charges (£) (in Revenue summary)"/>
    <hyperlink ref="A137" location="'Summary'!B44" display="x1 = 3802. All units (MWh) (in Revenue summary)"/>
    <hyperlink ref="A138" location="'Summary'!C44" display="x2 = 3802. MPANs (in Revenue summary)"/>
    <hyperlink ref="A139" location="'Summary'!D44" display="x3 = 3802. Net revenues (£) (in Revenue summary)"/>
    <hyperlink ref="A140" location="'Summary'!E44" display="x4 = 3802. Revenues from unit rates (£) (in Revenue summary)"/>
    <hyperlink ref="A141" location="'Summary'!F44" display="x5 = 3802. Revenues from fixed charges (£) (in Revenue summary)"/>
    <hyperlink ref="A142" location="'Summary'!G44" display="x6 = 3802. Revenues from capacity charges (£) (in Revenue summary)"/>
    <hyperlink ref="A143" location="'Summary'!H44" display="x7 = 3802. Revenues from reactive power charges (£) (in Revenue summary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7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0.7109375" customWidth="1"/>
    <col min="2" max="251" width="20.7109375" customWidth="1"/>
  </cols>
  <sheetData>
    <row r="1" spans="1:1" ht="21" customHeight="1">
      <c r="A1" s="1">
        <f>"Tariff matrices for "&amp;'Input'!B7&amp;" in "&amp;'Input'!C7&amp;" ("&amp;'Input'!D7&amp;")"</f>
        <v>0</v>
      </c>
    </row>
    <row r="2" spans="1:1">
      <c r="A2" s="2" t="s">
        <v>1656</v>
      </c>
    </row>
    <row r="3" spans="1:1">
      <c r="A3" s="2" t="s">
        <v>1552</v>
      </c>
    </row>
    <row r="4" spans="1:1">
      <c r="A4" s="33" t="s">
        <v>174</v>
      </c>
    </row>
    <row r="5" spans="1:1">
      <c r="A5" s="33" t="s">
        <v>175</v>
      </c>
    </row>
    <row r="6" spans="1:1">
      <c r="A6" s="33" t="s">
        <v>211</v>
      </c>
    </row>
    <row r="7" spans="1:1">
      <c r="A7" s="33" t="s">
        <v>176</v>
      </c>
    </row>
    <row r="8" spans="1:1">
      <c r="A8" s="33" t="s">
        <v>177</v>
      </c>
    </row>
    <row r="9" spans="1:1">
      <c r="A9" s="33" t="s">
        <v>212</v>
      </c>
    </row>
    <row r="10" spans="1:1">
      <c r="A10" s="33" t="s">
        <v>178</v>
      </c>
    </row>
    <row r="11" spans="1:1">
      <c r="A11" s="33" t="s">
        <v>179</v>
      </c>
    </row>
    <row r="12" spans="1:1">
      <c r="A12" s="33" t="s">
        <v>180</v>
      </c>
    </row>
    <row r="13" spans="1:1">
      <c r="A13" s="33" t="s">
        <v>181</v>
      </c>
    </row>
    <row r="14" spans="1:1">
      <c r="A14" s="33" t="s">
        <v>193</v>
      </c>
    </row>
    <row r="15" spans="1:1">
      <c r="A15" s="33" t="s">
        <v>213</v>
      </c>
    </row>
    <row r="16" spans="1:1">
      <c r="A16" s="33" t="s">
        <v>214</v>
      </c>
    </row>
    <row r="17" spans="1:5">
      <c r="A17" s="33" t="s">
        <v>215</v>
      </c>
    </row>
    <row r="18" spans="1:5">
      <c r="A18" s="33" t="s">
        <v>216</v>
      </c>
    </row>
    <row r="19" spans="1:5">
      <c r="A19" s="33" t="s">
        <v>217</v>
      </c>
    </row>
    <row r="20" spans="1:5">
      <c r="A20" s="33" t="s">
        <v>182</v>
      </c>
    </row>
    <row r="21" spans="1:5">
      <c r="A21" s="33" t="s">
        <v>183</v>
      </c>
    </row>
    <row r="22" spans="1:5">
      <c r="A22" s="33" t="s">
        <v>184</v>
      </c>
    </row>
    <row r="23" spans="1:5">
      <c r="A23" s="33" t="s">
        <v>185</v>
      </c>
    </row>
    <row r="24" spans="1:5">
      <c r="A24" s="33" t="s">
        <v>186</v>
      </c>
    </row>
    <row r="25" spans="1:5">
      <c r="A25" s="33" t="s">
        <v>187</v>
      </c>
    </row>
    <row r="26" spans="1:5">
      <c r="A26" s="33" t="s">
        <v>194</v>
      </c>
    </row>
    <row r="27" spans="1:5">
      <c r="A27" s="33" t="s">
        <v>195</v>
      </c>
    </row>
    <row r="30" spans="1:5" ht="21" customHeight="1">
      <c r="A30" s="1" t="s">
        <v>174</v>
      </c>
    </row>
    <row r="32" spans="1:5">
      <c r="B32" s="15" t="s">
        <v>222</v>
      </c>
      <c r="C32" s="15" t="s">
        <v>225</v>
      </c>
      <c r="D32" s="15" t="s">
        <v>1634</v>
      </c>
      <c r="E32" s="15" t="s">
        <v>1635</v>
      </c>
    </row>
    <row r="33" spans="1:7">
      <c r="A33" s="4" t="s">
        <v>174</v>
      </c>
      <c r="B33" s="44">
        <f>'Loads'!B$280</f>
        <v>0</v>
      </c>
      <c r="C33" s="44">
        <f>'Loads'!E$280</f>
        <v>0</v>
      </c>
      <c r="D33" s="44">
        <f>'Multi'!B$107</f>
        <v>0</v>
      </c>
      <c r="E33" s="38">
        <f>IF(C33,D33/C33,"")</f>
        <v>0</v>
      </c>
      <c r="F33" s="17"/>
    </row>
    <row r="35" spans="1:7">
      <c r="B35" s="15" t="s">
        <v>1466</v>
      </c>
      <c r="C35" s="15" t="s">
        <v>1469</v>
      </c>
      <c r="D35" s="15" t="s">
        <v>1636</v>
      </c>
      <c r="E35" s="15" t="s">
        <v>1606</v>
      </c>
      <c r="F35" s="15" t="s">
        <v>1637</v>
      </c>
    </row>
    <row r="36" spans="1:7">
      <c r="A36" s="4" t="s">
        <v>451</v>
      </c>
      <c r="B36" s="39">
        <f>'Standing'!$C$73</f>
        <v>0</v>
      </c>
      <c r="C36" s="47">
        <f>'AggCap'!$C$80</f>
        <v>0</v>
      </c>
      <c r="D36" s="21">
        <f>0.01*'Input'!$F$58*(C36*$C$33)+10*(B36*$B$33)</f>
        <v>0</v>
      </c>
      <c r="E36" s="38">
        <f>IF($D$33&lt;&gt;0,0.1*D36/$D$33,"")</f>
        <v>0</v>
      </c>
      <c r="F36" s="46">
        <f>IF($C$33&lt;&gt;0,D36/$C$33,"")</f>
        <v>0</v>
      </c>
      <c r="G36" s="17"/>
    </row>
    <row r="37" spans="1:7">
      <c r="A37" s="4" t="s">
        <v>452</v>
      </c>
      <c r="B37" s="39">
        <f>'Standing'!$D$73</f>
        <v>0</v>
      </c>
      <c r="C37" s="47">
        <f>'AggCap'!$D$80</f>
        <v>0</v>
      </c>
      <c r="D37" s="21">
        <f>0.01*'Input'!$F$58*(C37*$C$33)+10*(B37*$B$33)</f>
        <v>0</v>
      </c>
      <c r="E37" s="38">
        <f>IF($D$33&lt;&gt;0,0.1*D37/$D$33,"")</f>
        <v>0</v>
      </c>
      <c r="F37" s="46">
        <f>IF($C$33&lt;&gt;0,D37/$C$33,"")</f>
        <v>0</v>
      </c>
      <c r="G37" s="17"/>
    </row>
    <row r="38" spans="1:7">
      <c r="A38" s="4" t="s">
        <v>453</v>
      </c>
      <c r="B38" s="39">
        <f>'Standing'!$E$73</f>
        <v>0</v>
      </c>
      <c r="C38" s="47">
        <f>'AggCap'!$E$80</f>
        <v>0</v>
      </c>
      <c r="D38" s="21">
        <f>0.01*'Input'!$F$58*(C38*$C$33)+10*(B38*$B$33)</f>
        <v>0</v>
      </c>
      <c r="E38" s="38">
        <f>IF($D$33&lt;&gt;0,0.1*D38/$D$33,"")</f>
        <v>0</v>
      </c>
      <c r="F38" s="46">
        <f>IF($C$33&lt;&gt;0,D38/$C$33,"")</f>
        <v>0</v>
      </c>
      <c r="G38" s="17"/>
    </row>
    <row r="39" spans="1:7">
      <c r="A39" s="4" t="s">
        <v>454</v>
      </c>
      <c r="B39" s="39">
        <f>'Standing'!$F$73</f>
        <v>0</v>
      </c>
      <c r="C39" s="47">
        <f>'AggCap'!$F$80</f>
        <v>0</v>
      </c>
      <c r="D39" s="21">
        <f>0.01*'Input'!$F$58*(C39*$C$33)+10*(B39*$B$33)</f>
        <v>0</v>
      </c>
      <c r="E39" s="38">
        <f>IF($D$33&lt;&gt;0,0.1*D39/$D$33,"")</f>
        <v>0</v>
      </c>
      <c r="F39" s="46">
        <f>IF($C$33&lt;&gt;0,D39/$C$33,"")</f>
        <v>0</v>
      </c>
      <c r="G39" s="17"/>
    </row>
    <row r="40" spans="1:7">
      <c r="A40" s="4" t="s">
        <v>455</v>
      </c>
      <c r="B40" s="39">
        <f>'Standing'!$G$73</f>
        <v>0</v>
      </c>
      <c r="C40" s="47">
        <f>'AggCap'!$G$80</f>
        <v>0</v>
      </c>
      <c r="D40" s="21">
        <f>0.01*'Input'!$F$58*(C40*$C$33)+10*(B40*$B$33)</f>
        <v>0</v>
      </c>
      <c r="E40" s="38">
        <f>IF($D$33&lt;&gt;0,0.1*D40/$D$33,"")</f>
        <v>0</v>
      </c>
      <c r="F40" s="46">
        <f>IF($C$33&lt;&gt;0,D40/$C$33,"")</f>
        <v>0</v>
      </c>
      <c r="G40" s="17"/>
    </row>
    <row r="41" spans="1:7">
      <c r="A41" s="4" t="s">
        <v>456</v>
      </c>
      <c r="B41" s="39">
        <f>'Standing'!$H$73</f>
        <v>0</v>
      </c>
      <c r="C41" s="47">
        <f>'AggCap'!$H$80</f>
        <v>0</v>
      </c>
      <c r="D41" s="21">
        <f>0.01*'Input'!$F$58*(C41*$C$33)+10*(B41*$B$33)</f>
        <v>0</v>
      </c>
      <c r="E41" s="38">
        <f>IF($D$33&lt;&gt;0,0.1*D41/$D$33,"")</f>
        <v>0</v>
      </c>
      <c r="F41" s="46">
        <f>IF($C$33&lt;&gt;0,D41/$C$33,"")</f>
        <v>0</v>
      </c>
      <c r="G41" s="17"/>
    </row>
    <row r="42" spans="1:7">
      <c r="A42" s="4" t="s">
        <v>457</v>
      </c>
      <c r="B42" s="39">
        <f>'Standing'!$I$73</f>
        <v>0</v>
      </c>
      <c r="C42" s="47">
        <f>'AggCap'!$I$80</f>
        <v>0</v>
      </c>
      <c r="D42" s="21">
        <f>0.01*'Input'!$F$58*(C42*$C$33)+10*(B42*$B$33)</f>
        <v>0</v>
      </c>
      <c r="E42" s="38">
        <f>IF($D$33&lt;&gt;0,0.1*D42/$D$33,"")</f>
        <v>0</v>
      </c>
      <c r="F42" s="46">
        <f>IF($C$33&lt;&gt;0,D42/$C$33,"")</f>
        <v>0</v>
      </c>
      <c r="G42" s="17"/>
    </row>
    <row r="43" spans="1:7">
      <c r="A43" s="4" t="s">
        <v>458</v>
      </c>
      <c r="B43" s="39">
        <f>'Standing'!$J$73</f>
        <v>0</v>
      </c>
      <c r="C43" s="47">
        <f>'AggCap'!$J$80</f>
        <v>0</v>
      </c>
      <c r="D43" s="21">
        <f>0.01*'Input'!$F$58*(C43*$C$33)+10*(B43*$B$33)</f>
        <v>0</v>
      </c>
      <c r="E43" s="38">
        <f>IF($D$33&lt;&gt;0,0.1*D43/$D$33,"")</f>
        <v>0</v>
      </c>
      <c r="F43" s="46">
        <f>IF($C$33&lt;&gt;0,D43/$C$33,"")</f>
        <v>0</v>
      </c>
      <c r="G43" s="17"/>
    </row>
    <row r="44" spans="1:7">
      <c r="A44" s="4" t="s">
        <v>1638</v>
      </c>
      <c r="B44" s="10"/>
      <c r="C44" s="47">
        <f>'SM'!$B$100</f>
        <v>0</v>
      </c>
      <c r="D44" s="21">
        <f>0.01*'Input'!$F$58*(C44*$C$33)+10*(B44*$B$33)</f>
        <v>0</v>
      </c>
      <c r="E44" s="38">
        <f>IF($D$33&lt;&gt;0,0.1*D44/$D$33,"")</f>
        <v>0</v>
      </c>
      <c r="F44" s="46">
        <f>IF($C$33&lt;&gt;0,D44/$C$33,"")</f>
        <v>0</v>
      </c>
      <c r="G44" s="17"/>
    </row>
    <row r="45" spans="1:7">
      <c r="A45" s="4" t="s">
        <v>1639</v>
      </c>
      <c r="B45" s="10"/>
      <c r="C45" s="47">
        <f>'SM'!$C$100</f>
        <v>0</v>
      </c>
      <c r="D45" s="21">
        <f>0.01*'Input'!$F$58*(C45*$C$33)+10*(B45*$B$33)</f>
        <v>0</v>
      </c>
      <c r="E45" s="38">
        <f>IF($D$33&lt;&gt;0,0.1*D45/$D$33,"")</f>
        <v>0</v>
      </c>
      <c r="F45" s="46">
        <f>IF($C$33&lt;&gt;0,D45/$C$33,"")</f>
        <v>0</v>
      </c>
      <c r="G45" s="17"/>
    </row>
    <row r="46" spans="1:7">
      <c r="A46" s="4" t="s">
        <v>1640</v>
      </c>
      <c r="B46" s="39">
        <f>'Standing'!$K$73</f>
        <v>0</v>
      </c>
      <c r="C46" s="47">
        <f>'AggCap'!$K$80</f>
        <v>0</v>
      </c>
      <c r="D46" s="21">
        <f>0.01*'Input'!$F$58*(C46*$C$33)+10*(B46*$B$33)</f>
        <v>0</v>
      </c>
      <c r="E46" s="38">
        <f>IF($D$33&lt;&gt;0,0.1*D46/$D$33,"")</f>
        <v>0</v>
      </c>
      <c r="F46" s="46">
        <f>IF($C$33&lt;&gt;0,D46/$C$33,"")</f>
        <v>0</v>
      </c>
      <c r="G46" s="17"/>
    </row>
    <row r="47" spans="1:7">
      <c r="A47" s="4" t="s">
        <v>1641</v>
      </c>
      <c r="B47" s="39">
        <f>'Standing'!$L$73</f>
        <v>0</v>
      </c>
      <c r="C47" s="47">
        <f>'AggCap'!$L$80</f>
        <v>0</v>
      </c>
      <c r="D47" s="21">
        <f>0.01*'Input'!$F$58*(C47*$C$33)+10*(B47*$B$33)</f>
        <v>0</v>
      </c>
      <c r="E47" s="38">
        <f>IF($D$33&lt;&gt;0,0.1*D47/$D$33,"")</f>
        <v>0</v>
      </c>
      <c r="F47" s="46">
        <f>IF($C$33&lt;&gt;0,D47/$C$33,"")</f>
        <v>0</v>
      </c>
      <c r="G47" s="17"/>
    </row>
    <row r="48" spans="1:7">
      <c r="A48" s="4" t="s">
        <v>1642</v>
      </c>
      <c r="B48" s="39">
        <f>'Standing'!$M$73</f>
        <v>0</v>
      </c>
      <c r="C48" s="47">
        <f>'AggCap'!$M$80</f>
        <v>0</v>
      </c>
      <c r="D48" s="21">
        <f>0.01*'Input'!$F$58*(C48*$C$33)+10*(B48*$B$33)</f>
        <v>0</v>
      </c>
      <c r="E48" s="38">
        <f>IF($D$33&lt;&gt;0,0.1*D48/$D$33,"")</f>
        <v>0</v>
      </c>
      <c r="F48" s="46">
        <f>IF($C$33&lt;&gt;0,D48/$C$33,"")</f>
        <v>0</v>
      </c>
      <c r="G48" s="17"/>
    </row>
    <row r="49" spans="1:7">
      <c r="A49" s="4" t="s">
        <v>1643</v>
      </c>
      <c r="B49" s="39">
        <f>'Standing'!$N$73</f>
        <v>0</v>
      </c>
      <c r="C49" s="47">
        <f>'AggCap'!$N$80</f>
        <v>0</v>
      </c>
      <c r="D49" s="21">
        <f>0.01*'Input'!$F$58*(C49*$C$33)+10*(B49*$B$33)</f>
        <v>0</v>
      </c>
      <c r="E49" s="38">
        <f>IF($D$33&lt;&gt;0,0.1*D49/$D$33,"")</f>
        <v>0</v>
      </c>
      <c r="F49" s="46">
        <f>IF($C$33&lt;&gt;0,D49/$C$33,"")</f>
        <v>0</v>
      </c>
      <c r="G49" s="17"/>
    </row>
    <row r="50" spans="1:7">
      <c r="A50" s="4" t="s">
        <v>1644</v>
      </c>
      <c r="B50" s="39">
        <f>'Standing'!$O$73</f>
        <v>0</v>
      </c>
      <c r="C50" s="47">
        <f>'AggCap'!$O$80</f>
        <v>0</v>
      </c>
      <c r="D50" s="21">
        <f>0.01*'Input'!$F$58*(C50*$C$33)+10*(B50*$B$33)</f>
        <v>0</v>
      </c>
      <c r="E50" s="38">
        <f>IF($D$33&lt;&gt;0,0.1*D50/$D$33,"")</f>
        <v>0</v>
      </c>
      <c r="F50" s="46">
        <f>IF($C$33&lt;&gt;0,D50/$C$33,"")</f>
        <v>0</v>
      </c>
      <c r="G50" s="17"/>
    </row>
    <row r="51" spans="1:7">
      <c r="A51" s="4" t="s">
        <v>1645</v>
      </c>
      <c r="B51" s="39">
        <f>'Standing'!$P$73</f>
        <v>0</v>
      </c>
      <c r="C51" s="47">
        <f>'AggCap'!$P$80</f>
        <v>0</v>
      </c>
      <c r="D51" s="21">
        <f>0.01*'Input'!$F$58*(C51*$C$33)+10*(B51*$B$33)</f>
        <v>0</v>
      </c>
      <c r="E51" s="38">
        <f>IF($D$33&lt;&gt;0,0.1*D51/$D$33,"")</f>
        <v>0</v>
      </c>
      <c r="F51" s="46">
        <f>IF($C$33&lt;&gt;0,D51/$C$33,"")</f>
        <v>0</v>
      </c>
      <c r="G51" s="17"/>
    </row>
    <row r="52" spans="1:7">
      <c r="A52" s="4" t="s">
        <v>1646</v>
      </c>
      <c r="B52" s="39">
        <f>'Standing'!$Q$73</f>
        <v>0</v>
      </c>
      <c r="C52" s="47">
        <f>'AggCap'!$Q$80</f>
        <v>0</v>
      </c>
      <c r="D52" s="21">
        <f>0.01*'Input'!$F$58*(C52*$C$33)+10*(B52*$B$33)</f>
        <v>0</v>
      </c>
      <c r="E52" s="38">
        <f>IF($D$33&lt;&gt;0,0.1*D52/$D$33,"")</f>
        <v>0</v>
      </c>
      <c r="F52" s="46">
        <f>IF($C$33&lt;&gt;0,D52/$C$33,"")</f>
        <v>0</v>
      </c>
      <c r="G52" s="17"/>
    </row>
    <row r="53" spans="1:7">
      <c r="A53" s="4" t="s">
        <v>1647</v>
      </c>
      <c r="B53" s="39">
        <f>'Standing'!$R$73</f>
        <v>0</v>
      </c>
      <c r="C53" s="47">
        <f>'AggCap'!$R$80</f>
        <v>0</v>
      </c>
      <c r="D53" s="21">
        <f>0.01*'Input'!$F$58*(C53*$C$33)+10*(B53*$B$33)</f>
        <v>0</v>
      </c>
      <c r="E53" s="38">
        <f>IF($D$33&lt;&gt;0,0.1*D53/$D$33,"")</f>
        <v>0</v>
      </c>
      <c r="F53" s="46">
        <f>IF($C$33&lt;&gt;0,D53/$C$33,"")</f>
        <v>0</v>
      </c>
      <c r="G53" s="17"/>
    </row>
    <row r="54" spans="1:7">
      <c r="A54" s="4" t="s">
        <v>1648</v>
      </c>
      <c r="B54" s="39">
        <f>'Standing'!$S$73</f>
        <v>0</v>
      </c>
      <c r="C54" s="47">
        <f>'AggCap'!$S$80</f>
        <v>0</v>
      </c>
      <c r="D54" s="21">
        <f>0.01*'Input'!$F$58*(C54*$C$33)+10*(B54*$B$33)</f>
        <v>0</v>
      </c>
      <c r="E54" s="38">
        <f>IF($D$33&lt;&gt;0,0.1*D54/$D$33,"")</f>
        <v>0</v>
      </c>
      <c r="F54" s="46">
        <f>IF($C$33&lt;&gt;0,D54/$C$33,"")</f>
        <v>0</v>
      </c>
      <c r="G54" s="17"/>
    </row>
    <row r="55" spans="1:7">
      <c r="A55" s="4" t="s">
        <v>1649</v>
      </c>
      <c r="B55" s="10"/>
      <c r="C55" s="47">
        <f>'Otex'!$B$121</f>
        <v>0</v>
      </c>
      <c r="D55" s="21">
        <f>0.01*'Input'!$F$58*(C55*$C$33)+10*(B55*$B$33)</f>
        <v>0</v>
      </c>
      <c r="E55" s="38">
        <f>IF($D$33&lt;&gt;0,0.1*D55/$D$33,"")</f>
        <v>0</v>
      </c>
      <c r="F55" s="46">
        <f>IF($C$33&lt;&gt;0,D55/$C$33,"")</f>
        <v>0</v>
      </c>
      <c r="G55" s="17"/>
    </row>
    <row r="56" spans="1:7">
      <c r="A56" s="4" t="s">
        <v>1650</v>
      </c>
      <c r="B56" s="10"/>
      <c r="C56" s="47">
        <f>'Otex'!$C$121</f>
        <v>0</v>
      </c>
      <c r="D56" s="21">
        <f>0.01*'Input'!$F$58*(C56*$C$33)+10*(B56*$B$33)</f>
        <v>0</v>
      </c>
      <c r="E56" s="38">
        <f>IF($D$33&lt;&gt;0,0.1*D56/$D$33,"")</f>
        <v>0</v>
      </c>
      <c r="F56" s="46">
        <f>IF($C$33&lt;&gt;0,D56/$C$33,"")</f>
        <v>0</v>
      </c>
      <c r="G56" s="17"/>
    </row>
    <row r="57" spans="1:7">
      <c r="A57" s="4" t="s">
        <v>1651</v>
      </c>
      <c r="B57" s="39">
        <f>'Scaler'!$B$389</f>
        <v>0</v>
      </c>
      <c r="C57" s="47">
        <f>'Scaler'!$E$389</f>
        <v>0</v>
      </c>
      <c r="D57" s="21">
        <f>0.01*'Input'!$F$58*(C57*$C$33)+10*(B57*$B$33)</f>
        <v>0</v>
      </c>
      <c r="E57" s="38">
        <f>IF($D$33&lt;&gt;0,0.1*D57/$D$33,"")</f>
        <v>0</v>
      </c>
      <c r="F57" s="46">
        <f>IF($C$33&lt;&gt;0,D57/$C$33,"")</f>
        <v>0</v>
      </c>
      <c r="G57" s="17"/>
    </row>
    <row r="58" spans="1:7">
      <c r="A58" s="4" t="s">
        <v>1652</v>
      </c>
      <c r="B58" s="39">
        <f>'Adjust'!$B$69</f>
        <v>0</v>
      </c>
      <c r="C58" s="47">
        <f>'Adjust'!$E$69</f>
        <v>0</v>
      </c>
      <c r="D58" s="21">
        <f>0.01*'Input'!$F$58*(C58*$C$33)+10*(B58*$B$33)</f>
        <v>0</v>
      </c>
      <c r="E58" s="38">
        <f>IF($D$33&lt;&gt;0,0.1*D58/$D$33,"")</f>
        <v>0</v>
      </c>
      <c r="F58" s="46">
        <f>IF($C$33&lt;&gt;0,D58/$C$33,"")</f>
        <v>0</v>
      </c>
      <c r="G58" s="17"/>
    </row>
    <row r="60" spans="1:7">
      <c r="A60" s="4" t="s">
        <v>1653</v>
      </c>
      <c r="B60" s="38">
        <f>SUM($B$36:$B$58)</f>
        <v>0</v>
      </c>
      <c r="C60" s="46">
        <f>SUM($C$36:$C$58)</f>
        <v>0</v>
      </c>
      <c r="D60" s="21">
        <f>SUM($D$36:$D$58)</f>
        <v>0</v>
      </c>
      <c r="E60" s="38">
        <f>SUM($E$36:$E$58)</f>
        <v>0</v>
      </c>
      <c r="F60" s="46">
        <f>SUM($F$36:$F$58)</f>
        <v>0</v>
      </c>
    </row>
    <row r="62" spans="1:7" ht="21" customHeight="1">
      <c r="A62" s="1" t="s">
        <v>175</v>
      </c>
    </row>
    <row r="64" spans="1:7">
      <c r="B64" s="15" t="s">
        <v>222</v>
      </c>
      <c r="C64" s="15" t="s">
        <v>223</v>
      </c>
      <c r="D64" s="15" t="s">
        <v>225</v>
      </c>
      <c r="E64" s="15" t="s">
        <v>1634</v>
      </c>
      <c r="F64" s="15" t="s">
        <v>1635</v>
      </c>
    </row>
    <row r="65" spans="1:9">
      <c r="A65" s="4" t="s">
        <v>175</v>
      </c>
      <c r="B65" s="44">
        <f>'Loads'!B$281</f>
        <v>0</v>
      </c>
      <c r="C65" s="44">
        <f>'Loads'!C$281</f>
        <v>0</v>
      </c>
      <c r="D65" s="44">
        <f>'Loads'!E$281</f>
        <v>0</v>
      </c>
      <c r="E65" s="44">
        <f>'Multi'!B$108</f>
        <v>0</v>
      </c>
      <c r="F65" s="38">
        <f>IF(D65,E65/D65,"")</f>
        <v>0</v>
      </c>
      <c r="G65" s="17"/>
    </row>
    <row r="67" spans="1:9">
      <c r="B67" s="15" t="s">
        <v>1466</v>
      </c>
      <c r="C67" s="15" t="s">
        <v>1467</v>
      </c>
      <c r="D67" s="15" t="s">
        <v>1469</v>
      </c>
      <c r="E67" s="15" t="s">
        <v>1654</v>
      </c>
      <c r="F67" s="15" t="s">
        <v>1636</v>
      </c>
      <c r="G67" s="15" t="s">
        <v>1606</v>
      </c>
      <c r="H67" s="15" t="s">
        <v>1637</v>
      </c>
    </row>
    <row r="68" spans="1:9">
      <c r="A68" s="4" t="s">
        <v>451</v>
      </c>
      <c r="B68" s="39">
        <f>'Standing'!$C$74</f>
        <v>0</v>
      </c>
      <c r="C68" s="39">
        <f>'Standing'!$C$97</f>
        <v>0</v>
      </c>
      <c r="D68" s="47">
        <f>'AggCap'!$C$81</f>
        <v>0</v>
      </c>
      <c r="E68" s="38">
        <f>IF(E$65&lt;&gt;0,(($B68*B$65+$C68*C$65))/E$65,0)</f>
        <v>0</v>
      </c>
      <c r="F68" s="21">
        <f>0.01*'Input'!$F$58*(D68*$D$65)+10*(B68*$B$65+C68*$C$65)</f>
        <v>0</v>
      </c>
      <c r="G68" s="38">
        <f>IF($E$65&lt;&gt;0,0.1*F68/$E$65,"")</f>
        <v>0</v>
      </c>
      <c r="H68" s="46">
        <f>IF($D$65&lt;&gt;0,F68/$D$65,"")</f>
        <v>0</v>
      </c>
      <c r="I68" s="17"/>
    </row>
    <row r="69" spans="1:9">
      <c r="A69" s="4" t="s">
        <v>452</v>
      </c>
      <c r="B69" s="39">
        <f>'Standing'!$D$74</f>
        <v>0</v>
      </c>
      <c r="C69" s="39">
        <f>'Standing'!$D$97</f>
        <v>0</v>
      </c>
      <c r="D69" s="47">
        <f>'AggCap'!$D$81</f>
        <v>0</v>
      </c>
      <c r="E69" s="38">
        <f>IF(E$65&lt;&gt;0,(($B69*B$65+$C69*C$65))/E$65,0)</f>
        <v>0</v>
      </c>
      <c r="F69" s="21">
        <f>0.01*'Input'!$F$58*(D69*$D$65)+10*(B69*$B$65+C69*$C$65)</f>
        <v>0</v>
      </c>
      <c r="G69" s="38">
        <f>IF($E$65&lt;&gt;0,0.1*F69/$E$65,"")</f>
        <v>0</v>
      </c>
      <c r="H69" s="46">
        <f>IF($D$65&lt;&gt;0,F69/$D$65,"")</f>
        <v>0</v>
      </c>
      <c r="I69" s="17"/>
    </row>
    <row r="70" spans="1:9">
      <c r="A70" s="4" t="s">
        <v>453</v>
      </c>
      <c r="B70" s="39">
        <f>'Standing'!$E$74</f>
        <v>0</v>
      </c>
      <c r="C70" s="39">
        <f>'Standing'!$E$97</f>
        <v>0</v>
      </c>
      <c r="D70" s="47">
        <f>'AggCap'!$E$81</f>
        <v>0</v>
      </c>
      <c r="E70" s="38">
        <f>IF(E$65&lt;&gt;0,(($B70*B$65+$C70*C$65))/E$65,0)</f>
        <v>0</v>
      </c>
      <c r="F70" s="21">
        <f>0.01*'Input'!$F$58*(D70*$D$65)+10*(B70*$B$65+C70*$C$65)</f>
        <v>0</v>
      </c>
      <c r="G70" s="38">
        <f>IF($E$65&lt;&gt;0,0.1*F70/$E$65,"")</f>
        <v>0</v>
      </c>
      <c r="H70" s="46">
        <f>IF($D$65&lt;&gt;0,F70/$D$65,"")</f>
        <v>0</v>
      </c>
      <c r="I70" s="17"/>
    </row>
    <row r="71" spans="1:9">
      <c r="A71" s="4" t="s">
        <v>454</v>
      </c>
      <c r="B71" s="39">
        <f>'Standing'!$F$74</f>
        <v>0</v>
      </c>
      <c r="C71" s="39">
        <f>'Standing'!$F$97</f>
        <v>0</v>
      </c>
      <c r="D71" s="47">
        <f>'AggCap'!$F$81</f>
        <v>0</v>
      </c>
      <c r="E71" s="38">
        <f>IF(E$65&lt;&gt;0,(($B71*B$65+$C71*C$65))/E$65,0)</f>
        <v>0</v>
      </c>
      <c r="F71" s="21">
        <f>0.01*'Input'!$F$58*(D71*$D$65)+10*(B71*$B$65+C71*$C$65)</f>
        <v>0</v>
      </c>
      <c r="G71" s="38">
        <f>IF($E$65&lt;&gt;0,0.1*F71/$E$65,"")</f>
        <v>0</v>
      </c>
      <c r="H71" s="46">
        <f>IF($D$65&lt;&gt;0,F71/$D$65,"")</f>
        <v>0</v>
      </c>
      <c r="I71" s="17"/>
    </row>
    <row r="72" spans="1:9">
      <c r="A72" s="4" t="s">
        <v>455</v>
      </c>
      <c r="B72" s="39">
        <f>'Standing'!$G$74</f>
        <v>0</v>
      </c>
      <c r="C72" s="39">
        <f>'Standing'!$G$97</f>
        <v>0</v>
      </c>
      <c r="D72" s="47">
        <f>'AggCap'!$G$81</f>
        <v>0</v>
      </c>
      <c r="E72" s="38">
        <f>IF(E$65&lt;&gt;0,(($B72*B$65+$C72*C$65))/E$65,0)</f>
        <v>0</v>
      </c>
      <c r="F72" s="21">
        <f>0.01*'Input'!$F$58*(D72*$D$65)+10*(B72*$B$65+C72*$C$65)</f>
        <v>0</v>
      </c>
      <c r="G72" s="38">
        <f>IF($E$65&lt;&gt;0,0.1*F72/$E$65,"")</f>
        <v>0</v>
      </c>
      <c r="H72" s="46">
        <f>IF($D$65&lt;&gt;0,F72/$D$65,"")</f>
        <v>0</v>
      </c>
      <c r="I72" s="17"/>
    </row>
    <row r="73" spans="1:9">
      <c r="A73" s="4" t="s">
        <v>456</v>
      </c>
      <c r="B73" s="39">
        <f>'Standing'!$H$74</f>
        <v>0</v>
      </c>
      <c r="C73" s="39">
        <f>'Standing'!$H$97</f>
        <v>0</v>
      </c>
      <c r="D73" s="47">
        <f>'AggCap'!$H$81</f>
        <v>0</v>
      </c>
      <c r="E73" s="38">
        <f>IF(E$65&lt;&gt;0,(($B73*B$65+$C73*C$65))/E$65,0)</f>
        <v>0</v>
      </c>
      <c r="F73" s="21">
        <f>0.01*'Input'!$F$58*(D73*$D$65)+10*(B73*$B$65+C73*$C$65)</f>
        <v>0</v>
      </c>
      <c r="G73" s="38">
        <f>IF($E$65&lt;&gt;0,0.1*F73/$E$65,"")</f>
        <v>0</v>
      </c>
      <c r="H73" s="46">
        <f>IF($D$65&lt;&gt;0,F73/$D$65,"")</f>
        <v>0</v>
      </c>
      <c r="I73" s="17"/>
    </row>
    <row r="74" spans="1:9">
      <c r="A74" s="4" t="s">
        <v>457</v>
      </c>
      <c r="B74" s="39">
        <f>'Standing'!$I$74</f>
        <v>0</v>
      </c>
      <c r="C74" s="39">
        <f>'Standing'!$I$97</f>
        <v>0</v>
      </c>
      <c r="D74" s="47">
        <f>'AggCap'!$I$81</f>
        <v>0</v>
      </c>
      <c r="E74" s="38">
        <f>IF(E$65&lt;&gt;0,(($B74*B$65+$C74*C$65))/E$65,0)</f>
        <v>0</v>
      </c>
      <c r="F74" s="21">
        <f>0.01*'Input'!$F$58*(D74*$D$65)+10*(B74*$B$65+C74*$C$65)</f>
        <v>0</v>
      </c>
      <c r="G74" s="38">
        <f>IF($E$65&lt;&gt;0,0.1*F74/$E$65,"")</f>
        <v>0</v>
      </c>
      <c r="H74" s="46">
        <f>IF($D$65&lt;&gt;0,F74/$D$65,"")</f>
        <v>0</v>
      </c>
      <c r="I74" s="17"/>
    </row>
    <row r="75" spans="1:9">
      <c r="A75" s="4" t="s">
        <v>458</v>
      </c>
      <c r="B75" s="39">
        <f>'Standing'!$J$74</f>
        <v>0</v>
      </c>
      <c r="C75" s="39">
        <f>'Standing'!$J$97</f>
        <v>0</v>
      </c>
      <c r="D75" s="47">
        <f>'AggCap'!$J$81</f>
        <v>0</v>
      </c>
      <c r="E75" s="38">
        <f>IF(E$65&lt;&gt;0,(($B75*B$65+$C75*C$65))/E$65,0)</f>
        <v>0</v>
      </c>
      <c r="F75" s="21">
        <f>0.01*'Input'!$F$58*(D75*$D$65)+10*(B75*$B$65+C75*$C$65)</f>
        <v>0</v>
      </c>
      <c r="G75" s="38">
        <f>IF($E$65&lt;&gt;0,0.1*F75/$E$65,"")</f>
        <v>0</v>
      </c>
      <c r="H75" s="46">
        <f>IF($D$65&lt;&gt;0,F75/$D$65,"")</f>
        <v>0</v>
      </c>
      <c r="I75" s="17"/>
    </row>
    <row r="76" spans="1:9">
      <c r="A76" s="4" t="s">
        <v>1638</v>
      </c>
      <c r="B76" s="10"/>
      <c r="C76" s="10"/>
      <c r="D76" s="47">
        <f>'SM'!$B$101</f>
        <v>0</v>
      </c>
      <c r="E76" s="38">
        <f>IF(E$65&lt;&gt;0,(($B76*B$65+$C76*C$65))/E$65,0)</f>
        <v>0</v>
      </c>
      <c r="F76" s="21">
        <f>0.01*'Input'!$F$58*(D76*$D$65)+10*(B76*$B$65+C76*$C$65)</f>
        <v>0</v>
      </c>
      <c r="G76" s="38">
        <f>IF($E$65&lt;&gt;0,0.1*F76/$E$65,"")</f>
        <v>0</v>
      </c>
      <c r="H76" s="46">
        <f>IF($D$65&lt;&gt;0,F76/$D$65,"")</f>
        <v>0</v>
      </c>
      <c r="I76" s="17"/>
    </row>
    <row r="77" spans="1:9">
      <c r="A77" s="4" t="s">
        <v>1639</v>
      </c>
      <c r="B77" s="10"/>
      <c r="C77" s="10"/>
      <c r="D77" s="47">
        <f>'SM'!$C$101</f>
        <v>0</v>
      </c>
      <c r="E77" s="38">
        <f>IF(E$65&lt;&gt;0,(($B77*B$65+$C77*C$65))/E$65,0)</f>
        <v>0</v>
      </c>
      <c r="F77" s="21">
        <f>0.01*'Input'!$F$58*(D77*$D$65)+10*(B77*$B$65+C77*$C$65)</f>
        <v>0</v>
      </c>
      <c r="G77" s="38">
        <f>IF($E$65&lt;&gt;0,0.1*F77/$E$65,"")</f>
        <v>0</v>
      </c>
      <c r="H77" s="46">
        <f>IF($D$65&lt;&gt;0,F77/$D$65,"")</f>
        <v>0</v>
      </c>
      <c r="I77" s="17"/>
    </row>
    <row r="78" spans="1:9">
      <c r="A78" s="4" t="s">
        <v>1640</v>
      </c>
      <c r="B78" s="39">
        <f>'Standing'!$K$74</f>
        <v>0</v>
      </c>
      <c r="C78" s="39">
        <f>'Standing'!$K$97</f>
        <v>0</v>
      </c>
      <c r="D78" s="47">
        <f>'AggCap'!$K$81</f>
        <v>0</v>
      </c>
      <c r="E78" s="38">
        <f>IF(E$65&lt;&gt;0,(($B78*B$65+$C78*C$65))/E$65,0)</f>
        <v>0</v>
      </c>
      <c r="F78" s="21">
        <f>0.01*'Input'!$F$58*(D78*$D$65)+10*(B78*$B$65+C78*$C$65)</f>
        <v>0</v>
      </c>
      <c r="G78" s="38">
        <f>IF($E$65&lt;&gt;0,0.1*F78/$E$65,"")</f>
        <v>0</v>
      </c>
      <c r="H78" s="46">
        <f>IF($D$65&lt;&gt;0,F78/$D$65,"")</f>
        <v>0</v>
      </c>
      <c r="I78" s="17"/>
    </row>
    <row r="79" spans="1:9">
      <c r="A79" s="4" t="s">
        <v>1641</v>
      </c>
      <c r="B79" s="39">
        <f>'Standing'!$L$74</f>
        <v>0</v>
      </c>
      <c r="C79" s="39">
        <f>'Standing'!$L$97</f>
        <v>0</v>
      </c>
      <c r="D79" s="47">
        <f>'AggCap'!$L$81</f>
        <v>0</v>
      </c>
      <c r="E79" s="38">
        <f>IF(E$65&lt;&gt;0,(($B79*B$65+$C79*C$65))/E$65,0)</f>
        <v>0</v>
      </c>
      <c r="F79" s="21">
        <f>0.01*'Input'!$F$58*(D79*$D$65)+10*(B79*$B$65+C79*$C$65)</f>
        <v>0</v>
      </c>
      <c r="G79" s="38">
        <f>IF($E$65&lt;&gt;0,0.1*F79/$E$65,"")</f>
        <v>0</v>
      </c>
      <c r="H79" s="46">
        <f>IF($D$65&lt;&gt;0,F79/$D$65,"")</f>
        <v>0</v>
      </c>
      <c r="I79" s="17"/>
    </row>
    <row r="80" spans="1:9">
      <c r="A80" s="4" t="s">
        <v>1642</v>
      </c>
      <c r="B80" s="39">
        <f>'Standing'!$M$74</f>
        <v>0</v>
      </c>
      <c r="C80" s="39">
        <f>'Standing'!$M$97</f>
        <v>0</v>
      </c>
      <c r="D80" s="47">
        <f>'AggCap'!$M$81</f>
        <v>0</v>
      </c>
      <c r="E80" s="38">
        <f>IF(E$65&lt;&gt;0,(($B80*B$65+$C80*C$65))/E$65,0)</f>
        <v>0</v>
      </c>
      <c r="F80" s="21">
        <f>0.01*'Input'!$F$58*(D80*$D$65)+10*(B80*$B$65+C80*$C$65)</f>
        <v>0</v>
      </c>
      <c r="G80" s="38">
        <f>IF($E$65&lt;&gt;0,0.1*F80/$E$65,"")</f>
        <v>0</v>
      </c>
      <c r="H80" s="46">
        <f>IF($D$65&lt;&gt;0,F80/$D$65,"")</f>
        <v>0</v>
      </c>
      <c r="I80" s="17"/>
    </row>
    <row r="81" spans="1:9">
      <c r="A81" s="4" t="s">
        <v>1643</v>
      </c>
      <c r="B81" s="39">
        <f>'Standing'!$N$74</f>
        <v>0</v>
      </c>
      <c r="C81" s="39">
        <f>'Standing'!$N$97</f>
        <v>0</v>
      </c>
      <c r="D81" s="47">
        <f>'AggCap'!$N$81</f>
        <v>0</v>
      </c>
      <c r="E81" s="38">
        <f>IF(E$65&lt;&gt;0,(($B81*B$65+$C81*C$65))/E$65,0)</f>
        <v>0</v>
      </c>
      <c r="F81" s="21">
        <f>0.01*'Input'!$F$58*(D81*$D$65)+10*(B81*$B$65+C81*$C$65)</f>
        <v>0</v>
      </c>
      <c r="G81" s="38">
        <f>IF($E$65&lt;&gt;0,0.1*F81/$E$65,"")</f>
        <v>0</v>
      </c>
      <c r="H81" s="46">
        <f>IF($D$65&lt;&gt;0,F81/$D$65,"")</f>
        <v>0</v>
      </c>
      <c r="I81" s="17"/>
    </row>
    <row r="82" spans="1:9">
      <c r="A82" s="4" t="s">
        <v>1644</v>
      </c>
      <c r="B82" s="39">
        <f>'Standing'!$O$74</f>
        <v>0</v>
      </c>
      <c r="C82" s="39">
        <f>'Standing'!$O$97</f>
        <v>0</v>
      </c>
      <c r="D82" s="47">
        <f>'AggCap'!$O$81</f>
        <v>0</v>
      </c>
      <c r="E82" s="38">
        <f>IF(E$65&lt;&gt;0,(($B82*B$65+$C82*C$65))/E$65,0)</f>
        <v>0</v>
      </c>
      <c r="F82" s="21">
        <f>0.01*'Input'!$F$58*(D82*$D$65)+10*(B82*$B$65+C82*$C$65)</f>
        <v>0</v>
      </c>
      <c r="G82" s="38">
        <f>IF($E$65&lt;&gt;0,0.1*F82/$E$65,"")</f>
        <v>0</v>
      </c>
      <c r="H82" s="46">
        <f>IF($D$65&lt;&gt;0,F82/$D$65,"")</f>
        <v>0</v>
      </c>
      <c r="I82" s="17"/>
    </row>
    <row r="83" spans="1:9">
      <c r="A83" s="4" t="s">
        <v>1645</v>
      </c>
      <c r="B83" s="39">
        <f>'Standing'!$P$74</f>
        <v>0</v>
      </c>
      <c r="C83" s="39">
        <f>'Standing'!$P$97</f>
        <v>0</v>
      </c>
      <c r="D83" s="47">
        <f>'AggCap'!$P$81</f>
        <v>0</v>
      </c>
      <c r="E83" s="38">
        <f>IF(E$65&lt;&gt;0,(($B83*B$65+$C83*C$65))/E$65,0)</f>
        <v>0</v>
      </c>
      <c r="F83" s="21">
        <f>0.01*'Input'!$F$58*(D83*$D$65)+10*(B83*$B$65+C83*$C$65)</f>
        <v>0</v>
      </c>
      <c r="G83" s="38">
        <f>IF($E$65&lt;&gt;0,0.1*F83/$E$65,"")</f>
        <v>0</v>
      </c>
      <c r="H83" s="46">
        <f>IF($D$65&lt;&gt;0,F83/$D$65,"")</f>
        <v>0</v>
      </c>
      <c r="I83" s="17"/>
    </row>
    <row r="84" spans="1:9">
      <c r="A84" s="4" t="s">
        <v>1646</v>
      </c>
      <c r="B84" s="39">
        <f>'Standing'!$Q$74</f>
        <v>0</v>
      </c>
      <c r="C84" s="39">
        <f>'Standing'!$Q$97</f>
        <v>0</v>
      </c>
      <c r="D84" s="47">
        <f>'AggCap'!$Q$81</f>
        <v>0</v>
      </c>
      <c r="E84" s="38">
        <f>IF(E$65&lt;&gt;0,(($B84*B$65+$C84*C$65))/E$65,0)</f>
        <v>0</v>
      </c>
      <c r="F84" s="21">
        <f>0.01*'Input'!$F$58*(D84*$D$65)+10*(B84*$B$65+C84*$C$65)</f>
        <v>0</v>
      </c>
      <c r="G84" s="38">
        <f>IF($E$65&lt;&gt;0,0.1*F84/$E$65,"")</f>
        <v>0</v>
      </c>
      <c r="H84" s="46">
        <f>IF($D$65&lt;&gt;0,F84/$D$65,"")</f>
        <v>0</v>
      </c>
      <c r="I84" s="17"/>
    </row>
    <row r="85" spans="1:9">
      <c r="A85" s="4" t="s">
        <v>1647</v>
      </c>
      <c r="B85" s="39">
        <f>'Standing'!$R$74</f>
        <v>0</v>
      </c>
      <c r="C85" s="39">
        <f>'Standing'!$R$97</f>
        <v>0</v>
      </c>
      <c r="D85" s="47">
        <f>'AggCap'!$R$81</f>
        <v>0</v>
      </c>
      <c r="E85" s="38">
        <f>IF(E$65&lt;&gt;0,(($B85*B$65+$C85*C$65))/E$65,0)</f>
        <v>0</v>
      </c>
      <c r="F85" s="21">
        <f>0.01*'Input'!$F$58*(D85*$D$65)+10*(B85*$B$65+C85*$C$65)</f>
        <v>0</v>
      </c>
      <c r="G85" s="38">
        <f>IF($E$65&lt;&gt;0,0.1*F85/$E$65,"")</f>
        <v>0</v>
      </c>
      <c r="H85" s="46">
        <f>IF($D$65&lt;&gt;0,F85/$D$65,"")</f>
        <v>0</v>
      </c>
      <c r="I85" s="17"/>
    </row>
    <row r="86" spans="1:9">
      <c r="A86" s="4" t="s">
        <v>1648</v>
      </c>
      <c r="B86" s="39">
        <f>'Standing'!$S$74</f>
        <v>0</v>
      </c>
      <c r="C86" s="39">
        <f>'Standing'!$S$97</f>
        <v>0</v>
      </c>
      <c r="D86" s="47">
        <f>'AggCap'!$S$81</f>
        <v>0</v>
      </c>
      <c r="E86" s="38">
        <f>IF(E$65&lt;&gt;0,(($B86*B$65+$C86*C$65))/E$65,0)</f>
        <v>0</v>
      </c>
      <c r="F86" s="21">
        <f>0.01*'Input'!$F$58*(D86*$D$65)+10*(B86*$B$65+C86*$C$65)</f>
        <v>0</v>
      </c>
      <c r="G86" s="38">
        <f>IF($E$65&lt;&gt;0,0.1*F86/$E$65,"")</f>
        <v>0</v>
      </c>
      <c r="H86" s="46">
        <f>IF($D$65&lt;&gt;0,F86/$D$65,"")</f>
        <v>0</v>
      </c>
      <c r="I86" s="17"/>
    </row>
    <row r="87" spans="1:9">
      <c r="A87" s="4" t="s">
        <v>1649</v>
      </c>
      <c r="B87" s="10"/>
      <c r="C87" s="10"/>
      <c r="D87" s="47">
        <f>'Otex'!$B$122</f>
        <v>0</v>
      </c>
      <c r="E87" s="38">
        <f>IF(E$65&lt;&gt;0,(($B87*B$65+$C87*C$65))/E$65,0)</f>
        <v>0</v>
      </c>
      <c r="F87" s="21">
        <f>0.01*'Input'!$F$58*(D87*$D$65)+10*(B87*$B$65+C87*$C$65)</f>
        <v>0</v>
      </c>
      <c r="G87" s="38">
        <f>IF($E$65&lt;&gt;0,0.1*F87/$E$65,"")</f>
        <v>0</v>
      </c>
      <c r="H87" s="46">
        <f>IF($D$65&lt;&gt;0,F87/$D$65,"")</f>
        <v>0</v>
      </c>
      <c r="I87" s="17"/>
    </row>
    <row r="88" spans="1:9">
      <c r="A88" s="4" t="s">
        <v>1650</v>
      </c>
      <c r="B88" s="10"/>
      <c r="C88" s="10"/>
      <c r="D88" s="47">
        <f>'Otex'!$C$122</f>
        <v>0</v>
      </c>
      <c r="E88" s="38">
        <f>IF(E$65&lt;&gt;0,(($B88*B$65+$C88*C$65))/E$65,0)</f>
        <v>0</v>
      </c>
      <c r="F88" s="21">
        <f>0.01*'Input'!$F$58*(D88*$D$65)+10*(B88*$B$65+C88*$C$65)</f>
        <v>0</v>
      </c>
      <c r="G88" s="38">
        <f>IF($E$65&lt;&gt;0,0.1*F88/$E$65,"")</f>
        <v>0</v>
      </c>
      <c r="H88" s="46">
        <f>IF($D$65&lt;&gt;0,F88/$D$65,"")</f>
        <v>0</v>
      </c>
      <c r="I88" s="17"/>
    </row>
    <row r="89" spans="1:9">
      <c r="A89" s="4" t="s">
        <v>1651</v>
      </c>
      <c r="B89" s="39">
        <f>'Scaler'!$B$390</f>
        <v>0</v>
      </c>
      <c r="C89" s="39">
        <f>'Scaler'!$C$390</f>
        <v>0</v>
      </c>
      <c r="D89" s="47">
        <f>'Scaler'!$E$390</f>
        <v>0</v>
      </c>
      <c r="E89" s="38">
        <f>IF(E$65&lt;&gt;0,(($B89*B$65+$C89*C$65))/E$65,0)</f>
        <v>0</v>
      </c>
      <c r="F89" s="21">
        <f>0.01*'Input'!$F$58*(D89*$D$65)+10*(B89*$B$65+C89*$C$65)</f>
        <v>0</v>
      </c>
      <c r="G89" s="38">
        <f>IF($E$65&lt;&gt;0,0.1*F89/$E$65,"")</f>
        <v>0</v>
      </c>
      <c r="H89" s="46">
        <f>IF($D$65&lt;&gt;0,F89/$D$65,"")</f>
        <v>0</v>
      </c>
      <c r="I89" s="17"/>
    </row>
    <row r="90" spans="1:9">
      <c r="A90" s="4" t="s">
        <v>1652</v>
      </c>
      <c r="B90" s="39">
        <f>'Adjust'!$B$70</f>
        <v>0</v>
      </c>
      <c r="C90" s="39">
        <f>'Adjust'!$C$70</f>
        <v>0</v>
      </c>
      <c r="D90" s="47">
        <f>'Adjust'!$E$70</f>
        <v>0</v>
      </c>
      <c r="E90" s="38">
        <f>IF(E$65&lt;&gt;0,(($B90*B$65+$C90*C$65))/E$65,0)</f>
        <v>0</v>
      </c>
      <c r="F90" s="21">
        <f>0.01*'Input'!$F$58*(D90*$D$65)+10*(B90*$B$65+C90*$C$65)</f>
        <v>0</v>
      </c>
      <c r="G90" s="38">
        <f>IF($E$65&lt;&gt;0,0.1*F90/$E$65,"")</f>
        <v>0</v>
      </c>
      <c r="H90" s="46">
        <f>IF($D$65&lt;&gt;0,F90/$D$65,"")</f>
        <v>0</v>
      </c>
      <c r="I90" s="17"/>
    </row>
    <row r="92" spans="1:9">
      <c r="A92" s="4" t="s">
        <v>1653</v>
      </c>
      <c r="B92" s="38">
        <f>SUM($B$68:$B$90)</f>
        <v>0</v>
      </c>
      <c r="C92" s="38">
        <f>SUM($C$68:$C$90)</f>
        <v>0</v>
      </c>
      <c r="D92" s="46">
        <f>SUM($D$68:$D$90)</f>
        <v>0</v>
      </c>
      <c r="E92" s="38">
        <f>SUM(E$68:E$90)</f>
        <v>0</v>
      </c>
      <c r="F92" s="21">
        <f>SUM($F$68:$F$90)</f>
        <v>0</v>
      </c>
      <c r="G92" s="38">
        <f>SUM($G$68:$G$90)</f>
        <v>0</v>
      </c>
      <c r="H92" s="46">
        <f>SUM($H$68:$H$90)</f>
        <v>0</v>
      </c>
    </row>
    <row r="94" spans="1:9" ht="21" customHeight="1">
      <c r="A94" s="1" t="s">
        <v>211</v>
      </c>
    </row>
    <row r="96" spans="1:9">
      <c r="B96" s="15" t="s">
        <v>222</v>
      </c>
      <c r="C96" s="15" t="s">
        <v>1634</v>
      </c>
    </row>
    <row r="97" spans="1:5">
      <c r="A97" s="4" t="s">
        <v>211</v>
      </c>
      <c r="B97" s="44">
        <f>'Loads'!B$282</f>
        <v>0</v>
      </c>
      <c r="C97" s="44">
        <f>'Multi'!B$109</f>
        <v>0</v>
      </c>
      <c r="D97" s="17"/>
    </row>
    <row r="99" spans="1:5">
      <c r="B99" s="15" t="s">
        <v>1466</v>
      </c>
      <c r="C99" s="15" t="s">
        <v>1636</v>
      </c>
      <c r="D99" s="15" t="s">
        <v>1606</v>
      </c>
    </row>
    <row r="100" spans="1:5">
      <c r="A100" s="4" t="s">
        <v>451</v>
      </c>
      <c r="B100" s="39">
        <f>'Standing'!$C$75</f>
        <v>0</v>
      </c>
      <c r="C100" s="21">
        <f>0+10*(B100*$B$97)</f>
        <v>0</v>
      </c>
      <c r="D100" s="38">
        <f>IF($C$97&lt;&gt;0,0.1*C100/$C$97,"")</f>
        <v>0</v>
      </c>
      <c r="E100" s="17"/>
    </row>
    <row r="101" spans="1:5">
      <c r="A101" s="4" t="s">
        <v>452</v>
      </c>
      <c r="B101" s="39">
        <f>'Standing'!$D$75</f>
        <v>0</v>
      </c>
      <c r="C101" s="21">
        <f>0+10*(B101*$B$97)</f>
        <v>0</v>
      </c>
      <c r="D101" s="38">
        <f>IF($C$97&lt;&gt;0,0.1*C101/$C$97,"")</f>
        <v>0</v>
      </c>
      <c r="E101" s="17"/>
    </row>
    <row r="102" spans="1:5">
      <c r="A102" s="4" t="s">
        <v>453</v>
      </c>
      <c r="B102" s="39">
        <f>'Standing'!$E$75</f>
        <v>0</v>
      </c>
      <c r="C102" s="21">
        <f>0+10*(B102*$B$97)</f>
        <v>0</v>
      </c>
      <c r="D102" s="38">
        <f>IF($C$97&lt;&gt;0,0.1*C102/$C$97,"")</f>
        <v>0</v>
      </c>
      <c r="E102" s="17"/>
    </row>
    <row r="103" spans="1:5">
      <c r="A103" s="4" t="s">
        <v>454</v>
      </c>
      <c r="B103" s="39">
        <f>'Standing'!$F$75</f>
        <v>0</v>
      </c>
      <c r="C103" s="21">
        <f>0+10*(B103*$B$97)</f>
        <v>0</v>
      </c>
      <c r="D103" s="38">
        <f>IF($C$97&lt;&gt;0,0.1*C103/$C$97,"")</f>
        <v>0</v>
      </c>
      <c r="E103" s="17"/>
    </row>
    <row r="104" spans="1:5">
      <c r="A104" s="4" t="s">
        <v>455</v>
      </c>
      <c r="B104" s="39">
        <f>'Standing'!$G$75</f>
        <v>0</v>
      </c>
      <c r="C104" s="21">
        <f>0+10*(B104*$B$97)</f>
        <v>0</v>
      </c>
      <c r="D104" s="38">
        <f>IF($C$97&lt;&gt;0,0.1*C104/$C$97,"")</f>
        <v>0</v>
      </c>
      <c r="E104" s="17"/>
    </row>
    <row r="105" spans="1:5">
      <c r="A105" s="4" t="s">
        <v>456</v>
      </c>
      <c r="B105" s="39">
        <f>'Standing'!$H$75</f>
        <v>0</v>
      </c>
      <c r="C105" s="21">
        <f>0+10*(B105*$B$97)</f>
        <v>0</v>
      </c>
      <c r="D105" s="38">
        <f>IF($C$97&lt;&gt;0,0.1*C105/$C$97,"")</f>
        <v>0</v>
      </c>
      <c r="E105" s="17"/>
    </row>
    <row r="106" spans="1:5">
      <c r="A106" s="4" t="s">
        <v>457</v>
      </c>
      <c r="B106" s="39">
        <f>'Standing'!$I$75</f>
        <v>0</v>
      </c>
      <c r="C106" s="21">
        <f>0+10*(B106*$B$97)</f>
        <v>0</v>
      </c>
      <c r="D106" s="38">
        <f>IF($C$97&lt;&gt;0,0.1*C106/$C$97,"")</f>
        <v>0</v>
      </c>
      <c r="E106" s="17"/>
    </row>
    <row r="107" spans="1:5">
      <c r="A107" s="4" t="s">
        <v>458</v>
      </c>
      <c r="B107" s="39">
        <f>'Standing'!$J$75</f>
        <v>0</v>
      </c>
      <c r="C107" s="21">
        <f>0+10*(B107*$B$97)</f>
        <v>0</v>
      </c>
      <c r="D107" s="38">
        <f>IF($C$97&lt;&gt;0,0.1*C107/$C$97,"")</f>
        <v>0</v>
      </c>
      <c r="E107" s="17"/>
    </row>
    <row r="108" spans="1:5">
      <c r="A108" s="4" t="s">
        <v>1640</v>
      </c>
      <c r="B108" s="39">
        <f>'Standing'!$K$75</f>
        <v>0</v>
      </c>
      <c r="C108" s="21">
        <f>0+10*(B108*$B$97)</f>
        <v>0</v>
      </c>
      <c r="D108" s="38">
        <f>IF($C$97&lt;&gt;0,0.1*C108/$C$97,"")</f>
        <v>0</v>
      </c>
      <c r="E108" s="17"/>
    </row>
    <row r="109" spans="1:5">
      <c r="A109" s="4" t="s">
        <v>1641</v>
      </c>
      <c r="B109" s="39">
        <f>'Standing'!$L$75</f>
        <v>0</v>
      </c>
      <c r="C109" s="21">
        <f>0+10*(B109*$B$97)</f>
        <v>0</v>
      </c>
      <c r="D109" s="38">
        <f>IF($C$97&lt;&gt;0,0.1*C109/$C$97,"")</f>
        <v>0</v>
      </c>
      <c r="E109" s="17"/>
    </row>
    <row r="110" spans="1:5">
      <c r="A110" s="4" t="s">
        <v>1642</v>
      </c>
      <c r="B110" s="39">
        <f>'Standing'!$M$75</f>
        <v>0</v>
      </c>
      <c r="C110" s="21">
        <f>0+10*(B110*$B$97)</f>
        <v>0</v>
      </c>
      <c r="D110" s="38">
        <f>IF($C$97&lt;&gt;0,0.1*C110/$C$97,"")</f>
        <v>0</v>
      </c>
      <c r="E110" s="17"/>
    </row>
    <row r="111" spans="1:5">
      <c r="A111" s="4" t="s">
        <v>1643</v>
      </c>
      <c r="B111" s="39">
        <f>'Standing'!$N$75</f>
        <v>0</v>
      </c>
      <c r="C111" s="21">
        <f>0+10*(B111*$B$97)</f>
        <v>0</v>
      </c>
      <c r="D111" s="38">
        <f>IF($C$97&lt;&gt;0,0.1*C111/$C$97,"")</f>
        <v>0</v>
      </c>
      <c r="E111" s="17"/>
    </row>
    <row r="112" spans="1:5">
      <c r="A112" s="4" t="s">
        <v>1644</v>
      </c>
      <c r="B112" s="39">
        <f>'Standing'!$O$75</f>
        <v>0</v>
      </c>
      <c r="C112" s="21">
        <f>0+10*(B112*$B$97)</f>
        <v>0</v>
      </c>
      <c r="D112" s="38">
        <f>IF($C$97&lt;&gt;0,0.1*C112/$C$97,"")</f>
        <v>0</v>
      </c>
      <c r="E112" s="17"/>
    </row>
    <row r="113" spans="1:7">
      <c r="A113" s="4" t="s">
        <v>1645</v>
      </c>
      <c r="B113" s="39">
        <f>'Standing'!$P$75</f>
        <v>0</v>
      </c>
      <c r="C113" s="21">
        <f>0+10*(B113*$B$97)</f>
        <v>0</v>
      </c>
      <c r="D113" s="38">
        <f>IF($C$97&lt;&gt;0,0.1*C113/$C$97,"")</f>
        <v>0</v>
      </c>
      <c r="E113" s="17"/>
    </row>
    <row r="114" spans="1:7">
      <c r="A114" s="4" t="s">
        <v>1646</v>
      </c>
      <c r="B114" s="39">
        <f>'Standing'!$Q$75</f>
        <v>0</v>
      </c>
      <c r="C114" s="21">
        <f>0+10*(B114*$B$97)</f>
        <v>0</v>
      </c>
      <c r="D114" s="38">
        <f>IF($C$97&lt;&gt;0,0.1*C114/$C$97,"")</f>
        <v>0</v>
      </c>
      <c r="E114" s="17"/>
    </row>
    <row r="115" spans="1:7">
      <c r="A115" s="4" t="s">
        <v>1647</v>
      </c>
      <c r="B115" s="39">
        <f>'Standing'!$R$75</f>
        <v>0</v>
      </c>
      <c r="C115" s="21">
        <f>0+10*(B115*$B$97)</f>
        <v>0</v>
      </c>
      <c r="D115" s="38">
        <f>IF($C$97&lt;&gt;0,0.1*C115/$C$97,"")</f>
        <v>0</v>
      </c>
      <c r="E115" s="17"/>
    </row>
    <row r="116" spans="1:7">
      <c r="A116" s="4" t="s">
        <v>1648</v>
      </c>
      <c r="B116" s="39">
        <f>'Standing'!$S$75</f>
        <v>0</v>
      </c>
      <c r="C116" s="21">
        <f>0+10*(B116*$B$97)</f>
        <v>0</v>
      </c>
      <c r="D116" s="38">
        <f>IF($C$97&lt;&gt;0,0.1*C116/$C$97,"")</f>
        <v>0</v>
      </c>
      <c r="E116" s="17"/>
    </row>
    <row r="117" spans="1:7">
      <c r="A117" s="4" t="s">
        <v>1651</v>
      </c>
      <c r="B117" s="39">
        <f>'Scaler'!$B$391</f>
        <v>0</v>
      </c>
      <c r="C117" s="21">
        <f>0+10*(B117*$B$97)</f>
        <v>0</v>
      </c>
      <c r="D117" s="38">
        <f>IF($C$97&lt;&gt;0,0.1*C117/$C$97,"")</f>
        <v>0</v>
      </c>
      <c r="E117" s="17"/>
    </row>
    <row r="118" spans="1:7">
      <c r="A118" s="4" t="s">
        <v>1652</v>
      </c>
      <c r="B118" s="39">
        <f>'Adjust'!$B$71</f>
        <v>0</v>
      </c>
      <c r="C118" s="21">
        <f>0+10*(B118*$B$97)</f>
        <v>0</v>
      </c>
      <c r="D118" s="38">
        <f>IF($C$97&lt;&gt;0,0.1*C118/$C$97,"")</f>
        <v>0</v>
      </c>
      <c r="E118" s="17"/>
    </row>
    <row r="120" spans="1:7">
      <c r="A120" s="4" t="s">
        <v>1653</v>
      </c>
      <c r="B120" s="38">
        <f>SUM($B$100:$B$118)</f>
        <v>0</v>
      </c>
      <c r="C120" s="21">
        <f>SUM($C$100:$C$118)</f>
        <v>0</v>
      </c>
      <c r="D120" s="38">
        <f>SUM($D$100:$D$118)</f>
        <v>0</v>
      </c>
    </row>
    <row r="122" spans="1:7" ht="21" customHeight="1">
      <c r="A122" s="1" t="s">
        <v>176</v>
      </c>
    </row>
    <row r="124" spans="1:7">
      <c r="B124" s="15" t="s">
        <v>222</v>
      </c>
      <c r="C124" s="15" t="s">
        <v>225</v>
      </c>
      <c r="D124" s="15" t="s">
        <v>1634</v>
      </c>
      <c r="E124" s="15" t="s">
        <v>1635</v>
      </c>
    </row>
    <row r="125" spans="1:7">
      <c r="A125" s="4" t="s">
        <v>176</v>
      </c>
      <c r="B125" s="44">
        <f>'Loads'!B$283</f>
        <v>0</v>
      </c>
      <c r="C125" s="44">
        <f>'Loads'!E$283</f>
        <v>0</v>
      </c>
      <c r="D125" s="44">
        <f>'Multi'!B$110</f>
        <v>0</v>
      </c>
      <c r="E125" s="38">
        <f>IF(C125,D125/C125,"")</f>
        <v>0</v>
      </c>
      <c r="F125" s="17"/>
    </row>
    <row r="127" spans="1:7">
      <c r="B127" s="15" t="s">
        <v>1466</v>
      </c>
      <c r="C127" s="15" t="s">
        <v>1469</v>
      </c>
      <c r="D127" s="15" t="s">
        <v>1636</v>
      </c>
      <c r="E127" s="15" t="s">
        <v>1606</v>
      </c>
      <c r="F127" s="15" t="s">
        <v>1637</v>
      </c>
    </row>
    <row r="128" spans="1:7">
      <c r="A128" s="4" t="s">
        <v>451</v>
      </c>
      <c r="B128" s="39">
        <f>'Standing'!$C$76</f>
        <v>0</v>
      </c>
      <c r="C128" s="47">
        <f>'AggCap'!$C$82</f>
        <v>0</v>
      </c>
      <c r="D128" s="21">
        <f>0.01*'Input'!$F$58*(C128*$C$125)+10*(B128*$B$125)</f>
        <v>0</v>
      </c>
      <c r="E128" s="38">
        <f>IF($D$125&lt;&gt;0,0.1*D128/$D$125,"")</f>
        <v>0</v>
      </c>
      <c r="F128" s="46">
        <f>IF($C$125&lt;&gt;0,D128/$C$125,"")</f>
        <v>0</v>
      </c>
      <c r="G128" s="17"/>
    </row>
    <row r="129" spans="1:7">
      <c r="A129" s="4" t="s">
        <v>452</v>
      </c>
      <c r="B129" s="39">
        <f>'Standing'!$D$76</f>
        <v>0</v>
      </c>
      <c r="C129" s="47">
        <f>'AggCap'!$D$82</f>
        <v>0</v>
      </c>
      <c r="D129" s="21">
        <f>0.01*'Input'!$F$58*(C129*$C$125)+10*(B129*$B$125)</f>
        <v>0</v>
      </c>
      <c r="E129" s="38">
        <f>IF($D$125&lt;&gt;0,0.1*D129/$D$125,"")</f>
        <v>0</v>
      </c>
      <c r="F129" s="46">
        <f>IF($C$125&lt;&gt;0,D129/$C$125,"")</f>
        <v>0</v>
      </c>
      <c r="G129" s="17"/>
    </row>
    <row r="130" spans="1:7">
      <c r="A130" s="4" t="s">
        <v>453</v>
      </c>
      <c r="B130" s="39">
        <f>'Standing'!$E$76</f>
        <v>0</v>
      </c>
      <c r="C130" s="47">
        <f>'AggCap'!$E$82</f>
        <v>0</v>
      </c>
      <c r="D130" s="21">
        <f>0.01*'Input'!$F$58*(C130*$C$125)+10*(B130*$B$125)</f>
        <v>0</v>
      </c>
      <c r="E130" s="38">
        <f>IF($D$125&lt;&gt;0,0.1*D130/$D$125,"")</f>
        <v>0</v>
      </c>
      <c r="F130" s="46">
        <f>IF($C$125&lt;&gt;0,D130/$C$125,"")</f>
        <v>0</v>
      </c>
      <c r="G130" s="17"/>
    </row>
    <row r="131" spans="1:7">
      <c r="A131" s="4" t="s">
        <v>454</v>
      </c>
      <c r="B131" s="39">
        <f>'Standing'!$F$76</f>
        <v>0</v>
      </c>
      <c r="C131" s="47">
        <f>'AggCap'!$F$82</f>
        <v>0</v>
      </c>
      <c r="D131" s="21">
        <f>0.01*'Input'!$F$58*(C131*$C$125)+10*(B131*$B$125)</f>
        <v>0</v>
      </c>
      <c r="E131" s="38">
        <f>IF($D$125&lt;&gt;0,0.1*D131/$D$125,"")</f>
        <v>0</v>
      </c>
      <c r="F131" s="46">
        <f>IF($C$125&lt;&gt;0,D131/$C$125,"")</f>
        <v>0</v>
      </c>
      <c r="G131" s="17"/>
    </row>
    <row r="132" spans="1:7">
      <c r="A132" s="4" t="s">
        <v>455</v>
      </c>
      <c r="B132" s="39">
        <f>'Standing'!$G$76</f>
        <v>0</v>
      </c>
      <c r="C132" s="47">
        <f>'AggCap'!$G$82</f>
        <v>0</v>
      </c>
      <c r="D132" s="21">
        <f>0.01*'Input'!$F$58*(C132*$C$125)+10*(B132*$B$125)</f>
        <v>0</v>
      </c>
      <c r="E132" s="38">
        <f>IF($D$125&lt;&gt;0,0.1*D132/$D$125,"")</f>
        <v>0</v>
      </c>
      <c r="F132" s="46">
        <f>IF($C$125&lt;&gt;0,D132/$C$125,"")</f>
        <v>0</v>
      </c>
      <c r="G132" s="17"/>
    </row>
    <row r="133" spans="1:7">
      <c r="A133" s="4" t="s">
        <v>456</v>
      </c>
      <c r="B133" s="39">
        <f>'Standing'!$H$76</f>
        <v>0</v>
      </c>
      <c r="C133" s="47">
        <f>'AggCap'!$H$82</f>
        <v>0</v>
      </c>
      <c r="D133" s="21">
        <f>0.01*'Input'!$F$58*(C133*$C$125)+10*(B133*$B$125)</f>
        <v>0</v>
      </c>
      <c r="E133" s="38">
        <f>IF($D$125&lt;&gt;0,0.1*D133/$D$125,"")</f>
        <v>0</v>
      </c>
      <c r="F133" s="46">
        <f>IF($C$125&lt;&gt;0,D133/$C$125,"")</f>
        <v>0</v>
      </c>
      <c r="G133" s="17"/>
    </row>
    <row r="134" spans="1:7">
      <c r="A134" s="4" t="s">
        <v>457</v>
      </c>
      <c r="B134" s="39">
        <f>'Standing'!$I$76</f>
        <v>0</v>
      </c>
      <c r="C134" s="47">
        <f>'AggCap'!$I$82</f>
        <v>0</v>
      </c>
      <c r="D134" s="21">
        <f>0.01*'Input'!$F$58*(C134*$C$125)+10*(B134*$B$125)</f>
        <v>0</v>
      </c>
      <c r="E134" s="38">
        <f>IF($D$125&lt;&gt;0,0.1*D134/$D$125,"")</f>
        <v>0</v>
      </c>
      <c r="F134" s="46">
        <f>IF($C$125&lt;&gt;0,D134/$C$125,"")</f>
        <v>0</v>
      </c>
      <c r="G134" s="17"/>
    </row>
    <row r="135" spans="1:7">
      <c r="A135" s="4" t="s">
        <v>458</v>
      </c>
      <c r="B135" s="39">
        <f>'Standing'!$J$76</f>
        <v>0</v>
      </c>
      <c r="C135" s="47">
        <f>'AggCap'!$J$82</f>
        <v>0</v>
      </c>
      <c r="D135" s="21">
        <f>0.01*'Input'!$F$58*(C135*$C$125)+10*(B135*$B$125)</f>
        <v>0</v>
      </c>
      <c r="E135" s="38">
        <f>IF($D$125&lt;&gt;0,0.1*D135/$D$125,"")</f>
        <v>0</v>
      </c>
      <c r="F135" s="46">
        <f>IF($C$125&lt;&gt;0,D135/$C$125,"")</f>
        <v>0</v>
      </c>
      <c r="G135" s="17"/>
    </row>
    <row r="136" spans="1:7">
      <c r="A136" s="4" t="s">
        <v>1638</v>
      </c>
      <c r="B136" s="10"/>
      <c r="C136" s="47">
        <f>'SM'!$B$103</f>
        <v>0</v>
      </c>
      <c r="D136" s="21">
        <f>0.01*'Input'!$F$58*(C136*$C$125)+10*(B136*$B$125)</f>
        <v>0</v>
      </c>
      <c r="E136" s="38">
        <f>IF($D$125&lt;&gt;0,0.1*D136/$D$125,"")</f>
        <v>0</v>
      </c>
      <c r="F136" s="46">
        <f>IF($C$125&lt;&gt;0,D136/$C$125,"")</f>
        <v>0</v>
      </c>
      <c r="G136" s="17"/>
    </row>
    <row r="137" spans="1:7">
      <c r="A137" s="4" t="s">
        <v>1639</v>
      </c>
      <c r="B137" s="10"/>
      <c r="C137" s="47">
        <f>'SM'!$C$103</f>
        <v>0</v>
      </c>
      <c r="D137" s="21">
        <f>0.01*'Input'!$F$58*(C137*$C$125)+10*(B137*$B$125)</f>
        <v>0</v>
      </c>
      <c r="E137" s="38">
        <f>IF($D$125&lt;&gt;0,0.1*D137/$D$125,"")</f>
        <v>0</v>
      </c>
      <c r="F137" s="46">
        <f>IF($C$125&lt;&gt;0,D137/$C$125,"")</f>
        <v>0</v>
      </c>
      <c r="G137" s="17"/>
    </row>
    <row r="138" spans="1:7">
      <c r="A138" s="4" t="s">
        <v>1640</v>
      </c>
      <c r="B138" s="39">
        <f>'Standing'!$K$76</f>
        <v>0</v>
      </c>
      <c r="C138" s="47">
        <f>'AggCap'!$K$82</f>
        <v>0</v>
      </c>
      <c r="D138" s="21">
        <f>0.01*'Input'!$F$58*(C138*$C$125)+10*(B138*$B$125)</f>
        <v>0</v>
      </c>
      <c r="E138" s="38">
        <f>IF($D$125&lt;&gt;0,0.1*D138/$D$125,"")</f>
        <v>0</v>
      </c>
      <c r="F138" s="46">
        <f>IF($C$125&lt;&gt;0,D138/$C$125,"")</f>
        <v>0</v>
      </c>
      <c r="G138" s="17"/>
    </row>
    <row r="139" spans="1:7">
      <c r="A139" s="4" t="s">
        <v>1641</v>
      </c>
      <c r="B139" s="39">
        <f>'Standing'!$L$76</f>
        <v>0</v>
      </c>
      <c r="C139" s="47">
        <f>'AggCap'!$L$82</f>
        <v>0</v>
      </c>
      <c r="D139" s="21">
        <f>0.01*'Input'!$F$58*(C139*$C$125)+10*(B139*$B$125)</f>
        <v>0</v>
      </c>
      <c r="E139" s="38">
        <f>IF($D$125&lt;&gt;0,0.1*D139/$D$125,"")</f>
        <v>0</v>
      </c>
      <c r="F139" s="46">
        <f>IF($C$125&lt;&gt;0,D139/$C$125,"")</f>
        <v>0</v>
      </c>
      <c r="G139" s="17"/>
    </row>
    <row r="140" spans="1:7">
      <c r="A140" s="4" t="s">
        <v>1642</v>
      </c>
      <c r="B140" s="39">
        <f>'Standing'!$M$76</f>
        <v>0</v>
      </c>
      <c r="C140" s="47">
        <f>'AggCap'!$M$82</f>
        <v>0</v>
      </c>
      <c r="D140" s="21">
        <f>0.01*'Input'!$F$58*(C140*$C$125)+10*(B140*$B$125)</f>
        <v>0</v>
      </c>
      <c r="E140" s="38">
        <f>IF($D$125&lt;&gt;0,0.1*D140/$D$125,"")</f>
        <v>0</v>
      </c>
      <c r="F140" s="46">
        <f>IF($C$125&lt;&gt;0,D140/$C$125,"")</f>
        <v>0</v>
      </c>
      <c r="G140" s="17"/>
    </row>
    <row r="141" spans="1:7">
      <c r="A141" s="4" t="s">
        <v>1643</v>
      </c>
      <c r="B141" s="39">
        <f>'Standing'!$N$76</f>
        <v>0</v>
      </c>
      <c r="C141" s="47">
        <f>'AggCap'!$N$82</f>
        <v>0</v>
      </c>
      <c r="D141" s="21">
        <f>0.01*'Input'!$F$58*(C141*$C$125)+10*(B141*$B$125)</f>
        <v>0</v>
      </c>
      <c r="E141" s="38">
        <f>IF($D$125&lt;&gt;0,0.1*D141/$D$125,"")</f>
        <v>0</v>
      </c>
      <c r="F141" s="46">
        <f>IF($C$125&lt;&gt;0,D141/$C$125,"")</f>
        <v>0</v>
      </c>
      <c r="G141" s="17"/>
    </row>
    <row r="142" spans="1:7">
      <c r="A142" s="4" t="s">
        <v>1644</v>
      </c>
      <c r="B142" s="39">
        <f>'Standing'!$O$76</f>
        <v>0</v>
      </c>
      <c r="C142" s="47">
        <f>'AggCap'!$O$82</f>
        <v>0</v>
      </c>
      <c r="D142" s="21">
        <f>0.01*'Input'!$F$58*(C142*$C$125)+10*(B142*$B$125)</f>
        <v>0</v>
      </c>
      <c r="E142" s="38">
        <f>IF($D$125&lt;&gt;0,0.1*D142/$D$125,"")</f>
        <v>0</v>
      </c>
      <c r="F142" s="46">
        <f>IF($C$125&lt;&gt;0,D142/$C$125,"")</f>
        <v>0</v>
      </c>
      <c r="G142" s="17"/>
    </row>
    <row r="143" spans="1:7">
      <c r="A143" s="4" t="s">
        <v>1645</v>
      </c>
      <c r="B143" s="39">
        <f>'Standing'!$P$76</f>
        <v>0</v>
      </c>
      <c r="C143" s="47">
        <f>'AggCap'!$P$82</f>
        <v>0</v>
      </c>
      <c r="D143" s="21">
        <f>0.01*'Input'!$F$58*(C143*$C$125)+10*(B143*$B$125)</f>
        <v>0</v>
      </c>
      <c r="E143" s="38">
        <f>IF($D$125&lt;&gt;0,0.1*D143/$D$125,"")</f>
        <v>0</v>
      </c>
      <c r="F143" s="46">
        <f>IF($C$125&lt;&gt;0,D143/$C$125,"")</f>
        <v>0</v>
      </c>
      <c r="G143" s="17"/>
    </row>
    <row r="144" spans="1:7">
      <c r="A144" s="4" t="s">
        <v>1646</v>
      </c>
      <c r="B144" s="39">
        <f>'Standing'!$Q$76</f>
        <v>0</v>
      </c>
      <c r="C144" s="47">
        <f>'AggCap'!$Q$82</f>
        <v>0</v>
      </c>
      <c r="D144" s="21">
        <f>0.01*'Input'!$F$58*(C144*$C$125)+10*(B144*$B$125)</f>
        <v>0</v>
      </c>
      <c r="E144" s="38">
        <f>IF($D$125&lt;&gt;0,0.1*D144/$D$125,"")</f>
        <v>0</v>
      </c>
      <c r="F144" s="46">
        <f>IF($C$125&lt;&gt;0,D144/$C$125,"")</f>
        <v>0</v>
      </c>
      <c r="G144" s="17"/>
    </row>
    <row r="145" spans="1:9">
      <c r="A145" s="4" t="s">
        <v>1647</v>
      </c>
      <c r="B145" s="39">
        <f>'Standing'!$R$76</f>
        <v>0</v>
      </c>
      <c r="C145" s="47">
        <f>'AggCap'!$R$82</f>
        <v>0</v>
      </c>
      <c r="D145" s="21">
        <f>0.01*'Input'!$F$58*(C145*$C$125)+10*(B145*$B$125)</f>
        <v>0</v>
      </c>
      <c r="E145" s="38">
        <f>IF($D$125&lt;&gt;0,0.1*D145/$D$125,"")</f>
        <v>0</v>
      </c>
      <c r="F145" s="46">
        <f>IF($C$125&lt;&gt;0,D145/$C$125,"")</f>
        <v>0</v>
      </c>
      <c r="G145" s="17"/>
    </row>
    <row r="146" spans="1:9">
      <c r="A146" s="4" t="s">
        <v>1648</v>
      </c>
      <c r="B146" s="39">
        <f>'Standing'!$S$76</f>
        <v>0</v>
      </c>
      <c r="C146" s="47">
        <f>'AggCap'!$S$82</f>
        <v>0</v>
      </c>
      <c r="D146" s="21">
        <f>0.01*'Input'!$F$58*(C146*$C$125)+10*(B146*$B$125)</f>
        <v>0</v>
      </c>
      <c r="E146" s="38">
        <f>IF($D$125&lt;&gt;0,0.1*D146/$D$125,"")</f>
        <v>0</v>
      </c>
      <c r="F146" s="46">
        <f>IF($C$125&lt;&gt;0,D146/$C$125,"")</f>
        <v>0</v>
      </c>
      <c r="G146" s="17"/>
    </row>
    <row r="147" spans="1:9">
      <c r="A147" s="4" t="s">
        <v>1649</v>
      </c>
      <c r="B147" s="10"/>
      <c r="C147" s="47">
        <f>'Otex'!$B$124</f>
        <v>0</v>
      </c>
      <c r="D147" s="21">
        <f>0.01*'Input'!$F$58*(C147*$C$125)+10*(B147*$B$125)</f>
        <v>0</v>
      </c>
      <c r="E147" s="38">
        <f>IF($D$125&lt;&gt;0,0.1*D147/$D$125,"")</f>
        <v>0</v>
      </c>
      <c r="F147" s="46">
        <f>IF($C$125&lt;&gt;0,D147/$C$125,"")</f>
        <v>0</v>
      </c>
      <c r="G147" s="17"/>
    </row>
    <row r="148" spans="1:9">
      <c r="A148" s="4" t="s">
        <v>1650</v>
      </c>
      <c r="B148" s="10"/>
      <c r="C148" s="47">
        <f>'Otex'!$C$124</f>
        <v>0</v>
      </c>
      <c r="D148" s="21">
        <f>0.01*'Input'!$F$58*(C148*$C$125)+10*(B148*$B$125)</f>
        <v>0</v>
      </c>
      <c r="E148" s="38">
        <f>IF($D$125&lt;&gt;0,0.1*D148/$D$125,"")</f>
        <v>0</v>
      </c>
      <c r="F148" s="46">
        <f>IF($C$125&lt;&gt;0,D148/$C$125,"")</f>
        <v>0</v>
      </c>
      <c r="G148" s="17"/>
    </row>
    <row r="149" spans="1:9">
      <c r="A149" s="4" t="s">
        <v>1651</v>
      </c>
      <c r="B149" s="39">
        <f>'Scaler'!$B$392</f>
        <v>0</v>
      </c>
      <c r="C149" s="47">
        <f>'Scaler'!$E$392</f>
        <v>0</v>
      </c>
      <c r="D149" s="21">
        <f>0.01*'Input'!$F$58*(C149*$C$125)+10*(B149*$B$125)</f>
        <v>0</v>
      </c>
      <c r="E149" s="38">
        <f>IF($D$125&lt;&gt;0,0.1*D149/$D$125,"")</f>
        <v>0</v>
      </c>
      <c r="F149" s="46">
        <f>IF($C$125&lt;&gt;0,D149/$C$125,"")</f>
        <v>0</v>
      </c>
      <c r="G149" s="17"/>
    </row>
    <row r="150" spans="1:9">
      <c r="A150" s="4" t="s">
        <v>1652</v>
      </c>
      <c r="B150" s="39">
        <f>'Adjust'!$B$72</f>
        <v>0</v>
      </c>
      <c r="C150" s="47">
        <f>'Adjust'!$E$72</f>
        <v>0</v>
      </c>
      <c r="D150" s="21">
        <f>0.01*'Input'!$F$58*(C150*$C$125)+10*(B150*$B$125)</f>
        <v>0</v>
      </c>
      <c r="E150" s="38">
        <f>IF($D$125&lt;&gt;0,0.1*D150/$D$125,"")</f>
        <v>0</v>
      </c>
      <c r="F150" s="46">
        <f>IF($C$125&lt;&gt;0,D150/$C$125,"")</f>
        <v>0</v>
      </c>
      <c r="G150" s="17"/>
    </row>
    <row r="152" spans="1:9">
      <c r="A152" s="4" t="s">
        <v>1653</v>
      </c>
      <c r="B152" s="38">
        <f>SUM($B$128:$B$150)</f>
        <v>0</v>
      </c>
      <c r="C152" s="46">
        <f>SUM($C$128:$C$150)</f>
        <v>0</v>
      </c>
      <c r="D152" s="21">
        <f>SUM($D$128:$D$150)</f>
        <v>0</v>
      </c>
      <c r="E152" s="38">
        <f>SUM($E$128:$E$150)</f>
        <v>0</v>
      </c>
      <c r="F152" s="46">
        <f>SUM($F$128:$F$150)</f>
        <v>0</v>
      </c>
    </row>
    <row r="154" spans="1:9" ht="21" customHeight="1">
      <c r="A154" s="1" t="s">
        <v>177</v>
      </c>
    </row>
    <row r="156" spans="1:9">
      <c r="B156" s="15" t="s">
        <v>222</v>
      </c>
      <c r="C156" s="15" t="s">
        <v>223</v>
      </c>
      <c r="D156" s="15" t="s">
        <v>225</v>
      </c>
      <c r="E156" s="15" t="s">
        <v>1634</v>
      </c>
      <c r="F156" s="15" t="s">
        <v>1635</v>
      </c>
    </row>
    <row r="157" spans="1:9">
      <c r="A157" s="4" t="s">
        <v>177</v>
      </c>
      <c r="B157" s="44">
        <f>'Loads'!B$284</f>
        <v>0</v>
      </c>
      <c r="C157" s="44">
        <f>'Loads'!C$284</f>
        <v>0</v>
      </c>
      <c r="D157" s="44">
        <f>'Loads'!E$284</f>
        <v>0</v>
      </c>
      <c r="E157" s="44">
        <f>'Multi'!B$111</f>
        <v>0</v>
      </c>
      <c r="F157" s="38">
        <f>IF(D157,E157/D157,"")</f>
        <v>0</v>
      </c>
      <c r="G157" s="17"/>
    </row>
    <row r="159" spans="1:9">
      <c r="B159" s="15" t="s">
        <v>1466</v>
      </c>
      <c r="C159" s="15" t="s">
        <v>1467</v>
      </c>
      <c r="D159" s="15" t="s">
        <v>1469</v>
      </c>
      <c r="E159" s="15" t="s">
        <v>1654</v>
      </c>
      <c r="F159" s="15" t="s">
        <v>1636</v>
      </c>
      <c r="G159" s="15" t="s">
        <v>1606</v>
      </c>
      <c r="H159" s="15" t="s">
        <v>1637</v>
      </c>
    </row>
    <row r="160" spans="1:9">
      <c r="A160" s="4" t="s">
        <v>451</v>
      </c>
      <c r="B160" s="39">
        <f>'Standing'!$C$77</f>
        <v>0</v>
      </c>
      <c r="C160" s="39">
        <f>'Standing'!$C$98</f>
        <v>0</v>
      </c>
      <c r="D160" s="47">
        <f>'AggCap'!$C$83</f>
        <v>0</v>
      </c>
      <c r="E160" s="38">
        <f>IF(E$157&lt;&gt;0,(($B160*B$157+$C160*C$157))/E$157,0)</f>
        <v>0</v>
      </c>
      <c r="F160" s="21">
        <f>0.01*'Input'!$F$58*(D160*$D$157)+10*(B160*$B$157+C160*$C$157)</f>
        <v>0</v>
      </c>
      <c r="G160" s="38">
        <f>IF($E$157&lt;&gt;0,0.1*F160/$E$157,"")</f>
        <v>0</v>
      </c>
      <c r="H160" s="46">
        <f>IF($D$157&lt;&gt;0,F160/$D$157,"")</f>
        <v>0</v>
      </c>
      <c r="I160" s="17"/>
    </row>
    <row r="161" spans="1:9">
      <c r="A161" s="4" t="s">
        <v>452</v>
      </c>
      <c r="B161" s="39">
        <f>'Standing'!$D$77</f>
        <v>0</v>
      </c>
      <c r="C161" s="39">
        <f>'Standing'!$D$98</f>
        <v>0</v>
      </c>
      <c r="D161" s="47">
        <f>'AggCap'!$D$83</f>
        <v>0</v>
      </c>
      <c r="E161" s="38">
        <f>IF(E$157&lt;&gt;0,(($B161*B$157+$C161*C$157))/E$157,0)</f>
        <v>0</v>
      </c>
      <c r="F161" s="21">
        <f>0.01*'Input'!$F$58*(D161*$D$157)+10*(B161*$B$157+C161*$C$157)</f>
        <v>0</v>
      </c>
      <c r="G161" s="38">
        <f>IF($E$157&lt;&gt;0,0.1*F161/$E$157,"")</f>
        <v>0</v>
      </c>
      <c r="H161" s="46">
        <f>IF($D$157&lt;&gt;0,F161/$D$157,"")</f>
        <v>0</v>
      </c>
      <c r="I161" s="17"/>
    </row>
    <row r="162" spans="1:9">
      <c r="A162" s="4" t="s">
        <v>453</v>
      </c>
      <c r="B162" s="39">
        <f>'Standing'!$E$77</f>
        <v>0</v>
      </c>
      <c r="C162" s="39">
        <f>'Standing'!$E$98</f>
        <v>0</v>
      </c>
      <c r="D162" s="47">
        <f>'AggCap'!$E$83</f>
        <v>0</v>
      </c>
      <c r="E162" s="38">
        <f>IF(E$157&lt;&gt;0,(($B162*B$157+$C162*C$157))/E$157,0)</f>
        <v>0</v>
      </c>
      <c r="F162" s="21">
        <f>0.01*'Input'!$F$58*(D162*$D$157)+10*(B162*$B$157+C162*$C$157)</f>
        <v>0</v>
      </c>
      <c r="G162" s="38">
        <f>IF($E$157&lt;&gt;0,0.1*F162/$E$157,"")</f>
        <v>0</v>
      </c>
      <c r="H162" s="46">
        <f>IF($D$157&lt;&gt;0,F162/$D$157,"")</f>
        <v>0</v>
      </c>
      <c r="I162" s="17"/>
    </row>
    <row r="163" spans="1:9">
      <c r="A163" s="4" t="s">
        <v>454</v>
      </c>
      <c r="B163" s="39">
        <f>'Standing'!$F$77</f>
        <v>0</v>
      </c>
      <c r="C163" s="39">
        <f>'Standing'!$F$98</f>
        <v>0</v>
      </c>
      <c r="D163" s="47">
        <f>'AggCap'!$F$83</f>
        <v>0</v>
      </c>
      <c r="E163" s="38">
        <f>IF(E$157&lt;&gt;0,(($B163*B$157+$C163*C$157))/E$157,0)</f>
        <v>0</v>
      </c>
      <c r="F163" s="21">
        <f>0.01*'Input'!$F$58*(D163*$D$157)+10*(B163*$B$157+C163*$C$157)</f>
        <v>0</v>
      </c>
      <c r="G163" s="38">
        <f>IF($E$157&lt;&gt;0,0.1*F163/$E$157,"")</f>
        <v>0</v>
      </c>
      <c r="H163" s="46">
        <f>IF($D$157&lt;&gt;0,F163/$D$157,"")</f>
        <v>0</v>
      </c>
      <c r="I163" s="17"/>
    </row>
    <row r="164" spans="1:9">
      <c r="A164" s="4" t="s">
        <v>455</v>
      </c>
      <c r="B164" s="39">
        <f>'Standing'!$G$77</f>
        <v>0</v>
      </c>
      <c r="C164" s="39">
        <f>'Standing'!$G$98</f>
        <v>0</v>
      </c>
      <c r="D164" s="47">
        <f>'AggCap'!$G$83</f>
        <v>0</v>
      </c>
      <c r="E164" s="38">
        <f>IF(E$157&lt;&gt;0,(($B164*B$157+$C164*C$157))/E$157,0)</f>
        <v>0</v>
      </c>
      <c r="F164" s="21">
        <f>0.01*'Input'!$F$58*(D164*$D$157)+10*(B164*$B$157+C164*$C$157)</f>
        <v>0</v>
      </c>
      <c r="G164" s="38">
        <f>IF($E$157&lt;&gt;0,0.1*F164/$E$157,"")</f>
        <v>0</v>
      </c>
      <c r="H164" s="46">
        <f>IF($D$157&lt;&gt;0,F164/$D$157,"")</f>
        <v>0</v>
      </c>
      <c r="I164" s="17"/>
    </row>
    <row r="165" spans="1:9">
      <c r="A165" s="4" t="s">
        <v>456</v>
      </c>
      <c r="B165" s="39">
        <f>'Standing'!$H$77</f>
        <v>0</v>
      </c>
      <c r="C165" s="39">
        <f>'Standing'!$H$98</f>
        <v>0</v>
      </c>
      <c r="D165" s="47">
        <f>'AggCap'!$H$83</f>
        <v>0</v>
      </c>
      <c r="E165" s="38">
        <f>IF(E$157&lt;&gt;0,(($B165*B$157+$C165*C$157))/E$157,0)</f>
        <v>0</v>
      </c>
      <c r="F165" s="21">
        <f>0.01*'Input'!$F$58*(D165*$D$157)+10*(B165*$B$157+C165*$C$157)</f>
        <v>0</v>
      </c>
      <c r="G165" s="38">
        <f>IF($E$157&lt;&gt;0,0.1*F165/$E$157,"")</f>
        <v>0</v>
      </c>
      <c r="H165" s="46">
        <f>IF($D$157&lt;&gt;0,F165/$D$157,"")</f>
        <v>0</v>
      </c>
      <c r="I165" s="17"/>
    </row>
    <row r="166" spans="1:9">
      <c r="A166" s="4" t="s">
        <v>457</v>
      </c>
      <c r="B166" s="39">
        <f>'Standing'!$I$77</f>
        <v>0</v>
      </c>
      <c r="C166" s="39">
        <f>'Standing'!$I$98</f>
        <v>0</v>
      </c>
      <c r="D166" s="47">
        <f>'AggCap'!$I$83</f>
        <v>0</v>
      </c>
      <c r="E166" s="38">
        <f>IF(E$157&lt;&gt;0,(($B166*B$157+$C166*C$157))/E$157,0)</f>
        <v>0</v>
      </c>
      <c r="F166" s="21">
        <f>0.01*'Input'!$F$58*(D166*$D$157)+10*(B166*$B$157+C166*$C$157)</f>
        <v>0</v>
      </c>
      <c r="G166" s="38">
        <f>IF($E$157&lt;&gt;0,0.1*F166/$E$157,"")</f>
        <v>0</v>
      </c>
      <c r="H166" s="46">
        <f>IF($D$157&lt;&gt;0,F166/$D$157,"")</f>
        <v>0</v>
      </c>
      <c r="I166" s="17"/>
    </row>
    <row r="167" spans="1:9">
      <c r="A167" s="4" t="s">
        <v>458</v>
      </c>
      <c r="B167" s="39">
        <f>'Standing'!$J$77</f>
        <v>0</v>
      </c>
      <c r="C167" s="39">
        <f>'Standing'!$J$98</f>
        <v>0</v>
      </c>
      <c r="D167" s="47">
        <f>'AggCap'!$J$83</f>
        <v>0</v>
      </c>
      <c r="E167" s="38">
        <f>IF(E$157&lt;&gt;0,(($B167*B$157+$C167*C$157))/E$157,0)</f>
        <v>0</v>
      </c>
      <c r="F167" s="21">
        <f>0.01*'Input'!$F$58*(D167*$D$157)+10*(B167*$B$157+C167*$C$157)</f>
        <v>0</v>
      </c>
      <c r="G167" s="38">
        <f>IF($E$157&lt;&gt;0,0.1*F167/$E$157,"")</f>
        <v>0</v>
      </c>
      <c r="H167" s="46">
        <f>IF($D$157&lt;&gt;0,F167/$D$157,"")</f>
        <v>0</v>
      </c>
      <c r="I167" s="17"/>
    </row>
    <row r="168" spans="1:9">
      <c r="A168" s="4" t="s">
        <v>1638</v>
      </c>
      <c r="B168" s="10"/>
      <c r="C168" s="10"/>
      <c r="D168" s="47">
        <f>'SM'!$B$104</f>
        <v>0</v>
      </c>
      <c r="E168" s="38">
        <f>IF(E$157&lt;&gt;0,(($B168*B$157+$C168*C$157))/E$157,0)</f>
        <v>0</v>
      </c>
      <c r="F168" s="21">
        <f>0.01*'Input'!$F$58*(D168*$D$157)+10*(B168*$B$157+C168*$C$157)</f>
        <v>0</v>
      </c>
      <c r="G168" s="38">
        <f>IF($E$157&lt;&gt;0,0.1*F168/$E$157,"")</f>
        <v>0</v>
      </c>
      <c r="H168" s="46">
        <f>IF($D$157&lt;&gt;0,F168/$D$157,"")</f>
        <v>0</v>
      </c>
      <c r="I168" s="17"/>
    </row>
    <row r="169" spans="1:9">
      <c r="A169" s="4" t="s">
        <v>1639</v>
      </c>
      <c r="B169" s="10"/>
      <c r="C169" s="10"/>
      <c r="D169" s="47">
        <f>'SM'!$C$104</f>
        <v>0</v>
      </c>
      <c r="E169" s="38">
        <f>IF(E$157&lt;&gt;0,(($B169*B$157+$C169*C$157))/E$157,0)</f>
        <v>0</v>
      </c>
      <c r="F169" s="21">
        <f>0.01*'Input'!$F$58*(D169*$D$157)+10*(B169*$B$157+C169*$C$157)</f>
        <v>0</v>
      </c>
      <c r="G169" s="38">
        <f>IF($E$157&lt;&gt;0,0.1*F169/$E$157,"")</f>
        <v>0</v>
      </c>
      <c r="H169" s="46">
        <f>IF($D$157&lt;&gt;0,F169/$D$157,"")</f>
        <v>0</v>
      </c>
      <c r="I169" s="17"/>
    </row>
    <row r="170" spans="1:9">
      <c r="A170" s="4" t="s">
        <v>1640</v>
      </c>
      <c r="B170" s="39">
        <f>'Standing'!$K$77</f>
        <v>0</v>
      </c>
      <c r="C170" s="39">
        <f>'Standing'!$K$98</f>
        <v>0</v>
      </c>
      <c r="D170" s="47">
        <f>'AggCap'!$K$83</f>
        <v>0</v>
      </c>
      <c r="E170" s="38">
        <f>IF(E$157&lt;&gt;0,(($B170*B$157+$C170*C$157))/E$157,0)</f>
        <v>0</v>
      </c>
      <c r="F170" s="21">
        <f>0.01*'Input'!$F$58*(D170*$D$157)+10*(B170*$B$157+C170*$C$157)</f>
        <v>0</v>
      </c>
      <c r="G170" s="38">
        <f>IF($E$157&lt;&gt;0,0.1*F170/$E$157,"")</f>
        <v>0</v>
      </c>
      <c r="H170" s="46">
        <f>IF($D$157&lt;&gt;0,F170/$D$157,"")</f>
        <v>0</v>
      </c>
      <c r="I170" s="17"/>
    </row>
    <row r="171" spans="1:9">
      <c r="A171" s="4" t="s">
        <v>1641</v>
      </c>
      <c r="B171" s="39">
        <f>'Standing'!$L$77</f>
        <v>0</v>
      </c>
      <c r="C171" s="39">
        <f>'Standing'!$L$98</f>
        <v>0</v>
      </c>
      <c r="D171" s="47">
        <f>'AggCap'!$L$83</f>
        <v>0</v>
      </c>
      <c r="E171" s="38">
        <f>IF(E$157&lt;&gt;0,(($B171*B$157+$C171*C$157))/E$157,0)</f>
        <v>0</v>
      </c>
      <c r="F171" s="21">
        <f>0.01*'Input'!$F$58*(D171*$D$157)+10*(B171*$B$157+C171*$C$157)</f>
        <v>0</v>
      </c>
      <c r="G171" s="38">
        <f>IF($E$157&lt;&gt;0,0.1*F171/$E$157,"")</f>
        <v>0</v>
      </c>
      <c r="H171" s="46">
        <f>IF($D$157&lt;&gt;0,F171/$D$157,"")</f>
        <v>0</v>
      </c>
      <c r="I171" s="17"/>
    </row>
    <row r="172" spans="1:9">
      <c r="A172" s="4" t="s">
        <v>1642</v>
      </c>
      <c r="B172" s="39">
        <f>'Standing'!$M$77</f>
        <v>0</v>
      </c>
      <c r="C172" s="39">
        <f>'Standing'!$M$98</f>
        <v>0</v>
      </c>
      <c r="D172" s="47">
        <f>'AggCap'!$M$83</f>
        <v>0</v>
      </c>
      <c r="E172" s="38">
        <f>IF(E$157&lt;&gt;0,(($B172*B$157+$C172*C$157))/E$157,0)</f>
        <v>0</v>
      </c>
      <c r="F172" s="21">
        <f>0.01*'Input'!$F$58*(D172*$D$157)+10*(B172*$B$157+C172*$C$157)</f>
        <v>0</v>
      </c>
      <c r="G172" s="38">
        <f>IF($E$157&lt;&gt;0,0.1*F172/$E$157,"")</f>
        <v>0</v>
      </c>
      <c r="H172" s="46">
        <f>IF($D$157&lt;&gt;0,F172/$D$157,"")</f>
        <v>0</v>
      </c>
      <c r="I172" s="17"/>
    </row>
    <row r="173" spans="1:9">
      <c r="A173" s="4" t="s">
        <v>1643</v>
      </c>
      <c r="B173" s="39">
        <f>'Standing'!$N$77</f>
        <v>0</v>
      </c>
      <c r="C173" s="39">
        <f>'Standing'!$N$98</f>
        <v>0</v>
      </c>
      <c r="D173" s="47">
        <f>'AggCap'!$N$83</f>
        <v>0</v>
      </c>
      <c r="E173" s="38">
        <f>IF(E$157&lt;&gt;0,(($B173*B$157+$C173*C$157))/E$157,0)</f>
        <v>0</v>
      </c>
      <c r="F173" s="21">
        <f>0.01*'Input'!$F$58*(D173*$D$157)+10*(B173*$B$157+C173*$C$157)</f>
        <v>0</v>
      </c>
      <c r="G173" s="38">
        <f>IF($E$157&lt;&gt;0,0.1*F173/$E$157,"")</f>
        <v>0</v>
      </c>
      <c r="H173" s="46">
        <f>IF($D$157&lt;&gt;0,F173/$D$157,"")</f>
        <v>0</v>
      </c>
      <c r="I173" s="17"/>
    </row>
    <row r="174" spans="1:9">
      <c r="A174" s="4" t="s">
        <v>1644</v>
      </c>
      <c r="B174" s="39">
        <f>'Standing'!$O$77</f>
        <v>0</v>
      </c>
      <c r="C174" s="39">
        <f>'Standing'!$O$98</f>
        <v>0</v>
      </c>
      <c r="D174" s="47">
        <f>'AggCap'!$O$83</f>
        <v>0</v>
      </c>
      <c r="E174" s="38">
        <f>IF(E$157&lt;&gt;0,(($B174*B$157+$C174*C$157))/E$157,0)</f>
        <v>0</v>
      </c>
      <c r="F174" s="21">
        <f>0.01*'Input'!$F$58*(D174*$D$157)+10*(B174*$B$157+C174*$C$157)</f>
        <v>0</v>
      </c>
      <c r="G174" s="38">
        <f>IF($E$157&lt;&gt;0,0.1*F174/$E$157,"")</f>
        <v>0</v>
      </c>
      <c r="H174" s="46">
        <f>IF($D$157&lt;&gt;0,F174/$D$157,"")</f>
        <v>0</v>
      </c>
      <c r="I174" s="17"/>
    </row>
    <row r="175" spans="1:9">
      <c r="A175" s="4" t="s">
        <v>1645</v>
      </c>
      <c r="B175" s="39">
        <f>'Standing'!$P$77</f>
        <v>0</v>
      </c>
      <c r="C175" s="39">
        <f>'Standing'!$P$98</f>
        <v>0</v>
      </c>
      <c r="D175" s="47">
        <f>'AggCap'!$P$83</f>
        <v>0</v>
      </c>
      <c r="E175" s="38">
        <f>IF(E$157&lt;&gt;0,(($B175*B$157+$C175*C$157))/E$157,0)</f>
        <v>0</v>
      </c>
      <c r="F175" s="21">
        <f>0.01*'Input'!$F$58*(D175*$D$157)+10*(B175*$B$157+C175*$C$157)</f>
        <v>0</v>
      </c>
      <c r="G175" s="38">
        <f>IF($E$157&lt;&gt;0,0.1*F175/$E$157,"")</f>
        <v>0</v>
      </c>
      <c r="H175" s="46">
        <f>IF($D$157&lt;&gt;0,F175/$D$157,"")</f>
        <v>0</v>
      </c>
      <c r="I175" s="17"/>
    </row>
    <row r="176" spans="1:9">
      <c r="A176" s="4" t="s">
        <v>1646</v>
      </c>
      <c r="B176" s="39">
        <f>'Standing'!$Q$77</f>
        <v>0</v>
      </c>
      <c r="C176" s="39">
        <f>'Standing'!$Q$98</f>
        <v>0</v>
      </c>
      <c r="D176" s="47">
        <f>'AggCap'!$Q$83</f>
        <v>0</v>
      </c>
      <c r="E176" s="38">
        <f>IF(E$157&lt;&gt;0,(($B176*B$157+$C176*C$157))/E$157,0)</f>
        <v>0</v>
      </c>
      <c r="F176" s="21">
        <f>0.01*'Input'!$F$58*(D176*$D$157)+10*(B176*$B$157+C176*$C$157)</f>
        <v>0</v>
      </c>
      <c r="G176" s="38">
        <f>IF($E$157&lt;&gt;0,0.1*F176/$E$157,"")</f>
        <v>0</v>
      </c>
      <c r="H176" s="46">
        <f>IF($D$157&lt;&gt;0,F176/$D$157,"")</f>
        <v>0</v>
      </c>
      <c r="I176" s="17"/>
    </row>
    <row r="177" spans="1:9">
      <c r="A177" s="4" t="s">
        <v>1647</v>
      </c>
      <c r="B177" s="39">
        <f>'Standing'!$R$77</f>
        <v>0</v>
      </c>
      <c r="C177" s="39">
        <f>'Standing'!$R$98</f>
        <v>0</v>
      </c>
      <c r="D177" s="47">
        <f>'AggCap'!$R$83</f>
        <v>0</v>
      </c>
      <c r="E177" s="38">
        <f>IF(E$157&lt;&gt;0,(($B177*B$157+$C177*C$157))/E$157,0)</f>
        <v>0</v>
      </c>
      <c r="F177" s="21">
        <f>0.01*'Input'!$F$58*(D177*$D$157)+10*(B177*$B$157+C177*$C$157)</f>
        <v>0</v>
      </c>
      <c r="G177" s="38">
        <f>IF($E$157&lt;&gt;0,0.1*F177/$E$157,"")</f>
        <v>0</v>
      </c>
      <c r="H177" s="46">
        <f>IF($D$157&lt;&gt;0,F177/$D$157,"")</f>
        <v>0</v>
      </c>
      <c r="I177" s="17"/>
    </row>
    <row r="178" spans="1:9">
      <c r="A178" s="4" t="s">
        <v>1648</v>
      </c>
      <c r="B178" s="39">
        <f>'Standing'!$S$77</f>
        <v>0</v>
      </c>
      <c r="C178" s="39">
        <f>'Standing'!$S$98</f>
        <v>0</v>
      </c>
      <c r="D178" s="47">
        <f>'AggCap'!$S$83</f>
        <v>0</v>
      </c>
      <c r="E178" s="38">
        <f>IF(E$157&lt;&gt;0,(($B178*B$157+$C178*C$157))/E$157,0)</f>
        <v>0</v>
      </c>
      <c r="F178" s="21">
        <f>0.01*'Input'!$F$58*(D178*$D$157)+10*(B178*$B$157+C178*$C$157)</f>
        <v>0</v>
      </c>
      <c r="G178" s="38">
        <f>IF($E$157&lt;&gt;0,0.1*F178/$E$157,"")</f>
        <v>0</v>
      </c>
      <c r="H178" s="46">
        <f>IF($D$157&lt;&gt;0,F178/$D$157,"")</f>
        <v>0</v>
      </c>
      <c r="I178" s="17"/>
    </row>
    <row r="179" spans="1:9">
      <c r="A179" s="4" t="s">
        <v>1649</v>
      </c>
      <c r="B179" s="10"/>
      <c r="C179" s="10"/>
      <c r="D179" s="47">
        <f>'Otex'!$B$125</f>
        <v>0</v>
      </c>
      <c r="E179" s="38">
        <f>IF(E$157&lt;&gt;0,(($B179*B$157+$C179*C$157))/E$157,0)</f>
        <v>0</v>
      </c>
      <c r="F179" s="21">
        <f>0.01*'Input'!$F$58*(D179*$D$157)+10*(B179*$B$157+C179*$C$157)</f>
        <v>0</v>
      </c>
      <c r="G179" s="38">
        <f>IF($E$157&lt;&gt;0,0.1*F179/$E$157,"")</f>
        <v>0</v>
      </c>
      <c r="H179" s="46">
        <f>IF($D$157&lt;&gt;0,F179/$D$157,"")</f>
        <v>0</v>
      </c>
      <c r="I179" s="17"/>
    </row>
    <row r="180" spans="1:9">
      <c r="A180" s="4" t="s">
        <v>1650</v>
      </c>
      <c r="B180" s="10"/>
      <c r="C180" s="10"/>
      <c r="D180" s="47">
        <f>'Otex'!$C$125</f>
        <v>0</v>
      </c>
      <c r="E180" s="38">
        <f>IF(E$157&lt;&gt;0,(($B180*B$157+$C180*C$157))/E$157,0)</f>
        <v>0</v>
      </c>
      <c r="F180" s="21">
        <f>0.01*'Input'!$F$58*(D180*$D$157)+10*(B180*$B$157+C180*$C$157)</f>
        <v>0</v>
      </c>
      <c r="G180" s="38">
        <f>IF($E$157&lt;&gt;0,0.1*F180/$E$157,"")</f>
        <v>0</v>
      </c>
      <c r="H180" s="46">
        <f>IF($D$157&lt;&gt;0,F180/$D$157,"")</f>
        <v>0</v>
      </c>
      <c r="I180" s="17"/>
    </row>
    <row r="181" spans="1:9">
      <c r="A181" s="4" t="s">
        <v>1651</v>
      </c>
      <c r="B181" s="39">
        <f>'Scaler'!$B$393</f>
        <v>0</v>
      </c>
      <c r="C181" s="39">
        <f>'Scaler'!$C$393</f>
        <v>0</v>
      </c>
      <c r="D181" s="47">
        <f>'Scaler'!$E$393</f>
        <v>0</v>
      </c>
      <c r="E181" s="38">
        <f>IF(E$157&lt;&gt;0,(($B181*B$157+$C181*C$157))/E$157,0)</f>
        <v>0</v>
      </c>
      <c r="F181" s="21">
        <f>0.01*'Input'!$F$58*(D181*$D$157)+10*(B181*$B$157+C181*$C$157)</f>
        <v>0</v>
      </c>
      <c r="G181" s="38">
        <f>IF($E$157&lt;&gt;0,0.1*F181/$E$157,"")</f>
        <v>0</v>
      </c>
      <c r="H181" s="46">
        <f>IF($D$157&lt;&gt;0,F181/$D$157,"")</f>
        <v>0</v>
      </c>
      <c r="I181" s="17"/>
    </row>
    <row r="182" spans="1:9">
      <c r="A182" s="4" t="s">
        <v>1652</v>
      </c>
      <c r="B182" s="39">
        <f>'Adjust'!$B$73</f>
        <v>0</v>
      </c>
      <c r="C182" s="39">
        <f>'Adjust'!$C$73</f>
        <v>0</v>
      </c>
      <c r="D182" s="47">
        <f>'Adjust'!$E$73</f>
        <v>0</v>
      </c>
      <c r="E182" s="38">
        <f>IF(E$157&lt;&gt;0,(($B182*B$157+$C182*C$157))/E$157,0)</f>
        <v>0</v>
      </c>
      <c r="F182" s="21">
        <f>0.01*'Input'!$F$58*(D182*$D$157)+10*(B182*$B$157+C182*$C$157)</f>
        <v>0</v>
      </c>
      <c r="G182" s="38">
        <f>IF($E$157&lt;&gt;0,0.1*F182/$E$157,"")</f>
        <v>0</v>
      </c>
      <c r="H182" s="46">
        <f>IF($D$157&lt;&gt;0,F182/$D$157,"")</f>
        <v>0</v>
      </c>
      <c r="I182" s="17"/>
    </row>
    <row r="184" spans="1:9">
      <c r="A184" s="4" t="s">
        <v>1653</v>
      </c>
      <c r="B184" s="38">
        <f>SUM($B$160:$B$182)</f>
        <v>0</v>
      </c>
      <c r="C184" s="38">
        <f>SUM($C$160:$C$182)</f>
        <v>0</v>
      </c>
      <c r="D184" s="46">
        <f>SUM($D$160:$D$182)</f>
        <v>0</v>
      </c>
      <c r="E184" s="38">
        <f>SUM(E$160:E$182)</f>
        <v>0</v>
      </c>
      <c r="F184" s="21">
        <f>SUM($F$160:$F$182)</f>
        <v>0</v>
      </c>
      <c r="G184" s="38">
        <f>SUM($G$160:$G$182)</f>
        <v>0</v>
      </c>
      <c r="H184" s="46">
        <f>SUM($H$160:$H$182)</f>
        <v>0</v>
      </c>
    </row>
    <row r="186" spans="1:9" ht="21" customHeight="1">
      <c r="A186" s="1" t="s">
        <v>212</v>
      </c>
    </row>
    <row r="188" spans="1:9">
      <c r="B188" s="15" t="s">
        <v>222</v>
      </c>
      <c r="C188" s="15" t="s">
        <v>1634</v>
      </c>
    </row>
    <row r="189" spans="1:9">
      <c r="A189" s="4" t="s">
        <v>212</v>
      </c>
      <c r="B189" s="44">
        <f>'Loads'!B$285</f>
        <v>0</v>
      </c>
      <c r="C189" s="44">
        <f>'Multi'!B$112</f>
        <v>0</v>
      </c>
      <c r="D189" s="17"/>
    </row>
    <row r="191" spans="1:9">
      <c r="B191" s="15" t="s">
        <v>1466</v>
      </c>
      <c r="C191" s="15" t="s">
        <v>1636</v>
      </c>
      <c r="D191" s="15" t="s">
        <v>1606</v>
      </c>
    </row>
    <row r="192" spans="1:9">
      <c r="A192" s="4" t="s">
        <v>451</v>
      </c>
      <c r="B192" s="39">
        <f>'Standing'!$C$78</f>
        <v>0</v>
      </c>
      <c r="C192" s="21">
        <f>0+10*(B192*$B$189)</f>
        <v>0</v>
      </c>
      <c r="D192" s="38">
        <f>IF($C$189&lt;&gt;0,0.1*C192/$C$189,"")</f>
        <v>0</v>
      </c>
      <c r="E192" s="17"/>
    </row>
    <row r="193" spans="1:5">
      <c r="A193" s="4" t="s">
        <v>452</v>
      </c>
      <c r="B193" s="39">
        <f>'Standing'!$D$78</f>
        <v>0</v>
      </c>
      <c r="C193" s="21">
        <f>0+10*(B193*$B$189)</f>
        <v>0</v>
      </c>
      <c r="D193" s="38">
        <f>IF($C$189&lt;&gt;0,0.1*C193/$C$189,"")</f>
        <v>0</v>
      </c>
      <c r="E193" s="17"/>
    </row>
    <row r="194" spans="1:5">
      <c r="A194" s="4" t="s">
        <v>453</v>
      </c>
      <c r="B194" s="39">
        <f>'Standing'!$E$78</f>
        <v>0</v>
      </c>
      <c r="C194" s="21">
        <f>0+10*(B194*$B$189)</f>
        <v>0</v>
      </c>
      <c r="D194" s="38">
        <f>IF($C$189&lt;&gt;0,0.1*C194/$C$189,"")</f>
        <v>0</v>
      </c>
      <c r="E194" s="17"/>
    </row>
    <row r="195" spans="1:5">
      <c r="A195" s="4" t="s">
        <v>454</v>
      </c>
      <c r="B195" s="39">
        <f>'Standing'!$F$78</f>
        <v>0</v>
      </c>
      <c r="C195" s="21">
        <f>0+10*(B195*$B$189)</f>
        <v>0</v>
      </c>
      <c r="D195" s="38">
        <f>IF($C$189&lt;&gt;0,0.1*C195/$C$189,"")</f>
        <v>0</v>
      </c>
      <c r="E195" s="17"/>
    </row>
    <row r="196" spans="1:5">
      <c r="A196" s="4" t="s">
        <v>455</v>
      </c>
      <c r="B196" s="39">
        <f>'Standing'!$G$78</f>
        <v>0</v>
      </c>
      <c r="C196" s="21">
        <f>0+10*(B196*$B$189)</f>
        <v>0</v>
      </c>
      <c r="D196" s="38">
        <f>IF($C$189&lt;&gt;0,0.1*C196/$C$189,"")</f>
        <v>0</v>
      </c>
      <c r="E196" s="17"/>
    </row>
    <row r="197" spans="1:5">
      <c r="A197" s="4" t="s">
        <v>456</v>
      </c>
      <c r="B197" s="39">
        <f>'Standing'!$H$78</f>
        <v>0</v>
      </c>
      <c r="C197" s="21">
        <f>0+10*(B197*$B$189)</f>
        <v>0</v>
      </c>
      <c r="D197" s="38">
        <f>IF($C$189&lt;&gt;0,0.1*C197/$C$189,"")</f>
        <v>0</v>
      </c>
      <c r="E197" s="17"/>
    </row>
    <row r="198" spans="1:5">
      <c r="A198" s="4" t="s">
        <v>457</v>
      </c>
      <c r="B198" s="39">
        <f>'Standing'!$I$78</f>
        <v>0</v>
      </c>
      <c r="C198" s="21">
        <f>0+10*(B198*$B$189)</f>
        <v>0</v>
      </c>
      <c r="D198" s="38">
        <f>IF($C$189&lt;&gt;0,0.1*C198/$C$189,"")</f>
        <v>0</v>
      </c>
      <c r="E198" s="17"/>
    </row>
    <row r="199" spans="1:5">
      <c r="A199" s="4" t="s">
        <v>458</v>
      </c>
      <c r="B199" s="39">
        <f>'Standing'!$J$78</f>
        <v>0</v>
      </c>
      <c r="C199" s="21">
        <f>0+10*(B199*$B$189)</f>
        <v>0</v>
      </c>
      <c r="D199" s="38">
        <f>IF($C$189&lt;&gt;0,0.1*C199/$C$189,"")</f>
        <v>0</v>
      </c>
      <c r="E199" s="17"/>
    </row>
    <row r="200" spans="1:5">
      <c r="A200" s="4" t="s">
        <v>1640</v>
      </c>
      <c r="B200" s="39">
        <f>'Standing'!$K$78</f>
        <v>0</v>
      </c>
      <c r="C200" s="21">
        <f>0+10*(B200*$B$189)</f>
        <v>0</v>
      </c>
      <c r="D200" s="38">
        <f>IF($C$189&lt;&gt;0,0.1*C200/$C$189,"")</f>
        <v>0</v>
      </c>
      <c r="E200" s="17"/>
    </row>
    <row r="201" spans="1:5">
      <c r="A201" s="4" t="s">
        <v>1641</v>
      </c>
      <c r="B201" s="39">
        <f>'Standing'!$L$78</f>
        <v>0</v>
      </c>
      <c r="C201" s="21">
        <f>0+10*(B201*$B$189)</f>
        <v>0</v>
      </c>
      <c r="D201" s="38">
        <f>IF($C$189&lt;&gt;0,0.1*C201/$C$189,"")</f>
        <v>0</v>
      </c>
      <c r="E201" s="17"/>
    </row>
    <row r="202" spans="1:5">
      <c r="A202" s="4" t="s">
        <v>1642</v>
      </c>
      <c r="B202" s="39">
        <f>'Standing'!$M$78</f>
        <v>0</v>
      </c>
      <c r="C202" s="21">
        <f>0+10*(B202*$B$189)</f>
        <v>0</v>
      </c>
      <c r="D202" s="38">
        <f>IF($C$189&lt;&gt;0,0.1*C202/$C$189,"")</f>
        <v>0</v>
      </c>
      <c r="E202" s="17"/>
    </row>
    <row r="203" spans="1:5">
      <c r="A203" s="4" t="s">
        <v>1643</v>
      </c>
      <c r="B203" s="39">
        <f>'Standing'!$N$78</f>
        <v>0</v>
      </c>
      <c r="C203" s="21">
        <f>0+10*(B203*$B$189)</f>
        <v>0</v>
      </c>
      <c r="D203" s="38">
        <f>IF($C$189&lt;&gt;0,0.1*C203/$C$189,"")</f>
        <v>0</v>
      </c>
      <c r="E203" s="17"/>
    </row>
    <row r="204" spans="1:5">
      <c r="A204" s="4" t="s">
        <v>1644</v>
      </c>
      <c r="B204" s="39">
        <f>'Standing'!$O$78</f>
        <v>0</v>
      </c>
      <c r="C204" s="21">
        <f>0+10*(B204*$B$189)</f>
        <v>0</v>
      </c>
      <c r="D204" s="38">
        <f>IF($C$189&lt;&gt;0,0.1*C204/$C$189,"")</f>
        <v>0</v>
      </c>
      <c r="E204" s="17"/>
    </row>
    <row r="205" spans="1:5">
      <c r="A205" s="4" t="s">
        <v>1645</v>
      </c>
      <c r="B205" s="39">
        <f>'Standing'!$P$78</f>
        <v>0</v>
      </c>
      <c r="C205" s="21">
        <f>0+10*(B205*$B$189)</f>
        <v>0</v>
      </c>
      <c r="D205" s="38">
        <f>IF($C$189&lt;&gt;0,0.1*C205/$C$189,"")</f>
        <v>0</v>
      </c>
      <c r="E205" s="17"/>
    </row>
    <row r="206" spans="1:5">
      <c r="A206" s="4" t="s">
        <v>1646</v>
      </c>
      <c r="B206" s="39">
        <f>'Standing'!$Q$78</f>
        <v>0</v>
      </c>
      <c r="C206" s="21">
        <f>0+10*(B206*$B$189)</f>
        <v>0</v>
      </c>
      <c r="D206" s="38">
        <f>IF($C$189&lt;&gt;0,0.1*C206/$C$189,"")</f>
        <v>0</v>
      </c>
      <c r="E206" s="17"/>
    </row>
    <row r="207" spans="1:5">
      <c r="A207" s="4" t="s">
        <v>1647</v>
      </c>
      <c r="B207" s="39">
        <f>'Standing'!$R$78</f>
        <v>0</v>
      </c>
      <c r="C207" s="21">
        <f>0+10*(B207*$B$189)</f>
        <v>0</v>
      </c>
      <c r="D207" s="38">
        <f>IF($C$189&lt;&gt;0,0.1*C207/$C$189,"")</f>
        <v>0</v>
      </c>
      <c r="E207" s="17"/>
    </row>
    <row r="208" spans="1:5">
      <c r="A208" s="4" t="s">
        <v>1648</v>
      </c>
      <c r="B208" s="39">
        <f>'Standing'!$S$78</f>
        <v>0</v>
      </c>
      <c r="C208" s="21">
        <f>0+10*(B208*$B$189)</f>
        <v>0</v>
      </c>
      <c r="D208" s="38">
        <f>IF($C$189&lt;&gt;0,0.1*C208/$C$189,"")</f>
        <v>0</v>
      </c>
      <c r="E208" s="17"/>
    </row>
    <row r="209" spans="1:10">
      <c r="A209" s="4" t="s">
        <v>1651</v>
      </c>
      <c r="B209" s="39">
        <f>'Scaler'!$B$394</f>
        <v>0</v>
      </c>
      <c r="C209" s="21">
        <f>0+10*(B209*$B$189)</f>
        <v>0</v>
      </c>
      <c r="D209" s="38">
        <f>IF($C$189&lt;&gt;0,0.1*C209/$C$189,"")</f>
        <v>0</v>
      </c>
      <c r="E209" s="17"/>
    </row>
    <row r="210" spans="1:10">
      <c r="A210" s="4" t="s">
        <v>1652</v>
      </c>
      <c r="B210" s="39">
        <f>'Adjust'!$B$74</f>
        <v>0</v>
      </c>
      <c r="C210" s="21">
        <f>0+10*(B210*$B$189)</f>
        <v>0</v>
      </c>
      <c r="D210" s="38">
        <f>IF($C$189&lt;&gt;0,0.1*C210/$C$189,"")</f>
        <v>0</v>
      </c>
      <c r="E210" s="17"/>
    </row>
    <row r="212" spans="1:10">
      <c r="A212" s="4" t="s">
        <v>1653</v>
      </c>
      <c r="B212" s="38">
        <f>SUM($B$192:$B$210)</f>
        <v>0</v>
      </c>
      <c r="C212" s="21">
        <f>SUM($C$192:$C$210)</f>
        <v>0</v>
      </c>
      <c r="D212" s="38">
        <f>SUM($D$192:$D$210)</f>
        <v>0</v>
      </c>
    </row>
    <row r="214" spans="1:10" ht="21" customHeight="1">
      <c r="A214" s="1" t="s">
        <v>178</v>
      </c>
    </row>
    <row r="216" spans="1:10">
      <c r="B216" s="15" t="s">
        <v>222</v>
      </c>
      <c r="C216" s="15" t="s">
        <v>223</v>
      </c>
      <c r="D216" s="15" t="s">
        <v>224</v>
      </c>
      <c r="E216" s="15" t="s">
        <v>225</v>
      </c>
      <c r="F216" s="15" t="s">
        <v>1634</v>
      </c>
      <c r="G216" s="15" t="s">
        <v>1635</v>
      </c>
    </row>
    <row r="217" spans="1:10">
      <c r="A217" s="4" t="s">
        <v>178</v>
      </c>
      <c r="B217" s="44">
        <f>'Loads'!B$286</f>
        <v>0</v>
      </c>
      <c r="C217" s="44">
        <f>'Loads'!C$286</f>
        <v>0</v>
      </c>
      <c r="D217" s="44">
        <f>'Loads'!D$286</f>
        <v>0</v>
      </c>
      <c r="E217" s="44">
        <f>'Loads'!E$286</f>
        <v>0</v>
      </c>
      <c r="F217" s="44">
        <f>'Multi'!B$113</f>
        <v>0</v>
      </c>
      <c r="G217" s="38">
        <f>IF(E217,F217/E217,"")</f>
        <v>0</v>
      </c>
      <c r="H217" s="17"/>
    </row>
    <row r="219" spans="1:10">
      <c r="B219" s="15" t="s">
        <v>1466</v>
      </c>
      <c r="C219" s="15" t="s">
        <v>1467</v>
      </c>
      <c r="D219" s="15" t="s">
        <v>1468</v>
      </c>
      <c r="E219" s="15" t="s">
        <v>1469</v>
      </c>
      <c r="F219" s="15" t="s">
        <v>1654</v>
      </c>
      <c r="G219" s="15" t="s">
        <v>1636</v>
      </c>
      <c r="H219" s="15" t="s">
        <v>1606</v>
      </c>
      <c r="I219" s="15" t="s">
        <v>1637</v>
      </c>
    </row>
    <row r="220" spans="1:10">
      <c r="A220" s="4" t="s">
        <v>451</v>
      </c>
      <c r="B220" s="39">
        <f>'Standing'!$C$79</f>
        <v>0</v>
      </c>
      <c r="C220" s="39">
        <f>'Standing'!$C$99</f>
        <v>0</v>
      </c>
      <c r="D220" s="39">
        <f>'Standing'!$C$113</f>
        <v>0</v>
      </c>
      <c r="E220" s="47">
        <f>'AggCap'!$C$84</f>
        <v>0</v>
      </c>
      <c r="F220" s="38">
        <f>IF(F$217&lt;&gt;0,(($B220*B$217+$C220*C$217+$D220*D$217))/F$217,0)</f>
        <v>0</v>
      </c>
      <c r="G220" s="21">
        <f>0.01*'Input'!$F$58*(E220*$E$217)+10*(B220*$B$217+C220*$C$217+D220*$D$217)</f>
        <v>0</v>
      </c>
      <c r="H220" s="38">
        <f>IF($F$217&lt;&gt;0,0.1*G220/$F$217,"")</f>
        <v>0</v>
      </c>
      <c r="I220" s="46">
        <f>IF($E$217&lt;&gt;0,G220/$E$217,"")</f>
        <v>0</v>
      </c>
      <c r="J220" s="17"/>
    </row>
    <row r="221" spans="1:10">
      <c r="A221" s="4" t="s">
        <v>452</v>
      </c>
      <c r="B221" s="39">
        <f>'Standing'!$D$79</f>
        <v>0</v>
      </c>
      <c r="C221" s="39">
        <f>'Standing'!$D$99</f>
        <v>0</v>
      </c>
      <c r="D221" s="39">
        <f>'Standing'!$D$113</f>
        <v>0</v>
      </c>
      <c r="E221" s="47">
        <f>'AggCap'!$D$84</f>
        <v>0</v>
      </c>
      <c r="F221" s="38">
        <f>IF(F$217&lt;&gt;0,(($B221*B$217+$C221*C$217+$D221*D$217))/F$217,0)</f>
        <v>0</v>
      </c>
      <c r="G221" s="21">
        <f>0.01*'Input'!$F$58*(E221*$E$217)+10*(B221*$B$217+C221*$C$217+D221*$D$217)</f>
        <v>0</v>
      </c>
      <c r="H221" s="38">
        <f>IF($F$217&lt;&gt;0,0.1*G221/$F$217,"")</f>
        <v>0</v>
      </c>
      <c r="I221" s="46">
        <f>IF($E$217&lt;&gt;0,G221/$E$217,"")</f>
        <v>0</v>
      </c>
      <c r="J221" s="17"/>
    </row>
    <row r="222" spans="1:10">
      <c r="A222" s="4" t="s">
        <v>453</v>
      </c>
      <c r="B222" s="39">
        <f>'Standing'!$E$79</f>
        <v>0</v>
      </c>
      <c r="C222" s="39">
        <f>'Standing'!$E$99</f>
        <v>0</v>
      </c>
      <c r="D222" s="39">
        <f>'Standing'!$E$113</f>
        <v>0</v>
      </c>
      <c r="E222" s="47">
        <f>'AggCap'!$E$84</f>
        <v>0</v>
      </c>
      <c r="F222" s="38">
        <f>IF(F$217&lt;&gt;0,(($B222*B$217+$C222*C$217+$D222*D$217))/F$217,0)</f>
        <v>0</v>
      </c>
      <c r="G222" s="21">
        <f>0.01*'Input'!$F$58*(E222*$E$217)+10*(B222*$B$217+C222*$C$217+D222*$D$217)</f>
        <v>0</v>
      </c>
      <c r="H222" s="38">
        <f>IF($F$217&lt;&gt;0,0.1*G222/$F$217,"")</f>
        <v>0</v>
      </c>
      <c r="I222" s="46">
        <f>IF($E$217&lt;&gt;0,G222/$E$217,"")</f>
        <v>0</v>
      </c>
      <c r="J222" s="17"/>
    </row>
    <row r="223" spans="1:10">
      <c r="A223" s="4" t="s">
        <v>454</v>
      </c>
      <c r="B223" s="39">
        <f>'Standing'!$F$79</f>
        <v>0</v>
      </c>
      <c r="C223" s="39">
        <f>'Standing'!$F$99</f>
        <v>0</v>
      </c>
      <c r="D223" s="39">
        <f>'Standing'!$F$113</f>
        <v>0</v>
      </c>
      <c r="E223" s="47">
        <f>'AggCap'!$F$84</f>
        <v>0</v>
      </c>
      <c r="F223" s="38">
        <f>IF(F$217&lt;&gt;0,(($B223*B$217+$C223*C$217+$D223*D$217))/F$217,0)</f>
        <v>0</v>
      </c>
      <c r="G223" s="21">
        <f>0.01*'Input'!$F$58*(E223*$E$217)+10*(B223*$B$217+C223*$C$217+D223*$D$217)</f>
        <v>0</v>
      </c>
      <c r="H223" s="38">
        <f>IF($F$217&lt;&gt;0,0.1*G223/$F$217,"")</f>
        <v>0</v>
      </c>
      <c r="I223" s="46">
        <f>IF($E$217&lt;&gt;0,G223/$E$217,"")</f>
        <v>0</v>
      </c>
      <c r="J223" s="17"/>
    </row>
    <row r="224" spans="1:10">
      <c r="A224" s="4" t="s">
        <v>455</v>
      </c>
      <c r="B224" s="39">
        <f>'Standing'!$G$79</f>
        <v>0</v>
      </c>
      <c r="C224" s="39">
        <f>'Standing'!$G$99</f>
        <v>0</v>
      </c>
      <c r="D224" s="39">
        <f>'Standing'!$G$113</f>
        <v>0</v>
      </c>
      <c r="E224" s="47">
        <f>'AggCap'!$G$84</f>
        <v>0</v>
      </c>
      <c r="F224" s="38">
        <f>IF(F$217&lt;&gt;0,(($B224*B$217+$C224*C$217+$D224*D$217))/F$217,0)</f>
        <v>0</v>
      </c>
      <c r="G224" s="21">
        <f>0.01*'Input'!$F$58*(E224*$E$217)+10*(B224*$B$217+C224*$C$217+D224*$D$217)</f>
        <v>0</v>
      </c>
      <c r="H224" s="38">
        <f>IF($F$217&lt;&gt;0,0.1*G224/$F$217,"")</f>
        <v>0</v>
      </c>
      <c r="I224" s="46">
        <f>IF($E$217&lt;&gt;0,G224/$E$217,"")</f>
        <v>0</v>
      </c>
      <c r="J224" s="17"/>
    </row>
    <row r="225" spans="1:10">
      <c r="A225" s="4" t="s">
        <v>456</v>
      </c>
      <c r="B225" s="39">
        <f>'Standing'!$H$79</f>
        <v>0</v>
      </c>
      <c r="C225" s="39">
        <f>'Standing'!$H$99</f>
        <v>0</v>
      </c>
      <c r="D225" s="39">
        <f>'Standing'!$H$113</f>
        <v>0</v>
      </c>
      <c r="E225" s="47">
        <f>'AggCap'!$H$84</f>
        <v>0</v>
      </c>
      <c r="F225" s="38">
        <f>IF(F$217&lt;&gt;0,(($B225*B$217+$C225*C$217+$D225*D$217))/F$217,0)</f>
        <v>0</v>
      </c>
      <c r="G225" s="21">
        <f>0.01*'Input'!$F$58*(E225*$E$217)+10*(B225*$B$217+C225*$C$217+D225*$D$217)</f>
        <v>0</v>
      </c>
      <c r="H225" s="38">
        <f>IF($F$217&lt;&gt;0,0.1*G225/$F$217,"")</f>
        <v>0</v>
      </c>
      <c r="I225" s="46">
        <f>IF($E$217&lt;&gt;0,G225/$E$217,"")</f>
        <v>0</v>
      </c>
      <c r="J225" s="17"/>
    </row>
    <row r="226" spans="1:10">
      <c r="A226" s="4" t="s">
        <v>457</v>
      </c>
      <c r="B226" s="39">
        <f>'Standing'!$I$79</f>
        <v>0</v>
      </c>
      <c r="C226" s="39">
        <f>'Standing'!$I$99</f>
        <v>0</v>
      </c>
      <c r="D226" s="39">
        <f>'Standing'!$I$113</f>
        <v>0</v>
      </c>
      <c r="E226" s="47">
        <f>'AggCap'!$I$84</f>
        <v>0</v>
      </c>
      <c r="F226" s="38">
        <f>IF(F$217&lt;&gt;0,(($B226*B$217+$C226*C$217+$D226*D$217))/F$217,0)</f>
        <v>0</v>
      </c>
      <c r="G226" s="21">
        <f>0.01*'Input'!$F$58*(E226*$E$217)+10*(B226*$B$217+C226*$C$217+D226*$D$217)</f>
        <v>0</v>
      </c>
      <c r="H226" s="38">
        <f>IF($F$217&lt;&gt;0,0.1*G226/$F$217,"")</f>
        <v>0</v>
      </c>
      <c r="I226" s="46">
        <f>IF($E$217&lt;&gt;0,G226/$E$217,"")</f>
        <v>0</v>
      </c>
      <c r="J226" s="17"/>
    </row>
    <row r="227" spans="1:10">
      <c r="A227" s="4" t="s">
        <v>458</v>
      </c>
      <c r="B227" s="39">
        <f>'Standing'!$J$79</f>
        <v>0</v>
      </c>
      <c r="C227" s="39">
        <f>'Standing'!$J$99</f>
        <v>0</v>
      </c>
      <c r="D227" s="39">
        <f>'Standing'!$J$113</f>
        <v>0</v>
      </c>
      <c r="E227" s="47">
        <f>'AggCap'!$J$84</f>
        <v>0</v>
      </c>
      <c r="F227" s="38">
        <f>IF(F$217&lt;&gt;0,(($B227*B$217+$C227*C$217+$D227*D$217))/F$217,0)</f>
        <v>0</v>
      </c>
      <c r="G227" s="21">
        <f>0.01*'Input'!$F$58*(E227*$E$217)+10*(B227*$B$217+C227*$C$217+D227*$D$217)</f>
        <v>0</v>
      </c>
      <c r="H227" s="38">
        <f>IF($F$217&lt;&gt;0,0.1*G227/$F$217,"")</f>
        <v>0</v>
      </c>
      <c r="I227" s="46">
        <f>IF($E$217&lt;&gt;0,G227/$E$217,"")</f>
        <v>0</v>
      </c>
      <c r="J227" s="17"/>
    </row>
    <row r="228" spans="1:10">
      <c r="A228" s="4" t="s">
        <v>1638</v>
      </c>
      <c r="B228" s="10"/>
      <c r="C228" s="10"/>
      <c r="D228" s="10"/>
      <c r="E228" s="47">
        <f>'SM'!$B$106</f>
        <v>0</v>
      </c>
      <c r="F228" s="38">
        <f>IF(F$217&lt;&gt;0,(($B228*B$217+$C228*C$217+$D228*D$217))/F$217,0)</f>
        <v>0</v>
      </c>
      <c r="G228" s="21">
        <f>0.01*'Input'!$F$58*(E228*$E$217)+10*(B228*$B$217+C228*$C$217+D228*$D$217)</f>
        <v>0</v>
      </c>
      <c r="H228" s="38">
        <f>IF($F$217&lt;&gt;0,0.1*G228/$F$217,"")</f>
        <v>0</v>
      </c>
      <c r="I228" s="46">
        <f>IF($E$217&lt;&gt;0,G228/$E$217,"")</f>
        <v>0</v>
      </c>
      <c r="J228" s="17"/>
    </row>
    <row r="229" spans="1:10">
      <c r="A229" s="4" t="s">
        <v>1639</v>
      </c>
      <c r="B229" s="10"/>
      <c r="C229" s="10"/>
      <c r="D229" s="10"/>
      <c r="E229" s="47">
        <f>'SM'!$C$106</f>
        <v>0</v>
      </c>
      <c r="F229" s="38">
        <f>IF(F$217&lt;&gt;0,(($B229*B$217+$C229*C$217+$D229*D$217))/F$217,0)</f>
        <v>0</v>
      </c>
      <c r="G229" s="21">
        <f>0.01*'Input'!$F$58*(E229*$E$217)+10*(B229*$B$217+C229*$C$217+D229*$D$217)</f>
        <v>0</v>
      </c>
      <c r="H229" s="38">
        <f>IF($F$217&lt;&gt;0,0.1*G229/$F$217,"")</f>
        <v>0</v>
      </c>
      <c r="I229" s="46">
        <f>IF($E$217&lt;&gt;0,G229/$E$217,"")</f>
        <v>0</v>
      </c>
      <c r="J229" s="17"/>
    </row>
    <row r="230" spans="1:10">
      <c r="A230" s="4" t="s">
        <v>1640</v>
      </c>
      <c r="B230" s="39">
        <f>'Standing'!$K$79</f>
        <v>0</v>
      </c>
      <c r="C230" s="39">
        <f>'Standing'!$K$99</f>
        <v>0</v>
      </c>
      <c r="D230" s="39">
        <f>'Standing'!$K$113</f>
        <v>0</v>
      </c>
      <c r="E230" s="47">
        <f>'AggCap'!$K$84</f>
        <v>0</v>
      </c>
      <c r="F230" s="38">
        <f>IF(F$217&lt;&gt;0,(($B230*B$217+$C230*C$217+$D230*D$217))/F$217,0)</f>
        <v>0</v>
      </c>
      <c r="G230" s="21">
        <f>0.01*'Input'!$F$58*(E230*$E$217)+10*(B230*$B$217+C230*$C$217+D230*$D$217)</f>
        <v>0</v>
      </c>
      <c r="H230" s="38">
        <f>IF($F$217&lt;&gt;0,0.1*G230/$F$217,"")</f>
        <v>0</v>
      </c>
      <c r="I230" s="46">
        <f>IF($E$217&lt;&gt;0,G230/$E$217,"")</f>
        <v>0</v>
      </c>
      <c r="J230" s="17"/>
    </row>
    <row r="231" spans="1:10">
      <c r="A231" s="4" t="s">
        <v>1641</v>
      </c>
      <c r="B231" s="39">
        <f>'Standing'!$L$79</f>
        <v>0</v>
      </c>
      <c r="C231" s="39">
        <f>'Standing'!$L$99</f>
        <v>0</v>
      </c>
      <c r="D231" s="39">
        <f>'Standing'!$L$113</f>
        <v>0</v>
      </c>
      <c r="E231" s="47">
        <f>'AggCap'!$L$84</f>
        <v>0</v>
      </c>
      <c r="F231" s="38">
        <f>IF(F$217&lt;&gt;0,(($B231*B$217+$C231*C$217+$D231*D$217))/F$217,0)</f>
        <v>0</v>
      </c>
      <c r="G231" s="21">
        <f>0.01*'Input'!$F$58*(E231*$E$217)+10*(B231*$B$217+C231*$C$217+D231*$D$217)</f>
        <v>0</v>
      </c>
      <c r="H231" s="38">
        <f>IF($F$217&lt;&gt;0,0.1*G231/$F$217,"")</f>
        <v>0</v>
      </c>
      <c r="I231" s="46">
        <f>IF($E$217&lt;&gt;0,G231/$E$217,"")</f>
        <v>0</v>
      </c>
      <c r="J231" s="17"/>
    </row>
    <row r="232" spans="1:10">
      <c r="A232" s="4" t="s">
        <v>1642</v>
      </c>
      <c r="B232" s="39">
        <f>'Standing'!$M$79</f>
        <v>0</v>
      </c>
      <c r="C232" s="39">
        <f>'Standing'!$M$99</f>
        <v>0</v>
      </c>
      <c r="D232" s="39">
        <f>'Standing'!$M$113</f>
        <v>0</v>
      </c>
      <c r="E232" s="47">
        <f>'AggCap'!$M$84</f>
        <v>0</v>
      </c>
      <c r="F232" s="38">
        <f>IF(F$217&lt;&gt;0,(($B232*B$217+$C232*C$217+$D232*D$217))/F$217,0)</f>
        <v>0</v>
      </c>
      <c r="G232" s="21">
        <f>0.01*'Input'!$F$58*(E232*$E$217)+10*(B232*$B$217+C232*$C$217+D232*$D$217)</f>
        <v>0</v>
      </c>
      <c r="H232" s="38">
        <f>IF($F$217&lt;&gt;0,0.1*G232/$F$217,"")</f>
        <v>0</v>
      </c>
      <c r="I232" s="46">
        <f>IF($E$217&lt;&gt;0,G232/$E$217,"")</f>
        <v>0</v>
      </c>
      <c r="J232" s="17"/>
    </row>
    <row r="233" spans="1:10">
      <c r="A233" s="4" t="s">
        <v>1643</v>
      </c>
      <c r="B233" s="39">
        <f>'Standing'!$N$79</f>
        <v>0</v>
      </c>
      <c r="C233" s="39">
        <f>'Standing'!$N$99</f>
        <v>0</v>
      </c>
      <c r="D233" s="39">
        <f>'Standing'!$N$113</f>
        <v>0</v>
      </c>
      <c r="E233" s="47">
        <f>'AggCap'!$N$84</f>
        <v>0</v>
      </c>
      <c r="F233" s="38">
        <f>IF(F$217&lt;&gt;0,(($B233*B$217+$C233*C$217+$D233*D$217))/F$217,0)</f>
        <v>0</v>
      </c>
      <c r="G233" s="21">
        <f>0.01*'Input'!$F$58*(E233*$E$217)+10*(B233*$B$217+C233*$C$217+D233*$D$217)</f>
        <v>0</v>
      </c>
      <c r="H233" s="38">
        <f>IF($F$217&lt;&gt;0,0.1*G233/$F$217,"")</f>
        <v>0</v>
      </c>
      <c r="I233" s="46">
        <f>IF($E$217&lt;&gt;0,G233/$E$217,"")</f>
        <v>0</v>
      </c>
      <c r="J233" s="17"/>
    </row>
    <row r="234" spans="1:10">
      <c r="A234" s="4" t="s">
        <v>1644</v>
      </c>
      <c r="B234" s="39">
        <f>'Standing'!$O$79</f>
        <v>0</v>
      </c>
      <c r="C234" s="39">
        <f>'Standing'!$O$99</f>
        <v>0</v>
      </c>
      <c r="D234" s="39">
        <f>'Standing'!$O$113</f>
        <v>0</v>
      </c>
      <c r="E234" s="47">
        <f>'AggCap'!$O$84</f>
        <v>0</v>
      </c>
      <c r="F234" s="38">
        <f>IF(F$217&lt;&gt;0,(($B234*B$217+$C234*C$217+$D234*D$217))/F$217,0)</f>
        <v>0</v>
      </c>
      <c r="G234" s="21">
        <f>0.01*'Input'!$F$58*(E234*$E$217)+10*(B234*$B$217+C234*$C$217+D234*$D$217)</f>
        <v>0</v>
      </c>
      <c r="H234" s="38">
        <f>IF($F$217&lt;&gt;0,0.1*G234/$F$217,"")</f>
        <v>0</v>
      </c>
      <c r="I234" s="46">
        <f>IF($E$217&lt;&gt;0,G234/$E$217,"")</f>
        <v>0</v>
      </c>
      <c r="J234" s="17"/>
    </row>
    <row r="235" spans="1:10">
      <c r="A235" s="4" t="s">
        <v>1645</v>
      </c>
      <c r="B235" s="39">
        <f>'Standing'!$P$79</f>
        <v>0</v>
      </c>
      <c r="C235" s="39">
        <f>'Standing'!$P$99</f>
        <v>0</v>
      </c>
      <c r="D235" s="39">
        <f>'Standing'!$P$113</f>
        <v>0</v>
      </c>
      <c r="E235" s="47">
        <f>'AggCap'!$P$84</f>
        <v>0</v>
      </c>
      <c r="F235" s="38">
        <f>IF(F$217&lt;&gt;0,(($B235*B$217+$C235*C$217+$D235*D$217))/F$217,0)</f>
        <v>0</v>
      </c>
      <c r="G235" s="21">
        <f>0.01*'Input'!$F$58*(E235*$E$217)+10*(B235*$B$217+C235*$C$217+D235*$D$217)</f>
        <v>0</v>
      </c>
      <c r="H235" s="38">
        <f>IF($F$217&lt;&gt;0,0.1*G235/$F$217,"")</f>
        <v>0</v>
      </c>
      <c r="I235" s="46">
        <f>IF($E$217&lt;&gt;0,G235/$E$217,"")</f>
        <v>0</v>
      </c>
      <c r="J235" s="17"/>
    </row>
    <row r="236" spans="1:10">
      <c r="A236" s="4" t="s">
        <v>1646</v>
      </c>
      <c r="B236" s="39">
        <f>'Standing'!$Q$79</f>
        <v>0</v>
      </c>
      <c r="C236" s="39">
        <f>'Standing'!$Q$99</f>
        <v>0</v>
      </c>
      <c r="D236" s="39">
        <f>'Standing'!$Q$113</f>
        <v>0</v>
      </c>
      <c r="E236" s="47">
        <f>'AggCap'!$Q$84</f>
        <v>0</v>
      </c>
      <c r="F236" s="38">
        <f>IF(F$217&lt;&gt;0,(($B236*B$217+$C236*C$217+$D236*D$217))/F$217,0)</f>
        <v>0</v>
      </c>
      <c r="G236" s="21">
        <f>0.01*'Input'!$F$58*(E236*$E$217)+10*(B236*$B$217+C236*$C$217+D236*$D$217)</f>
        <v>0</v>
      </c>
      <c r="H236" s="38">
        <f>IF($F$217&lt;&gt;0,0.1*G236/$F$217,"")</f>
        <v>0</v>
      </c>
      <c r="I236" s="46">
        <f>IF($E$217&lt;&gt;0,G236/$E$217,"")</f>
        <v>0</v>
      </c>
      <c r="J236" s="17"/>
    </row>
    <row r="237" spans="1:10">
      <c r="A237" s="4" t="s">
        <v>1647</v>
      </c>
      <c r="B237" s="39">
        <f>'Standing'!$R$79</f>
        <v>0</v>
      </c>
      <c r="C237" s="39">
        <f>'Standing'!$R$99</f>
        <v>0</v>
      </c>
      <c r="D237" s="39">
        <f>'Standing'!$R$113</f>
        <v>0</v>
      </c>
      <c r="E237" s="47">
        <f>'AggCap'!$R$84</f>
        <v>0</v>
      </c>
      <c r="F237" s="38">
        <f>IF(F$217&lt;&gt;0,(($B237*B$217+$C237*C$217+$D237*D$217))/F$217,0)</f>
        <v>0</v>
      </c>
      <c r="G237" s="21">
        <f>0.01*'Input'!$F$58*(E237*$E$217)+10*(B237*$B$217+C237*$C$217+D237*$D$217)</f>
        <v>0</v>
      </c>
      <c r="H237" s="38">
        <f>IF($F$217&lt;&gt;0,0.1*G237/$F$217,"")</f>
        <v>0</v>
      </c>
      <c r="I237" s="46">
        <f>IF($E$217&lt;&gt;0,G237/$E$217,"")</f>
        <v>0</v>
      </c>
      <c r="J237" s="17"/>
    </row>
    <row r="238" spans="1:10">
      <c r="A238" s="4" t="s">
        <v>1648</v>
      </c>
      <c r="B238" s="39">
        <f>'Standing'!$S$79</f>
        <v>0</v>
      </c>
      <c r="C238" s="39">
        <f>'Standing'!$S$99</f>
        <v>0</v>
      </c>
      <c r="D238" s="39">
        <f>'Standing'!$S$113</f>
        <v>0</v>
      </c>
      <c r="E238" s="47">
        <f>'AggCap'!$S$84</f>
        <v>0</v>
      </c>
      <c r="F238" s="38">
        <f>IF(F$217&lt;&gt;0,(($B238*B$217+$C238*C$217+$D238*D$217))/F$217,0)</f>
        <v>0</v>
      </c>
      <c r="G238" s="21">
        <f>0.01*'Input'!$F$58*(E238*$E$217)+10*(B238*$B$217+C238*$C$217+D238*$D$217)</f>
        <v>0</v>
      </c>
      <c r="H238" s="38">
        <f>IF($F$217&lt;&gt;0,0.1*G238/$F$217,"")</f>
        <v>0</v>
      </c>
      <c r="I238" s="46">
        <f>IF($E$217&lt;&gt;0,G238/$E$217,"")</f>
        <v>0</v>
      </c>
      <c r="J238" s="17"/>
    </row>
    <row r="239" spans="1:10">
      <c r="A239" s="4" t="s">
        <v>1649</v>
      </c>
      <c r="B239" s="10"/>
      <c r="C239" s="10"/>
      <c r="D239" s="10"/>
      <c r="E239" s="47">
        <f>'Otex'!$B$127</f>
        <v>0</v>
      </c>
      <c r="F239" s="38">
        <f>IF(F$217&lt;&gt;0,(($B239*B$217+$C239*C$217+$D239*D$217))/F$217,0)</f>
        <v>0</v>
      </c>
      <c r="G239" s="21">
        <f>0.01*'Input'!$F$58*(E239*$E$217)+10*(B239*$B$217+C239*$C$217+D239*$D$217)</f>
        <v>0</v>
      </c>
      <c r="H239" s="38">
        <f>IF($F$217&lt;&gt;0,0.1*G239/$F$217,"")</f>
        <v>0</v>
      </c>
      <c r="I239" s="46">
        <f>IF($E$217&lt;&gt;0,G239/$E$217,"")</f>
        <v>0</v>
      </c>
      <c r="J239" s="17"/>
    </row>
    <row r="240" spans="1:10">
      <c r="A240" s="4" t="s">
        <v>1650</v>
      </c>
      <c r="B240" s="10"/>
      <c r="C240" s="10"/>
      <c r="D240" s="10"/>
      <c r="E240" s="47">
        <f>'Otex'!$C$127</f>
        <v>0</v>
      </c>
      <c r="F240" s="38">
        <f>IF(F$217&lt;&gt;0,(($B240*B$217+$C240*C$217+$D240*D$217))/F$217,0)</f>
        <v>0</v>
      </c>
      <c r="G240" s="21">
        <f>0.01*'Input'!$F$58*(E240*$E$217)+10*(B240*$B$217+C240*$C$217+D240*$D$217)</f>
        <v>0</v>
      </c>
      <c r="H240" s="38">
        <f>IF($F$217&lt;&gt;0,0.1*G240/$F$217,"")</f>
        <v>0</v>
      </c>
      <c r="I240" s="46">
        <f>IF($E$217&lt;&gt;0,G240/$E$217,"")</f>
        <v>0</v>
      </c>
      <c r="J240" s="17"/>
    </row>
    <row r="241" spans="1:10">
      <c r="A241" s="4" t="s">
        <v>1651</v>
      </c>
      <c r="B241" s="39">
        <f>'Scaler'!$B$395</f>
        <v>0</v>
      </c>
      <c r="C241" s="39">
        <f>'Scaler'!$C$395</f>
        <v>0</v>
      </c>
      <c r="D241" s="39">
        <f>'Scaler'!$D$395</f>
        <v>0</v>
      </c>
      <c r="E241" s="47">
        <f>'Scaler'!$E$395</f>
        <v>0</v>
      </c>
      <c r="F241" s="38">
        <f>IF(F$217&lt;&gt;0,(($B241*B$217+$C241*C$217+$D241*D$217))/F$217,0)</f>
        <v>0</v>
      </c>
      <c r="G241" s="21">
        <f>0.01*'Input'!$F$58*(E241*$E$217)+10*(B241*$B$217+C241*$C$217+D241*$D$217)</f>
        <v>0</v>
      </c>
      <c r="H241" s="38">
        <f>IF($F$217&lt;&gt;0,0.1*G241/$F$217,"")</f>
        <v>0</v>
      </c>
      <c r="I241" s="46">
        <f>IF($E$217&lt;&gt;0,G241/$E$217,"")</f>
        <v>0</v>
      </c>
      <c r="J241" s="17"/>
    </row>
    <row r="242" spans="1:10">
      <c r="A242" s="4" t="s">
        <v>1652</v>
      </c>
      <c r="B242" s="39">
        <f>'Adjust'!$B$75</f>
        <v>0</v>
      </c>
      <c r="C242" s="39">
        <f>'Adjust'!$C$75</f>
        <v>0</v>
      </c>
      <c r="D242" s="39">
        <f>'Adjust'!$D$75</f>
        <v>0</v>
      </c>
      <c r="E242" s="47">
        <f>'Adjust'!$E$75</f>
        <v>0</v>
      </c>
      <c r="F242" s="38">
        <f>IF(F$217&lt;&gt;0,(($B242*B$217+$C242*C$217+$D242*D$217))/F$217,0)</f>
        <v>0</v>
      </c>
      <c r="G242" s="21">
        <f>0.01*'Input'!$F$58*(E242*$E$217)+10*(B242*$B$217+C242*$C$217+D242*$D$217)</f>
        <v>0</v>
      </c>
      <c r="H242" s="38">
        <f>IF($F$217&lt;&gt;0,0.1*G242/$F$217,"")</f>
        <v>0</v>
      </c>
      <c r="I242" s="46">
        <f>IF($E$217&lt;&gt;0,G242/$E$217,"")</f>
        <v>0</v>
      </c>
      <c r="J242" s="17"/>
    </row>
    <row r="244" spans="1:10">
      <c r="A244" s="4" t="s">
        <v>1653</v>
      </c>
      <c r="B244" s="38">
        <f>SUM($B$220:$B$242)</f>
        <v>0</v>
      </c>
      <c r="C244" s="38">
        <f>SUM($C$220:$C$242)</f>
        <v>0</v>
      </c>
      <c r="D244" s="38">
        <f>SUM($D$220:$D$242)</f>
        <v>0</v>
      </c>
      <c r="E244" s="46">
        <f>SUM($E$220:$E$242)</f>
        <v>0</v>
      </c>
      <c r="F244" s="38">
        <f>SUM(F$220:F$242)</f>
        <v>0</v>
      </c>
      <c r="G244" s="21">
        <f>SUM($G$220:$G$242)</f>
        <v>0</v>
      </c>
      <c r="H244" s="38">
        <f>SUM($H$220:$H$242)</f>
        <v>0</v>
      </c>
      <c r="I244" s="46">
        <f>SUM($I$220:$I$242)</f>
        <v>0</v>
      </c>
    </row>
    <row r="246" spans="1:10" ht="21" customHeight="1">
      <c r="A246" s="1" t="s">
        <v>179</v>
      </c>
    </row>
    <row r="248" spans="1:10">
      <c r="B248" s="15" t="s">
        <v>222</v>
      </c>
      <c r="C248" s="15" t="s">
        <v>223</v>
      </c>
      <c r="D248" s="15" t="s">
        <v>224</v>
      </c>
      <c r="E248" s="15" t="s">
        <v>225</v>
      </c>
      <c r="F248" s="15" t="s">
        <v>1634</v>
      </c>
      <c r="G248" s="15" t="s">
        <v>1635</v>
      </c>
    </row>
    <row r="249" spans="1:10">
      <c r="A249" s="4" t="s">
        <v>179</v>
      </c>
      <c r="B249" s="44">
        <f>'Loads'!B$287</f>
        <v>0</v>
      </c>
      <c r="C249" s="44">
        <f>'Loads'!C$287</f>
        <v>0</v>
      </c>
      <c r="D249" s="44">
        <f>'Loads'!D$287</f>
        <v>0</v>
      </c>
      <c r="E249" s="44">
        <f>'Loads'!E$287</f>
        <v>0</v>
      </c>
      <c r="F249" s="44">
        <f>'Multi'!B$114</f>
        <v>0</v>
      </c>
      <c r="G249" s="38">
        <f>IF(E249,F249/E249,"")</f>
        <v>0</v>
      </c>
      <c r="H249" s="17"/>
    </row>
    <row r="251" spans="1:10">
      <c r="B251" s="15" t="s">
        <v>1466</v>
      </c>
      <c r="C251" s="15" t="s">
        <v>1467</v>
      </c>
      <c r="D251" s="15" t="s">
        <v>1468</v>
      </c>
      <c r="E251" s="15" t="s">
        <v>1469</v>
      </c>
      <c r="F251" s="15" t="s">
        <v>1654</v>
      </c>
      <c r="G251" s="15" t="s">
        <v>1636</v>
      </c>
      <c r="H251" s="15" t="s">
        <v>1606</v>
      </c>
      <c r="I251" s="15" t="s">
        <v>1637</v>
      </c>
    </row>
    <row r="252" spans="1:10">
      <c r="A252" s="4" t="s">
        <v>451</v>
      </c>
      <c r="B252" s="39">
        <f>'Standing'!$C$80</f>
        <v>0</v>
      </c>
      <c r="C252" s="39">
        <f>'Standing'!$C$100</f>
        <v>0</v>
      </c>
      <c r="D252" s="39">
        <f>'Standing'!$C$114</f>
        <v>0</v>
      </c>
      <c r="E252" s="47">
        <f>'AggCap'!$C$85</f>
        <v>0</v>
      </c>
      <c r="F252" s="38">
        <f>IF(F$249&lt;&gt;0,(($B252*B$249+$C252*C$249+$D252*D$249))/F$249,0)</f>
        <v>0</v>
      </c>
      <c r="G252" s="21">
        <f>0.01*'Input'!$F$58*(E252*$E$249)+10*(B252*$B$249+C252*$C$249+D252*$D$249)</f>
        <v>0</v>
      </c>
      <c r="H252" s="38">
        <f>IF($F$249&lt;&gt;0,0.1*G252/$F$249,"")</f>
        <v>0</v>
      </c>
      <c r="I252" s="46">
        <f>IF($E$249&lt;&gt;0,G252/$E$249,"")</f>
        <v>0</v>
      </c>
      <c r="J252" s="17"/>
    </row>
    <row r="253" spans="1:10">
      <c r="A253" s="4" t="s">
        <v>452</v>
      </c>
      <c r="B253" s="39">
        <f>'Standing'!$D$80</f>
        <v>0</v>
      </c>
      <c r="C253" s="39">
        <f>'Standing'!$D$100</f>
        <v>0</v>
      </c>
      <c r="D253" s="39">
        <f>'Standing'!$D$114</f>
        <v>0</v>
      </c>
      <c r="E253" s="47">
        <f>'AggCap'!$D$85</f>
        <v>0</v>
      </c>
      <c r="F253" s="38">
        <f>IF(F$249&lt;&gt;0,(($B253*B$249+$C253*C$249+$D253*D$249))/F$249,0)</f>
        <v>0</v>
      </c>
      <c r="G253" s="21">
        <f>0.01*'Input'!$F$58*(E253*$E$249)+10*(B253*$B$249+C253*$C$249+D253*$D$249)</f>
        <v>0</v>
      </c>
      <c r="H253" s="38">
        <f>IF($F$249&lt;&gt;0,0.1*G253/$F$249,"")</f>
        <v>0</v>
      </c>
      <c r="I253" s="46">
        <f>IF($E$249&lt;&gt;0,G253/$E$249,"")</f>
        <v>0</v>
      </c>
      <c r="J253" s="17"/>
    </row>
    <row r="254" spans="1:10">
      <c r="A254" s="4" t="s">
        <v>453</v>
      </c>
      <c r="B254" s="39">
        <f>'Standing'!$E$80</f>
        <v>0</v>
      </c>
      <c r="C254" s="39">
        <f>'Standing'!$E$100</f>
        <v>0</v>
      </c>
      <c r="D254" s="39">
        <f>'Standing'!$E$114</f>
        <v>0</v>
      </c>
      <c r="E254" s="47">
        <f>'AggCap'!$E$85</f>
        <v>0</v>
      </c>
      <c r="F254" s="38">
        <f>IF(F$249&lt;&gt;0,(($B254*B$249+$C254*C$249+$D254*D$249))/F$249,0)</f>
        <v>0</v>
      </c>
      <c r="G254" s="21">
        <f>0.01*'Input'!$F$58*(E254*$E$249)+10*(B254*$B$249+C254*$C$249+D254*$D$249)</f>
        <v>0</v>
      </c>
      <c r="H254" s="38">
        <f>IF($F$249&lt;&gt;0,0.1*G254/$F$249,"")</f>
        <v>0</v>
      </c>
      <c r="I254" s="46">
        <f>IF($E$249&lt;&gt;0,G254/$E$249,"")</f>
        <v>0</v>
      </c>
      <c r="J254" s="17"/>
    </row>
    <row r="255" spans="1:10">
      <c r="A255" s="4" t="s">
        <v>454</v>
      </c>
      <c r="B255" s="39">
        <f>'Standing'!$F$80</f>
        <v>0</v>
      </c>
      <c r="C255" s="39">
        <f>'Standing'!$F$100</f>
        <v>0</v>
      </c>
      <c r="D255" s="39">
        <f>'Standing'!$F$114</f>
        <v>0</v>
      </c>
      <c r="E255" s="47">
        <f>'AggCap'!$F$85</f>
        <v>0</v>
      </c>
      <c r="F255" s="38">
        <f>IF(F$249&lt;&gt;0,(($B255*B$249+$C255*C$249+$D255*D$249))/F$249,0)</f>
        <v>0</v>
      </c>
      <c r="G255" s="21">
        <f>0.01*'Input'!$F$58*(E255*$E$249)+10*(B255*$B$249+C255*$C$249+D255*$D$249)</f>
        <v>0</v>
      </c>
      <c r="H255" s="38">
        <f>IF($F$249&lt;&gt;0,0.1*G255/$F$249,"")</f>
        <v>0</v>
      </c>
      <c r="I255" s="46">
        <f>IF($E$249&lt;&gt;0,G255/$E$249,"")</f>
        <v>0</v>
      </c>
      <c r="J255" s="17"/>
    </row>
    <row r="256" spans="1:10">
      <c r="A256" s="4" t="s">
        <v>455</v>
      </c>
      <c r="B256" s="39">
        <f>'Standing'!$G$80</f>
        <v>0</v>
      </c>
      <c r="C256" s="39">
        <f>'Standing'!$G$100</f>
        <v>0</v>
      </c>
      <c r="D256" s="39">
        <f>'Standing'!$G$114</f>
        <v>0</v>
      </c>
      <c r="E256" s="47">
        <f>'AggCap'!$G$85</f>
        <v>0</v>
      </c>
      <c r="F256" s="38">
        <f>IF(F$249&lt;&gt;0,(($B256*B$249+$C256*C$249+$D256*D$249))/F$249,0)</f>
        <v>0</v>
      </c>
      <c r="G256" s="21">
        <f>0.01*'Input'!$F$58*(E256*$E$249)+10*(B256*$B$249+C256*$C$249+D256*$D$249)</f>
        <v>0</v>
      </c>
      <c r="H256" s="38">
        <f>IF($F$249&lt;&gt;0,0.1*G256/$F$249,"")</f>
        <v>0</v>
      </c>
      <c r="I256" s="46">
        <f>IF($E$249&lt;&gt;0,G256/$E$249,"")</f>
        <v>0</v>
      </c>
      <c r="J256" s="17"/>
    </row>
    <row r="257" spans="1:10">
      <c r="A257" s="4" t="s">
        <v>456</v>
      </c>
      <c r="B257" s="39">
        <f>'Standing'!$H$80</f>
        <v>0</v>
      </c>
      <c r="C257" s="39">
        <f>'Standing'!$H$100</f>
        <v>0</v>
      </c>
      <c r="D257" s="39">
        <f>'Standing'!$H$114</f>
        <v>0</v>
      </c>
      <c r="E257" s="47">
        <f>'AggCap'!$H$85</f>
        <v>0</v>
      </c>
      <c r="F257" s="38">
        <f>IF(F$249&lt;&gt;0,(($B257*B$249+$C257*C$249+$D257*D$249))/F$249,0)</f>
        <v>0</v>
      </c>
      <c r="G257" s="21">
        <f>0.01*'Input'!$F$58*(E257*$E$249)+10*(B257*$B$249+C257*$C$249+D257*$D$249)</f>
        <v>0</v>
      </c>
      <c r="H257" s="38">
        <f>IF($F$249&lt;&gt;0,0.1*G257/$F$249,"")</f>
        <v>0</v>
      </c>
      <c r="I257" s="46">
        <f>IF($E$249&lt;&gt;0,G257/$E$249,"")</f>
        <v>0</v>
      </c>
      <c r="J257" s="17"/>
    </row>
    <row r="258" spans="1:10">
      <c r="A258" s="4" t="s">
        <v>457</v>
      </c>
      <c r="B258" s="39">
        <f>'Standing'!$I$80</f>
        <v>0</v>
      </c>
      <c r="C258" s="39">
        <f>'Standing'!$I$100</f>
        <v>0</v>
      </c>
      <c r="D258" s="39">
        <f>'Standing'!$I$114</f>
        <v>0</v>
      </c>
      <c r="E258" s="47">
        <f>'AggCap'!$I$85</f>
        <v>0</v>
      </c>
      <c r="F258" s="38">
        <f>IF(F$249&lt;&gt;0,(($B258*B$249+$C258*C$249+$D258*D$249))/F$249,0)</f>
        <v>0</v>
      </c>
      <c r="G258" s="21">
        <f>0.01*'Input'!$F$58*(E258*$E$249)+10*(B258*$B$249+C258*$C$249+D258*$D$249)</f>
        <v>0</v>
      </c>
      <c r="H258" s="38">
        <f>IF($F$249&lt;&gt;0,0.1*G258/$F$249,"")</f>
        <v>0</v>
      </c>
      <c r="I258" s="46">
        <f>IF($E$249&lt;&gt;0,G258/$E$249,"")</f>
        <v>0</v>
      </c>
      <c r="J258" s="17"/>
    </row>
    <row r="259" spans="1:10">
      <c r="A259" s="4" t="s">
        <v>458</v>
      </c>
      <c r="B259" s="39">
        <f>'Standing'!$J$80</f>
        <v>0</v>
      </c>
      <c r="C259" s="39">
        <f>'Standing'!$J$100</f>
        <v>0</v>
      </c>
      <c r="D259" s="39">
        <f>'Standing'!$J$114</f>
        <v>0</v>
      </c>
      <c r="E259" s="47">
        <f>'AggCap'!$J$85</f>
        <v>0</v>
      </c>
      <c r="F259" s="38">
        <f>IF(F$249&lt;&gt;0,(($B259*B$249+$C259*C$249+$D259*D$249))/F$249,0)</f>
        <v>0</v>
      </c>
      <c r="G259" s="21">
        <f>0.01*'Input'!$F$58*(E259*$E$249)+10*(B259*$B$249+C259*$C$249+D259*$D$249)</f>
        <v>0</v>
      </c>
      <c r="H259" s="38">
        <f>IF($F$249&lt;&gt;0,0.1*G259/$F$249,"")</f>
        <v>0</v>
      </c>
      <c r="I259" s="46">
        <f>IF($E$249&lt;&gt;0,G259/$E$249,"")</f>
        <v>0</v>
      </c>
      <c r="J259" s="17"/>
    </row>
    <row r="260" spans="1:10">
      <c r="A260" s="4" t="s">
        <v>1638</v>
      </c>
      <c r="B260" s="10"/>
      <c r="C260" s="10"/>
      <c r="D260" s="10"/>
      <c r="E260" s="47">
        <f>'SM'!$B$107</f>
        <v>0</v>
      </c>
      <c r="F260" s="38">
        <f>IF(F$249&lt;&gt;0,(($B260*B$249+$C260*C$249+$D260*D$249))/F$249,0)</f>
        <v>0</v>
      </c>
      <c r="G260" s="21">
        <f>0.01*'Input'!$F$58*(E260*$E$249)+10*(B260*$B$249+C260*$C$249+D260*$D$249)</f>
        <v>0</v>
      </c>
      <c r="H260" s="38">
        <f>IF($F$249&lt;&gt;0,0.1*G260/$F$249,"")</f>
        <v>0</v>
      </c>
      <c r="I260" s="46">
        <f>IF($E$249&lt;&gt;0,G260/$E$249,"")</f>
        <v>0</v>
      </c>
      <c r="J260" s="17"/>
    </row>
    <row r="261" spans="1:10">
      <c r="A261" s="4" t="s">
        <v>1639</v>
      </c>
      <c r="B261" s="10"/>
      <c r="C261" s="10"/>
      <c r="D261" s="10"/>
      <c r="E261" s="47">
        <f>'SM'!$C$107</f>
        <v>0</v>
      </c>
      <c r="F261" s="38">
        <f>IF(F$249&lt;&gt;0,(($B261*B$249+$C261*C$249+$D261*D$249))/F$249,0)</f>
        <v>0</v>
      </c>
      <c r="G261" s="21">
        <f>0.01*'Input'!$F$58*(E261*$E$249)+10*(B261*$B$249+C261*$C$249+D261*$D$249)</f>
        <v>0</v>
      </c>
      <c r="H261" s="38">
        <f>IF($F$249&lt;&gt;0,0.1*G261/$F$249,"")</f>
        <v>0</v>
      </c>
      <c r="I261" s="46">
        <f>IF($E$249&lt;&gt;0,G261/$E$249,"")</f>
        <v>0</v>
      </c>
      <c r="J261" s="17"/>
    </row>
    <row r="262" spans="1:10">
      <c r="A262" s="4" t="s">
        <v>1640</v>
      </c>
      <c r="B262" s="39">
        <f>'Standing'!$K$80</f>
        <v>0</v>
      </c>
      <c r="C262" s="39">
        <f>'Standing'!$K$100</f>
        <v>0</v>
      </c>
      <c r="D262" s="39">
        <f>'Standing'!$K$114</f>
        <v>0</v>
      </c>
      <c r="E262" s="47">
        <f>'AggCap'!$K$85</f>
        <v>0</v>
      </c>
      <c r="F262" s="38">
        <f>IF(F$249&lt;&gt;0,(($B262*B$249+$C262*C$249+$D262*D$249))/F$249,0)</f>
        <v>0</v>
      </c>
      <c r="G262" s="21">
        <f>0.01*'Input'!$F$58*(E262*$E$249)+10*(B262*$B$249+C262*$C$249+D262*$D$249)</f>
        <v>0</v>
      </c>
      <c r="H262" s="38">
        <f>IF($F$249&lt;&gt;0,0.1*G262/$F$249,"")</f>
        <v>0</v>
      </c>
      <c r="I262" s="46">
        <f>IF($E$249&lt;&gt;0,G262/$E$249,"")</f>
        <v>0</v>
      </c>
      <c r="J262" s="17"/>
    </row>
    <row r="263" spans="1:10">
      <c r="A263" s="4" t="s">
        <v>1641</v>
      </c>
      <c r="B263" s="39">
        <f>'Standing'!$L$80</f>
        <v>0</v>
      </c>
      <c r="C263" s="39">
        <f>'Standing'!$L$100</f>
        <v>0</v>
      </c>
      <c r="D263" s="39">
        <f>'Standing'!$L$114</f>
        <v>0</v>
      </c>
      <c r="E263" s="47">
        <f>'AggCap'!$L$85</f>
        <v>0</v>
      </c>
      <c r="F263" s="38">
        <f>IF(F$249&lt;&gt;0,(($B263*B$249+$C263*C$249+$D263*D$249))/F$249,0)</f>
        <v>0</v>
      </c>
      <c r="G263" s="21">
        <f>0.01*'Input'!$F$58*(E263*$E$249)+10*(B263*$B$249+C263*$C$249+D263*$D$249)</f>
        <v>0</v>
      </c>
      <c r="H263" s="38">
        <f>IF($F$249&lt;&gt;0,0.1*G263/$F$249,"")</f>
        <v>0</v>
      </c>
      <c r="I263" s="46">
        <f>IF($E$249&lt;&gt;0,G263/$E$249,"")</f>
        <v>0</v>
      </c>
      <c r="J263" s="17"/>
    </row>
    <row r="264" spans="1:10">
      <c r="A264" s="4" t="s">
        <v>1642</v>
      </c>
      <c r="B264" s="39">
        <f>'Standing'!$M$80</f>
        <v>0</v>
      </c>
      <c r="C264" s="39">
        <f>'Standing'!$M$100</f>
        <v>0</v>
      </c>
      <c r="D264" s="39">
        <f>'Standing'!$M$114</f>
        <v>0</v>
      </c>
      <c r="E264" s="47">
        <f>'AggCap'!$M$85</f>
        <v>0</v>
      </c>
      <c r="F264" s="38">
        <f>IF(F$249&lt;&gt;0,(($B264*B$249+$C264*C$249+$D264*D$249))/F$249,0)</f>
        <v>0</v>
      </c>
      <c r="G264" s="21">
        <f>0.01*'Input'!$F$58*(E264*$E$249)+10*(B264*$B$249+C264*$C$249+D264*$D$249)</f>
        <v>0</v>
      </c>
      <c r="H264" s="38">
        <f>IF($F$249&lt;&gt;0,0.1*G264/$F$249,"")</f>
        <v>0</v>
      </c>
      <c r="I264" s="46">
        <f>IF($E$249&lt;&gt;0,G264/$E$249,"")</f>
        <v>0</v>
      </c>
      <c r="J264" s="17"/>
    </row>
    <row r="265" spans="1:10">
      <c r="A265" s="4" t="s">
        <v>1643</v>
      </c>
      <c r="B265" s="39">
        <f>'Standing'!$N$80</f>
        <v>0</v>
      </c>
      <c r="C265" s="39">
        <f>'Standing'!$N$100</f>
        <v>0</v>
      </c>
      <c r="D265" s="39">
        <f>'Standing'!$N$114</f>
        <v>0</v>
      </c>
      <c r="E265" s="47">
        <f>'AggCap'!$N$85</f>
        <v>0</v>
      </c>
      <c r="F265" s="38">
        <f>IF(F$249&lt;&gt;0,(($B265*B$249+$C265*C$249+$D265*D$249))/F$249,0)</f>
        <v>0</v>
      </c>
      <c r="G265" s="21">
        <f>0.01*'Input'!$F$58*(E265*$E$249)+10*(B265*$B$249+C265*$C$249+D265*$D$249)</f>
        <v>0</v>
      </c>
      <c r="H265" s="38">
        <f>IF($F$249&lt;&gt;0,0.1*G265/$F$249,"")</f>
        <v>0</v>
      </c>
      <c r="I265" s="46">
        <f>IF($E$249&lt;&gt;0,G265/$E$249,"")</f>
        <v>0</v>
      </c>
      <c r="J265" s="17"/>
    </row>
    <row r="266" spans="1:10">
      <c r="A266" s="4" t="s">
        <v>1644</v>
      </c>
      <c r="B266" s="39">
        <f>'Standing'!$O$80</f>
        <v>0</v>
      </c>
      <c r="C266" s="39">
        <f>'Standing'!$O$100</f>
        <v>0</v>
      </c>
      <c r="D266" s="39">
        <f>'Standing'!$O$114</f>
        <v>0</v>
      </c>
      <c r="E266" s="47">
        <f>'AggCap'!$O$85</f>
        <v>0</v>
      </c>
      <c r="F266" s="38">
        <f>IF(F$249&lt;&gt;0,(($B266*B$249+$C266*C$249+$D266*D$249))/F$249,0)</f>
        <v>0</v>
      </c>
      <c r="G266" s="21">
        <f>0.01*'Input'!$F$58*(E266*$E$249)+10*(B266*$B$249+C266*$C$249+D266*$D$249)</f>
        <v>0</v>
      </c>
      <c r="H266" s="38">
        <f>IF($F$249&lt;&gt;0,0.1*G266/$F$249,"")</f>
        <v>0</v>
      </c>
      <c r="I266" s="46">
        <f>IF($E$249&lt;&gt;0,G266/$E$249,"")</f>
        <v>0</v>
      </c>
      <c r="J266" s="17"/>
    </row>
    <row r="267" spans="1:10">
      <c r="A267" s="4" t="s">
        <v>1645</v>
      </c>
      <c r="B267" s="39">
        <f>'Standing'!$P$80</f>
        <v>0</v>
      </c>
      <c r="C267" s="39">
        <f>'Standing'!$P$100</f>
        <v>0</v>
      </c>
      <c r="D267" s="39">
        <f>'Standing'!$P$114</f>
        <v>0</v>
      </c>
      <c r="E267" s="47">
        <f>'AggCap'!$P$85</f>
        <v>0</v>
      </c>
      <c r="F267" s="38">
        <f>IF(F$249&lt;&gt;0,(($B267*B$249+$C267*C$249+$D267*D$249))/F$249,0)</f>
        <v>0</v>
      </c>
      <c r="G267" s="21">
        <f>0.01*'Input'!$F$58*(E267*$E$249)+10*(B267*$B$249+C267*$C$249+D267*$D$249)</f>
        <v>0</v>
      </c>
      <c r="H267" s="38">
        <f>IF($F$249&lt;&gt;0,0.1*G267/$F$249,"")</f>
        <v>0</v>
      </c>
      <c r="I267" s="46">
        <f>IF($E$249&lt;&gt;0,G267/$E$249,"")</f>
        <v>0</v>
      </c>
      <c r="J267" s="17"/>
    </row>
    <row r="268" spans="1:10">
      <c r="A268" s="4" t="s">
        <v>1646</v>
      </c>
      <c r="B268" s="39">
        <f>'Standing'!$Q$80</f>
        <v>0</v>
      </c>
      <c r="C268" s="39">
        <f>'Standing'!$Q$100</f>
        <v>0</v>
      </c>
      <c r="D268" s="39">
        <f>'Standing'!$Q$114</f>
        <v>0</v>
      </c>
      <c r="E268" s="47">
        <f>'AggCap'!$Q$85</f>
        <v>0</v>
      </c>
      <c r="F268" s="38">
        <f>IF(F$249&lt;&gt;0,(($B268*B$249+$C268*C$249+$D268*D$249))/F$249,0)</f>
        <v>0</v>
      </c>
      <c r="G268" s="21">
        <f>0.01*'Input'!$F$58*(E268*$E$249)+10*(B268*$B$249+C268*$C$249+D268*$D$249)</f>
        <v>0</v>
      </c>
      <c r="H268" s="38">
        <f>IF($F$249&lt;&gt;0,0.1*G268/$F$249,"")</f>
        <v>0</v>
      </c>
      <c r="I268" s="46">
        <f>IF($E$249&lt;&gt;0,G268/$E$249,"")</f>
        <v>0</v>
      </c>
      <c r="J268" s="17"/>
    </row>
    <row r="269" spans="1:10">
      <c r="A269" s="4" t="s">
        <v>1647</v>
      </c>
      <c r="B269" s="39">
        <f>'Standing'!$R$80</f>
        <v>0</v>
      </c>
      <c r="C269" s="39">
        <f>'Standing'!$R$100</f>
        <v>0</v>
      </c>
      <c r="D269" s="39">
        <f>'Standing'!$R$114</f>
        <v>0</v>
      </c>
      <c r="E269" s="47">
        <f>'AggCap'!$R$85</f>
        <v>0</v>
      </c>
      <c r="F269" s="38">
        <f>IF(F$249&lt;&gt;0,(($B269*B$249+$C269*C$249+$D269*D$249))/F$249,0)</f>
        <v>0</v>
      </c>
      <c r="G269" s="21">
        <f>0.01*'Input'!$F$58*(E269*$E$249)+10*(B269*$B$249+C269*$C$249+D269*$D$249)</f>
        <v>0</v>
      </c>
      <c r="H269" s="38">
        <f>IF($F$249&lt;&gt;0,0.1*G269/$F$249,"")</f>
        <v>0</v>
      </c>
      <c r="I269" s="46">
        <f>IF($E$249&lt;&gt;0,G269/$E$249,"")</f>
        <v>0</v>
      </c>
      <c r="J269" s="17"/>
    </row>
    <row r="270" spans="1:10">
      <c r="A270" s="4" t="s">
        <v>1648</v>
      </c>
      <c r="B270" s="39">
        <f>'Standing'!$S$80</f>
        <v>0</v>
      </c>
      <c r="C270" s="39">
        <f>'Standing'!$S$100</f>
        <v>0</v>
      </c>
      <c r="D270" s="39">
        <f>'Standing'!$S$114</f>
        <v>0</v>
      </c>
      <c r="E270" s="47">
        <f>'AggCap'!$S$85</f>
        <v>0</v>
      </c>
      <c r="F270" s="38">
        <f>IF(F$249&lt;&gt;0,(($B270*B$249+$C270*C$249+$D270*D$249))/F$249,0)</f>
        <v>0</v>
      </c>
      <c r="G270" s="21">
        <f>0.01*'Input'!$F$58*(E270*$E$249)+10*(B270*$B$249+C270*$C$249+D270*$D$249)</f>
        <v>0</v>
      </c>
      <c r="H270" s="38">
        <f>IF($F$249&lt;&gt;0,0.1*G270/$F$249,"")</f>
        <v>0</v>
      </c>
      <c r="I270" s="46">
        <f>IF($E$249&lt;&gt;0,G270/$E$249,"")</f>
        <v>0</v>
      </c>
      <c r="J270" s="17"/>
    </row>
    <row r="271" spans="1:10">
      <c r="A271" s="4" t="s">
        <v>1649</v>
      </c>
      <c r="B271" s="10"/>
      <c r="C271" s="10"/>
      <c r="D271" s="10"/>
      <c r="E271" s="47">
        <f>'Otex'!$B$128</f>
        <v>0</v>
      </c>
      <c r="F271" s="38">
        <f>IF(F$249&lt;&gt;0,(($B271*B$249+$C271*C$249+$D271*D$249))/F$249,0)</f>
        <v>0</v>
      </c>
      <c r="G271" s="21">
        <f>0.01*'Input'!$F$58*(E271*$E$249)+10*(B271*$B$249+C271*$C$249+D271*$D$249)</f>
        <v>0</v>
      </c>
      <c r="H271" s="38">
        <f>IF($F$249&lt;&gt;0,0.1*G271/$F$249,"")</f>
        <v>0</v>
      </c>
      <c r="I271" s="46">
        <f>IF($E$249&lt;&gt;0,G271/$E$249,"")</f>
        <v>0</v>
      </c>
      <c r="J271" s="17"/>
    </row>
    <row r="272" spans="1:10">
      <c r="A272" s="4" t="s">
        <v>1650</v>
      </c>
      <c r="B272" s="10"/>
      <c r="C272" s="10"/>
      <c r="D272" s="10"/>
      <c r="E272" s="47">
        <f>'Otex'!$C$128</f>
        <v>0</v>
      </c>
      <c r="F272" s="38">
        <f>IF(F$249&lt;&gt;0,(($B272*B$249+$C272*C$249+$D272*D$249))/F$249,0)</f>
        <v>0</v>
      </c>
      <c r="G272" s="21">
        <f>0.01*'Input'!$F$58*(E272*$E$249)+10*(B272*$B$249+C272*$C$249+D272*$D$249)</f>
        <v>0</v>
      </c>
      <c r="H272" s="38">
        <f>IF($F$249&lt;&gt;0,0.1*G272/$F$249,"")</f>
        <v>0</v>
      </c>
      <c r="I272" s="46">
        <f>IF($E$249&lt;&gt;0,G272/$E$249,"")</f>
        <v>0</v>
      </c>
      <c r="J272" s="17"/>
    </row>
    <row r="273" spans="1:13">
      <c r="A273" s="4" t="s">
        <v>1651</v>
      </c>
      <c r="B273" s="39">
        <f>'Scaler'!$B$396</f>
        <v>0</v>
      </c>
      <c r="C273" s="39">
        <f>'Scaler'!$C$396</f>
        <v>0</v>
      </c>
      <c r="D273" s="39">
        <f>'Scaler'!$D$396</f>
        <v>0</v>
      </c>
      <c r="E273" s="47">
        <f>'Scaler'!$E$396</f>
        <v>0</v>
      </c>
      <c r="F273" s="38">
        <f>IF(F$249&lt;&gt;0,(($B273*B$249+$C273*C$249+$D273*D$249))/F$249,0)</f>
        <v>0</v>
      </c>
      <c r="G273" s="21">
        <f>0.01*'Input'!$F$58*(E273*$E$249)+10*(B273*$B$249+C273*$C$249+D273*$D$249)</f>
        <v>0</v>
      </c>
      <c r="H273" s="38">
        <f>IF($F$249&lt;&gt;0,0.1*G273/$F$249,"")</f>
        <v>0</v>
      </c>
      <c r="I273" s="46">
        <f>IF($E$249&lt;&gt;0,G273/$E$249,"")</f>
        <v>0</v>
      </c>
      <c r="J273" s="17"/>
    </row>
    <row r="274" spans="1:13">
      <c r="A274" s="4" t="s">
        <v>1652</v>
      </c>
      <c r="B274" s="39">
        <f>'Adjust'!$B$76</f>
        <v>0</v>
      </c>
      <c r="C274" s="39">
        <f>'Adjust'!$C$76</f>
        <v>0</v>
      </c>
      <c r="D274" s="39">
        <f>'Adjust'!$D$76</f>
        <v>0</v>
      </c>
      <c r="E274" s="47">
        <f>'Adjust'!$E$76</f>
        <v>0</v>
      </c>
      <c r="F274" s="38">
        <f>IF(F$249&lt;&gt;0,(($B274*B$249+$C274*C$249+$D274*D$249))/F$249,0)</f>
        <v>0</v>
      </c>
      <c r="G274" s="21">
        <f>0.01*'Input'!$F$58*(E274*$E$249)+10*(B274*$B$249+C274*$C$249+D274*$D$249)</f>
        <v>0</v>
      </c>
      <c r="H274" s="38">
        <f>IF($F$249&lt;&gt;0,0.1*G274/$F$249,"")</f>
        <v>0</v>
      </c>
      <c r="I274" s="46">
        <f>IF($E$249&lt;&gt;0,G274/$E$249,"")</f>
        <v>0</v>
      </c>
      <c r="J274" s="17"/>
    </row>
    <row r="276" spans="1:13">
      <c r="A276" s="4" t="s">
        <v>1653</v>
      </c>
      <c r="B276" s="38">
        <f>SUM($B$252:$B$274)</f>
        <v>0</v>
      </c>
      <c r="C276" s="38">
        <f>SUM($C$252:$C$274)</f>
        <v>0</v>
      </c>
      <c r="D276" s="38">
        <f>SUM($D$252:$D$274)</f>
        <v>0</v>
      </c>
      <c r="E276" s="46">
        <f>SUM($E$252:$E$274)</f>
        <v>0</v>
      </c>
      <c r="F276" s="38">
        <f>SUM(F$252:F$274)</f>
        <v>0</v>
      </c>
      <c r="G276" s="21">
        <f>SUM($G$252:$G$274)</f>
        <v>0</v>
      </c>
      <c r="H276" s="38">
        <f>SUM($H$252:$H$274)</f>
        <v>0</v>
      </c>
      <c r="I276" s="46">
        <f>SUM($I$252:$I$274)</f>
        <v>0</v>
      </c>
    </row>
    <row r="278" spans="1:13" ht="21" customHeight="1">
      <c r="A278" s="1" t="s">
        <v>180</v>
      </c>
    </row>
    <row r="280" spans="1:13">
      <c r="B280" s="15" t="s">
        <v>222</v>
      </c>
      <c r="C280" s="15" t="s">
        <v>223</v>
      </c>
      <c r="D280" s="15" t="s">
        <v>224</v>
      </c>
      <c r="E280" s="15" t="s">
        <v>225</v>
      </c>
      <c r="F280" s="15" t="s">
        <v>226</v>
      </c>
      <c r="G280" s="15" t="s">
        <v>227</v>
      </c>
      <c r="H280" s="15" t="s">
        <v>1634</v>
      </c>
      <c r="I280" s="15" t="s">
        <v>1635</v>
      </c>
    </row>
    <row r="281" spans="1:13">
      <c r="A281" s="4" t="s">
        <v>180</v>
      </c>
      <c r="B281" s="44">
        <f>'Loads'!B$288</f>
        <v>0</v>
      </c>
      <c r="C281" s="44">
        <f>'Loads'!C$288</f>
        <v>0</v>
      </c>
      <c r="D281" s="44">
        <f>'Loads'!D$288</f>
        <v>0</v>
      </c>
      <c r="E281" s="44">
        <f>'Loads'!E$288</f>
        <v>0</v>
      </c>
      <c r="F281" s="44">
        <f>'Loads'!F$288</f>
        <v>0</v>
      </c>
      <c r="G281" s="44">
        <f>'Loads'!G$288</f>
        <v>0</v>
      </c>
      <c r="H281" s="44">
        <f>'Multi'!B$115</f>
        <v>0</v>
      </c>
      <c r="I281" s="38">
        <f>IF(E281,H281/E281,"")</f>
        <v>0</v>
      </c>
      <c r="J281" s="17"/>
    </row>
    <row r="283" spans="1:13">
      <c r="B283" s="15" t="s">
        <v>1466</v>
      </c>
      <c r="C283" s="15" t="s">
        <v>1467</v>
      </c>
      <c r="D283" s="15" t="s">
        <v>1468</v>
      </c>
      <c r="E283" s="15" t="s">
        <v>1469</v>
      </c>
      <c r="F283" s="15" t="s">
        <v>1470</v>
      </c>
      <c r="G283" s="15" t="s">
        <v>1099</v>
      </c>
      <c r="H283" s="15" t="s">
        <v>1654</v>
      </c>
      <c r="I283" s="15" t="s">
        <v>1636</v>
      </c>
      <c r="J283" s="15" t="s">
        <v>1606</v>
      </c>
      <c r="K283" s="15" t="s">
        <v>1637</v>
      </c>
      <c r="L283" s="15" t="s">
        <v>1655</v>
      </c>
    </row>
    <row r="284" spans="1:13">
      <c r="A284" s="4" t="s">
        <v>451</v>
      </c>
      <c r="B284" s="39">
        <f>'Standing'!$C$81</f>
        <v>0</v>
      </c>
      <c r="C284" s="39">
        <f>'Standing'!$C$101</f>
        <v>0</v>
      </c>
      <c r="D284" s="39">
        <f>'Standing'!$C$115</f>
        <v>0</v>
      </c>
      <c r="E284" s="10"/>
      <c r="F284" s="47">
        <f>'Standing'!$C$33</f>
        <v>0</v>
      </c>
      <c r="G284" s="39">
        <f>'Reactive'!$C$33</f>
        <v>0</v>
      </c>
      <c r="H284" s="38">
        <f>IF(H$281&lt;&gt;0,(($B284*B$281+$C284*C$281+$D284*D$281+$G284*G$281))/H$281,0)</f>
        <v>0</v>
      </c>
      <c r="I284" s="21">
        <f>0.01*'Input'!$F$58*(E284*$E$281+F284*$F$281)+10*(B284*$B$281+C284*$C$281+D284*$D$281+G284*$G$281)</f>
        <v>0</v>
      </c>
      <c r="J284" s="38">
        <f>IF($H$281&lt;&gt;0,0.1*I284/$H$281,"")</f>
        <v>0</v>
      </c>
      <c r="K284" s="46">
        <f>IF($E$281&lt;&gt;0,I284/$E$281,"")</f>
        <v>0</v>
      </c>
      <c r="L284" s="46">
        <f>IF($F$281&lt;&gt;0,I284/$F$281*100/'Input'!$F$58,"")</f>
        <v>0</v>
      </c>
      <c r="M284" s="17"/>
    </row>
    <row r="285" spans="1:13">
      <c r="A285" s="4" t="s">
        <v>452</v>
      </c>
      <c r="B285" s="39">
        <f>'Standing'!$D$81</f>
        <v>0</v>
      </c>
      <c r="C285" s="39">
        <f>'Standing'!$D$101</f>
        <v>0</v>
      </c>
      <c r="D285" s="39">
        <f>'Standing'!$D$115</f>
        <v>0</v>
      </c>
      <c r="E285" s="10"/>
      <c r="F285" s="47">
        <f>'Standing'!$D$33</f>
        <v>0</v>
      </c>
      <c r="G285" s="39">
        <f>'Reactive'!$D$33</f>
        <v>0</v>
      </c>
      <c r="H285" s="38">
        <f>IF(H$281&lt;&gt;0,(($B285*B$281+$C285*C$281+$D285*D$281+$G285*G$281))/H$281,0)</f>
        <v>0</v>
      </c>
      <c r="I285" s="21">
        <f>0.01*'Input'!$F$58*(E285*$E$281+F285*$F$281)+10*(B285*$B$281+C285*$C$281+D285*$D$281+G285*$G$281)</f>
        <v>0</v>
      </c>
      <c r="J285" s="38">
        <f>IF($H$281&lt;&gt;0,0.1*I285/$H$281,"")</f>
        <v>0</v>
      </c>
      <c r="K285" s="46">
        <f>IF($E$281&lt;&gt;0,I285/$E$281,"")</f>
        <v>0</v>
      </c>
      <c r="L285" s="46">
        <f>IF($F$281&lt;&gt;0,I285/$F$281*100/'Input'!$F$58,"")</f>
        <v>0</v>
      </c>
      <c r="M285" s="17"/>
    </row>
    <row r="286" spans="1:13">
      <c r="A286" s="4" t="s">
        <v>453</v>
      </c>
      <c r="B286" s="39">
        <f>'Standing'!$E$81</f>
        <v>0</v>
      </c>
      <c r="C286" s="39">
        <f>'Standing'!$E$101</f>
        <v>0</v>
      </c>
      <c r="D286" s="39">
        <f>'Standing'!$E$115</f>
        <v>0</v>
      </c>
      <c r="E286" s="10"/>
      <c r="F286" s="47">
        <f>'Standing'!$E$33</f>
        <v>0</v>
      </c>
      <c r="G286" s="39">
        <f>'Reactive'!$E$33</f>
        <v>0</v>
      </c>
      <c r="H286" s="38">
        <f>IF(H$281&lt;&gt;0,(($B286*B$281+$C286*C$281+$D286*D$281+$G286*G$281))/H$281,0)</f>
        <v>0</v>
      </c>
      <c r="I286" s="21">
        <f>0.01*'Input'!$F$58*(E286*$E$281+F286*$F$281)+10*(B286*$B$281+C286*$C$281+D286*$D$281+G286*$G$281)</f>
        <v>0</v>
      </c>
      <c r="J286" s="38">
        <f>IF($H$281&lt;&gt;0,0.1*I286/$H$281,"")</f>
        <v>0</v>
      </c>
      <c r="K286" s="46">
        <f>IF($E$281&lt;&gt;0,I286/$E$281,"")</f>
        <v>0</v>
      </c>
      <c r="L286" s="46">
        <f>IF($F$281&lt;&gt;0,I286/$F$281*100/'Input'!$F$58,"")</f>
        <v>0</v>
      </c>
      <c r="M286" s="17"/>
    </row>
    <row r="287" spans="1:13">
      <c r="A287" s="4" t="s">
        <v>454</v>
      </c>
      <c r="B287" s="39">
        <f>'Standing'!$F$81</f>
        <v>0</v>
      </c>
      <c r="C287" s="39">
        <f>'Standing'!$F$101</f>
        <v>0</v>
      </c>
      <c r="D287" s="39">
        <f>'Standing'!$F$115</f>
        <v>0</v>
      </c>
      <c r="E287" s="10"/>
      <c r="F287" s="47">
        <f>'Standing'!$F$33</f>
        <v>0</v>
      </c>
      <c r="G287" s="39">
        <f>'Reactive'!$F$33</f>
        <v>0</v>
      </c>
      <c r="H287" s="38">
        <f>IF(H$281&lt;&gt;0,(($B287*B$281+$C287*C$281+$D287*D$281+$G287*G$281))/H$281,0)</f>
        <v>0</v>
      </c>
      <c r="I287" s="21">
        <f>0.01*'Input'!$F$58*(E287*$E$281+F287*$F$281)+10*(B287*$B$281+C287*$C$281+D287*$D$281+G287*$G$281)</f>
        <v>0</v>
      </c>
      <c r="J287" s="38">
        <f>IF($H$281&lt;&gt;0,0.1*I287/$H$281,"")</f>
        <v>0</v>
      </c>
      <c r="K287" s="46">
        <f>IF($E$281&lt;&gt;0,I287/$E$281,"")</f>
        <v>0</v>
      </c>
      <c r="L287" s="46">
        <f>IF($F$281&lt;&gt;0,I287/$F$281*100/'Input'!$F$58,"")</f>
        <v>0</v>
      </c>
      <c r="M287" s="17"/>
    </row>
    <row r="288" spans="1:13">
      <c r="A288" s="4" t="s">
        <v>455</v>
      </c>
      <c r="B288" s="39">
        <f>'Standing'!$G$81</f>
        <v>0</v>
      </c>
      <c r="C288" s="39">
        <f>'Standing'!$G$101</f>
        <v>0</v>
      </c>
      <c r="D288" s="39">
        <f>'Standing'!$G$115</f>
        <v>0</v>
      </c>
      <c r="E288" s="10"/>
      <c r="F288" s="47">
        <f>'Standing'!$G$33</f>
        <v>0</v>
      </c>
      <c r="G288" s="39">
        <f>'Reactive'!$G$33</f>
        <v>0</v>
      </c>
      <c r="H288" s="38">
        <f>IF(H$281&lt;&gt;0,(($B288*B$281+$C288*C$281+$D288*D$281+$G288*G$281))/H$281,0)</f>
        <v>0</v>
      </c>
      <c r="I288" s="21">
        <f>0.01*'Input'!$F$58*(E288*$E$281+F288*$F$281)+10*(B288*$B$281+C288*$C$281+D288*$D$281+G288*$G$281)</f>
        <v>0</v>
      </c>
      <c r="J288" s="38">
        <f>IF($H$281&lt;&gt;0,0.1*I288/$H$281,"")</f>
        <v>0</v>
      </c>
      <c r="K288" s="46">
        <f>IF($E$281&lt;&gt;0,I288/$E$281,"")</f>
        <v>0</v>
      </c>
      <c r="L288" s="46">
        <f>IF($F$281&lt;&gt;0,I288/$F$281*100/'Input'!$F$58,"")</f>
        <v>0</v>
      </c>
      <c r="M288" s="17"/>
    </row>
    <row r="289" spans="1:13">
      <c r="A289" s="4" t="s">
        <v>456</v>
      </c>
      <c r="B289" s="39">
        <f>'Standing'!$H$81</f>
        <v>0</v>
      </c>
      <c r="C289" s="39">
        <f>'Standing'!$H$101</f>
        <v>0</v>
      </c>
      <c r="D289" s="39">
        <f>'Standing'!$H$115</f>
        <v>0</v>
      </c>
      <c r="E289" s="10"/>
      <c r="F289" s="47">
        <f>'Standing'!$H$33</f>
        <v>0</v>
      </c>
      <c r="G289" s="39">
        <f>'Reactive'!$H$33</f>
        <v>0</v>
      </c>
      <c r="H289" s="38">
        <f>IF(H$281&lt;&gt;0,(($B289*B$281+$C289*C$281+$D289*D$281+$G289*G$281))/H$281,0)</f>
        <v>0</v>
      </c>
      <c r="I289" s="21">
        <f>0.01*'Input'!$F$58*(E289*$E$281+F289*$F$281)+10*(B289*$B$281+C289*$C$281+D289*$D$281+G289*$G$281)</f>
        <v>0</v>
      </c>
      <c r="J289" s="38">
        <f>IF($H$281&lt;&gt;0,0.1*I289/$H$281,"")</f>
        <v>0</v>
      </c>
      <c r="K289" s="46">
        <f>IF($E$281&lt;&gt;0,I289/$E$281,"")</f>
        <v>0</v>
      </c>
      <c r="L289" s="46">
        <f>IF($F$281&lt;&gt;0,I289/$F$281*100/'Input'!$F$58,"")</f>
        <v>0</v>
      </c>
      <c r="M289" s="17"/>
    </row>
    <row r="290" spans="1:13">
      <c r="A290" s="4" t="s">
        <v>457</v>
      </c>
      <c r="B290" s="39">
        <f>'Standing'!$I$81</f>
        <v>0</v>
      </c>
      <c r="C290" s="39">
        <f>'Standing'!$I$101</f>
        <v>0</v>
      </c>
      <c r="D290" s="39">
        <f>'Standing'!$I$115</f>
        <v>0</v>
      </c>
      <c r="E290" s="10"/>
      <c r="F290" s="47">
        <f>'Standing'!$I$33</f>
        <v>0</v>
      </c>
      <c r="G290" s="39">
        <f>'Reactive'!$I$33</f>
        <v>0</v>
      </c>
      <c r="H290" s="38">
        <f>IF(H$281&lt;&gt;0,(($B290*B$281+$C290*C$281+$D290*D$281+$G290*G$281))/H$281,0)</f>
        <v>0</v>
      </c>
      <c r="I290" s="21">
        <f>0.01*'Input'!$F$58*(E290*$E$281+F290*$F$281)+10*(B290*$B$281+C290*$C$281+D290*$D$281+G290*$G$281)</f>
        <v>0</v>
      </c>
      <c r="J290" s="38">
        <f>IF($H$281&lt;&gt;0,0.1*I290/$H$281,"")</f>
        <v>0</v>
      </c>
      <c r="K290" s="46">
        <f>IF($E$281&lt;&gt;0,I290/$E$281,"")</f>
        <v>0</v>
      </c>
      <c r="L290" s="46">
        <f>IF($F$281&lt;&gt;0,I290/$F$281*100/'Input'!$F$58,"")</f>
        <v>0</v>
      </c>
      <c r="M290" s="17"/>
    </row>
    <row r="291" spans="1:13">
      <c r="A291" s="4" t="s">
        <v>458</v>
      </c>
      <c r="B291" s="39">
        <f>'Standing'!$J$81</f>
        <v>0</v>
      </c>
      <c r="C291" s="39">
        <f>'Standing'!$J$101</f>
        <v>0</v>
      </c>
      <c r="D291" s="39">
        <f>'Standing'!$J$115</f>
        <v>0</v>
      </c>
      <c r="E291" s="10"/>
      <c r="F291" s="47">
        <f>'Standing'!$J$33</f>
        <v>0</v>
      </c>
      <c r="G291" s="39">
        <f>'Reactive'!$J$33</f>
        <v>0</v>
      </c>
      <c r="H291" s="38">
        <f>IF(H$281&lt;&gt;0,(($B291*B$281+$C291*C$281+$D291*D$281+$G291*G$281))/H$281,0)</f>
        <v>0</v>
      </c>
      <c r="I291" s="21">
        <f>0.01*'Input'!$F$58*(E291*$E$281+F291*$F$281)+10*(B291*$B$281+C291*$C$281+D291*$D$281+G291*$G$281)</f>
        <v>0</v>
      </c>
      <c r="J291" s="38">
        <f>IF($H$281&lt;&gt;0,0.1*I291/$H$281,"")</f>
        <v>0</v>
      </c>
      <c r="K291" s="46">
        <f>IF($E$281&lt;&gt;0,I291/$E$281,"")</f>
        <v>0</v>
      </c>
      <c r="L291" s="46">
        <f>IF($F$281&lt;&gt;0,I291/$F$281*100/'Input'!$F$58,"")</f>
        <v>0</v>
      </c>
      <c r="M291" s="17"/>
    </row>
    <row r="292" spans="1:13">
      <c r="A292" s="4" t="s">
        <v>1638</v>
      </c>
      <c r="B292" s="10"/>
      <c r="C292" s="10"/>
      <c r="D292" s="10"/>
      <c r="E292" s="47">
        <f>'SM'!$B$108</f>
        <v>0</v>
      </c>
      <c r="F292" s="10"/>
      <c r="G292" s="10"/>
      <c r="H292" s="38">
        <f>IF(H$281&lt;&gt;0,(($B292*B$281+$C292*C$281+$D292*D$281+$G292*G$281))/H$281,0)</f>
        <v>0</v>
      </c>
      <c r="I292" s="21">
        <f>0.01*'Input'!$F$58*(E292*$E$281+F292*$F$281)+10*(B292*$B$281+C292*$C$281+D292*$D$281+G292*$G$281)</f>
        <v>0</v>
      </c>
      <c r="J292" s="38">
        <f>IF($H$281&lt;&gt;0,0.1*I292/$H$281,"")</f>
        <v>0</v>
      </c>
      <c r="K292" s="46">
        <f>IF($E$281&lt;&gt;0,I292/$E$281,"")</f>
        <v>0</v>
      </c>
      <c r="L292" s="46">
        <f>IF($F$281&lt;&gt;0,I292/$F$281*100/'Input'!$F$58,"")</f>
        <v>0</v>
      </c>
      <c r="M292" s="17"/>
    </row>
    <row r="293" spans="1:13">
      <c r="A293" s="4" t="s">
        <v>1639</v>
      </c>
      <c r="B293" s="10"/>
      <c r="C293" s="10"/>
      <c r="D293" s="10"/>
      <c r="E293" s="47">
        <f>'SM'!$C$108</f>
        <v>0</v>
      </c>
      <c r="F293" s="10"/>
      <c r="G293" s="10"/>
      <c r="H293" s="38">
        <f>IF(H$281&lt;&gt;0,(($B293*B$281+$C293*C$281+$D293*D$281+$G293*G$281))/H$281,0)</f>
        <v>0</v>
      </c>
      <c r="I293" s="21">
        <f>0.01*'Input'!$F$58*(E293*$E$281+F293*$F$281)+10*(B293*$B$281+C293*$C$281+D293*$D$281+G293*$G$281)</f>
        <v>0</v>
      </c>
      <c r="J293" s="38">
        <f>IF($H$281&lt;&gt;0,0.1*I293/$H$281,"")</f>
        <v>0</v>
      </c>
      <c r="K293" s="46">
        <f>IF($E$281&lt;&gt;0,I293/$E$281,"")</f>
        <v>0</v>
      </c>
      <c r="L293" s="46">
        <f>IF($F$281&lt;&gt;0,I293/$F$281*100/'Input'!$F$58,"")</f>
        <v>0</v>
      </c>
      <c r="M293" s="17"/>
    </row>
    <row r="294" spans="1:13">
      <c r="A294" s="4" t="s">
        <v>1640</v>
      </c>
      <c r="B294" s="39">
        <f>'Standing'!$K$81</f>
        <v>0</v>
      </c>
      <c r="C294" s="39">
        <f>'Standing'!$K$101</f>
        <v>0</v>
      </c>
      <c r="D294" s="39">
        <f>'Standing'!$K$115</f>
        <v>0</v>
      </c>
      <c r="E294" s="10"/>
      <c r="F294" s="47">
        <f>'Standing'!$K$33</f>
        <v>0</v>
      </c>
      <c r="G294" s="39">
        <f>'Reactive'!$K$33</f>
        <v>0</v>
      </c>
      <c r="H294" s="38">
        <f>IF(H$281&lt;&gt;0,(($B294*B$281+$C294*C$281+$D294*D$281+$G294*G$281))/H$281,0)</f>
        <v>0</v>
      </c>
      <c r="I294" s="21">
        <f>0.01*'Input'!$F$58*(E294*$E$281+F294*$F$281)+10*(B294*$B$281+C294*$C$281+D294*$D$281+G294*$G$281)</f>
        <v>0</v>
      </c>
      <c r="J294" s="38">
        <f>IF($H$281&lt;&gt;0,0.1*I294/$H$281,"")</f>
        <v>0</v>
      </c>
      <c r="K294" s="46">
        <f>IF($E$281&lt;&gt;0,I294/$E$281,"")</f>
        <v>0</v>
      </c>
      <c r="L294" s="46">
        <f>IF($F$281&lt;&gt;0,I294/$F$281*100/'Input'!$F$58,"")</f>
        <v>0</v>
      </c>
      <c r="M294" s="17"/>
    </row>
    <row r="295" spans="1:13">
      <c r="A295" s="4" t="s">
        <v>1641</v>
      </c>
      <c r="B295" s="39">
        <f>'Standing'!$L$81</f>
        <v>0</v>
      </c>
      <c r="C295" s="39">
        <f>'Standing'!$L$101</f>
        <v>0</v>
      </c>
      <c r="D295" s="39">
        <f>'Standing'!$L$115</f>
        <v>0</v>
      </c>
      <c r="E295" s="10"/>
      <c r="F295" s="47">
        <f>'Standing'!$L$33</f>
        <v>0</v>
      </c>
      <c r="G295" s="39">
        <f>'Reactive'!$L$33</f>
        <v>0</v>
      </c>
      <c r="H295" s="38">
        <f>IF(H$281&lt;&gt;0,(($B295*B$281+$C295*C$281+$D295*D$281+$G295*G$281))/H$281,0)</f>
        <v>0</v>
      </c>
      <c r="I295" s="21">
        <f>0.01*'Input'!$F$58*(E295*$E$281+F295*$F$281)+10*(B295*$B$281+C295*$C$281+D295*$D$281+G295*$G$281)</f>
        <v>0</v>
      </c>
      <c r="J295" s="38">
        <f>IF($H$281&lt;&gt;0,0.1*I295/$H$281,"")</f>
        <v>0</v>
      </c>
      <c r="K295" s="46">
        <f>IF($E$281&lt;&gt;0,I295/$E$281,"")</f>
        <v>0</v>
      </c>
      <c r="L295" s="46">
        <f>IF($F$281&lt;&gt;0,I295/$F$281*100/'Input'!$F$58,"")</f>
        <v>0</v>
      </c>
      <c r="M295" s="17"/>
    </row>
    <row r="296" spans="1:13">
      <c r="A296" s="4" t="s">
        <v>1642</v>
      </c>
      <c r="B296" s="39">
        <f>'Standing'!$M$81</f>
        <v>0</v>
      </c>
      <c r="C296" s="39">
        <f>'Standing'!$M$101</f>
        <v>0</v>
      </c>
      <c r="D296" s="39">
        <f>'Standing'!$M$115</f>
        <v>0</v>
      </c>
      <c r="E296" s="10"/>
      <c r="F296" s="47">
        <f>'Standing'!$M$33</f>
        <v>0</v>
      </c>
      <c r="G296" s="39">
        <f>'Reactive'!$M$33</f>
        <v>0</v>
      </c>
      <c r="H296" s="38">
        <f>IF(H$281&lt;&gt;0,(($B296*B$281+$C296*C$281+$D296*D$281+$G296*G$281))/H$281,0)</f>
        <v>0</v>
      </c>
      <c r="I296" s="21">
        <f>0.01*'Input'!$F$58*(E296*$E$281+F296*$F$281)+10*(B296*$B$281+C296*$C$281+D296*$D$281+G296*$G$281)</f>
        <v>0</v>
      </c>
      <c r="J296" s="38">
        <f>IF($H$281&lt;&gt;0,0.1*I296/$H$281,"")</f>
        <v>0</v>
      </c>
      <c r="K296" s="46">
        <f>IF($E$281&lt;&gt;0,I296/$E$281,"")</f>
        <v>0</v>
      </c>
      <c r="L296" s="46">
        <f>IF($F$281&lt;&gt;0,I296/$F$281*100/'Input'!$F$58,"")</f>
        <v>0</v>
      </c>
      <c r="M296" s="17"/>
    </row>
    <row r="297" spans="1:13">
      <c r="A297" s="4" t="s">
        <v>1643</v>
      </c>
      <c r="B297" s="39">
        <f>'Standing'!$N$81</f>
        <v>0</v>
      </c>
      <c r="C297" s="39">
        <f>'Standing'!$N$101</f>
        <v>0</v>
      </c>
      <c r="D297" s="39">
        <f>'Standing'!$N$115</f>
        <v>0</v>
      </c>
      <c r="E297" s="10"/>
      <c r="F297" s="47">
        <f>'Standing'!$N$33</f>
        <v>0</v>
      </c>
      <c r="G297" s="39">
        <f>'Reactive'!$N$33</f>
        <v>0</v>
      </c>
      <c r="H297" s="38">
        <f>IF(H$281&lt;&gt;0,(($B297*B$281+$C297*C$281+$D297*D$281+$G297*G$281))/H$281,0)</f>
        <v>0</v>
      </c>
      <c r="I297" s="21">
        <f>0.01*'Input'!$F$58*(E297*$E$281+F297*$F$281)+10*(B297*$B$281+C297*$C$281+D297*$D$281+G297*$G$281)</f>
        <v>0</v>
      </c>
      <c r="J297" s="38">
        <f>IF($H$281&lt;&gt;0,0.1*I297/$H$281,"")</f>
        <v>0</v>
      </c>
      <c r="K297" s="46">
        <f>IF($E$281&lt;&gt;0,I297/$E$281,"")</f>
        <v>0</v>
      </c>
      <c r="L297" s="46">
        <f>IF($F$281&lt;&gt;0,I297/$F$281*100/'Input'!$F$58,"")</f>
        <v>0</v>
      </c>
      <c r="M297" s="17"/>
    </row>
    <row r="298" spans="1:13">
      <c r="A298" s="4" t="s">
        <v>1644</v>
      </c>
      <c r="B298" s="39">
        <f>'Standing'!$O$81</f>
        <v>0</v>
      </c>
      <c r="C298" s="39">
        <f>'Standing'!$O$101</f>
        <v>0</v>
      </c>
      <c r="D298" s="39">
        <f>'Standing'!$O$115</f>
        <v>0</v>
      </c>
      <c r="E298" s="10"/>
      <c r="F298" s="47">
        <f>'Standing'!$O$33</f>
        <v>0</v>
      </c>
      <c r="G298" s="39">
        <f>'Reactive'!$O$33</f>
        <v>0</v>
      </c>
      <c r="H298" s="38">
        <f>IF(H$281&lt;&gt;0,(($B298*B$281+$C298*C$281+$D298*D$281+$G298*G$281))/H$281,0)</f>
        <v>0</v>
      </c>
      <c r="I298" s="21">
        <f>0.01*'Input'!$F$58*(E298*$E$281+F298*$F$281)+10*(B298*$B$281+C298*$C$281+D298*$D$281+G298*$G$281)</f>
        <v>0</v>
      </c>
      <c r="J298" s="38">
        <f>IF($H$281&lt;&gt;0,0.1*I298/$H$281,"")</f>
        <v>0</v>
      </c>
      <c r="K298" s="46">
        <f>IF($E$281&lt;&gt;0,I298/$E$281,"")</f>
        <v>0</v>
      </c>
      <c r="L298" s="46">
        <f>IF($F$281&lt;&gt;0,I298/$F$281*100/'Input'!$F$58,"")</f>
        <v>0</v>
      </c>
      <c r="M298" s="17"/>
    </row>
    <row r="299" spans="1:13">
      <c r="A299" s="4" t="s">
        <v>1645</v>
      </c>
      <c r="B299" s="39">
        <f>'Standing'!$P$81</f>
        <v>0</v>
      </c>
      <c r="C299" s="39">
        <f>'Standing'!$P$101</f>
        <v>0</v>
      </c>
      <c r="D299" s="39">
        <f>'Standing'!$P$115</f>
        <v>0</v>
      </c>
      <c r="E299" s="10"/>
      <c r="F299" s="47">
        <f>'Standing'!$P$33</f>
        <v>0</v>
      </c>
      <c r="G299" s="39">
        <f>'Reactive'!$P$33</f>
        <v>0</v>
      </c>
      <c r="H299" s="38">
        <f>IF(H$281&lt;&gt;0,(($B299*B$281+$C299*C$281+$D299*D$281+$G299*G$281))/H$281,0)</f>
        <v>0</v>
      </c>
      <c r="I299" s="21">
        <f>0.01*'Input'!$F$58*(E299*$E$281+F299*$F$281)+10*(B299*$B$281+C299*$C$281+D299*$D$281+G299*$G$281)</f>
        <v>0</v>
      </c>
      <c r="J299" s="38">
        <f>IF($H$281&lt;&gt;0,0.1*I299/$H$281,"")</f>
        <v>0</v>
      </c>
      <c r="K299" s="46">
        <f>IF($E$281&lt;&gt;0,I299/$E$281,"")</f>
        <v>0</v>
      </c>
      <c r="L299" s="46">
        <f>IF($F$281&lt;&gt;0,I299/$F$281*100/'Input'!$F$58,"")</f>
        <v>0</v>
      </c>
      <c r="M299" s="17"/>
    </row>
    <row r="300" spans="1:13">
      <c r="A300" s="4" t="s">
        <v>1646</v>
      </c>
      <c r="B300" s="39">
        <f>'Standing'!$Q$81</f>
        <v>0</v>
      </c>
      <c r="C300" s="39">
        <f>'Standing'!$Q$101</f>
        <v>0</v>
      </c>
      <c r="D300" s="39">
        <f>'Standing'!$Q$115</f>
        <v>0</v>
      </c>
      <c r="E300" s="10"/>
      <c r="F300" s="47">
        <f>'Standing'!$Q$33</f>
        <v>0</v>
      </c>
      <c r="G300" s="39">
        <f>'Reactive'!$Q$33</f>
        <v>0</v>
      </c>
      <c r="H300" s="38">
        <f>IF(H$281&lt;&gt;0,(($B300*B$281+$C300*C$281+$D300*D$281+$G300*G$281))/H$281,0)</f>
        <v>0</v>
      </c>
      <c r="I300" s="21">
        <f>0.01*'Input'!$F$58*(E300*$E$281+F300*$F$281)+10*(B300*$B$281+C300*$C$281+D300*$D$281+G300*$G$281)</f>
        <v>0</v>
      </c>
      <c r="J300" s="38">
        <f>IF($H$281&lt;&gt;0,0.1*I300/$H$281,"")</f>
        <v>0</v>
      </c>
      <c r="K300" s="46">
        <f>IF($E$281&lt;&gt;0,I300/$E$281,"")</f>
        <v>0</v>
      </c>
      <c r="L300" s="46">
        <f>IF($F$281&lt;&gt;0,I300/$F$281*100/'Input'!$F$58,"")</f>
        <v>0</v>
      </c>
      <c r="M300" s="17"/>
    </row>
    <row r="301" spans="1:13">
      <c r="A301" s="4" t="s">
        <v>1647</v>
      </c>
      <c r="B301" s="39">
        <f>'Standing'!$R$81</f>
        <v>0</v>
      </c>
      <c r="C301" s="39">
        <f>'Standing'!$R$101</f>
        <v>0</v>
      </c>
      <c r="D301" s="39">
        <f>'Standing'!$R$115</f>
        <v>0</v>
      </c>
      <c r="E301" s="10"/>
      <c r="F301" s="47">
        <f>'Standing'!$R$33</f>
        <v>0</v>
      </c>
      <c r="G301" s="39">
        <f>'Reactive'!$R$33</f>
        <v>0</v>
      </c>
      <c r="H301" s="38">
        <f>IF(H$281&lt;&gt;0,(($B301*B$281+$C301*C$281+$D301*D$281+$G301*G$281))/H$281,0)</f>
        <v>0</v>
      </c>
      <c r="I301" s="21">
        <f>0.01*'Input'!$F$58*(E301*$E$281+F301*$F$281)+10*(B301*$B$281+C301*$C$281+D301*$D$281+G301*$G$281)</f>
        <v>0</v>
      </c>
      <c r="J301" s="38">
        <f>IF($H$281&lt;&gt;0,0.1*I301/$H$281,"")</f>
        <v>0</v>
      </c>
      <c r="K301" s="46">
        <f>IF($E$281&lt;&gt;0,I301/$E$281,"")</f>
        <v>0</v>
      </c>
      <c r="L301" s="46">
        <f>IF($F$281&lt;&gt;0,I301/$F$281*100/'Input'!$F$58,"")</f>
        <v>0</v>
      </c>
      <c r="M301" s="17"/>
    </row>
    <row r="302" spans="1:13">
      <c r="A302" s="4" t="s">
        <v>1648</v>
      </c>
      <c r="B302" s="39">
        <f>'Standing'!$S$81</f>
        <v>0</v>
      </c>
      <c r="C302" s="39">
        <f>'Standing'!$S$101</f>
        <v>0</v>
      </c>
      <c r="D302" s="39">
        <f>'Standing'!$S$115</f>
        <v>0</v>
      </c>
      <c r="E302" s="10"/>
      <c r="F302" s="47">
        <f>'Standing'!$S$33</f>
        <v>0</v>
      </c>
      <c r="G302" s="39">
        <f>'Reactive'!$S$33</f>
        <v>0</v>
      </c>
      <c r="H302" s="38">
        <f>IF(H$281&lt;&gt;0,(($B302*B$281+$C302*C$281+$D302*D$281+$G302*G$281))/H$281,0)</f>
        <v>0</v>
      </c>
      <c r="I302" s="21">
        <f>0.01*'Input'!$F$58*(E302*$E$281+F302*$F$281)+10*(B302*$B$281+C302*$C$281+D302*$D$281+G302*$G$281)</f>
        <v>0</v>
      </c>
      <c r="J302" s="38">
        <f>IF($H$281&lt;&gt;0,0.1*I302/$H$281,"")</f>
        <v>0</v>
      </c>
      <c r="K302" s="46">
        <f>IF($E$281&lt;&gt;0,I302/$E$281,"")</f>
        <v>0</v>
      </c>
      <c r="L302" s="46">
        <f>IF($F$281&lt;&gt;0,I302/$F$281*100/'Input'!$F$58,"")</f>
        <v>0</v>
      </c>
      <c r="M302" s="17"/>
    </row>
    <row r="303" spans="1:13">
      <c r="A303" s="4" t="s">
        <v>1649</v>
      </c>
      <c r="B303" s="10"/>
      <c r="C303" s="10"/>
      <c r="D303" s="10"/>
      <c r="E303" s="47">
        <f>'Otex'!$B$129</f>
        <v>0</v>
      </c>
      <c r="F303" s="10"/>
      <c r="G303" s="10"/>
      <c r="H303" s="38">
        <f>IF(H$281&lt;&gt;0,(($B303*B$281+$C303*C$281+$D303*D$281+$G303*G$281))/H$281,0)</f>
        <v>0</v>
      </c>
      <c r="I303" s="21">
        <f>0.01*'Input'!$F$58*(E303*$E$281+F303*$F$281)+10*(B303*$B$281+C303*$C$281+D303*$D$281+G303*$G$281)</f>
        <v>0</v>
      </c>
      <c r="J303" s="38">
        <f>IF($H$281&lt;&gt;0,0.1*I303/$H$281,"")</f>
        <v>0</v>
      </c>
      <c r="K303" s="46">
        <f>IF($E$281&lt;&gt;0,I303/$E$281,"")</f>
        <v>0</v>
      </c>
      <c r="L303" s="46">
        <f>IF($F$281&lt;&gt;0,I303/$F$281*100/'Input'!$F$58,"")</f>
        <v>0</v>
      </c>
      <c r="M303" s="17"/>
    </row>
    <row r="304" spans="1:13">
      <c r="A304" s="4" t="s">
        <v>1650</v>
      </c>
      <c r="B304" s="10"/>
      <c r="C304" s="10"/>
      <c r="D304" s="10"/>
      <c r="E304" s="47">
        <f>'Otex'!$C$129</f>
        <v>0</v>
      </c>
      <c r="F304" s="10"/>
      <c r="G304" s="10"/>
      <c r="H304" s="38">
        <f>IF(H$281&lt;&gt;0,(($B304*B$281+$C304*C$281+$D304*D$281+$G304*G$281))/H$281,0)</f>
        <v>0</v>
      </c>
      <c r="I304" s="21">
        <f>0.01*'Input'!$F$58*(E304*$E$281+F304*$F$281)+10*(B304*$B$281+C304*$C$281+D304*$D$281+G304*$G$281)</f>
        <v>0</v>
      </c>
      <c r="J304" s="38">
        <f>IF($H$281&lt;&gt;0,0.1*I304/$H$281,"")</f>
        <v>0</v>
      </c>
      <c r="K304" s="46">
        <f>IF($E$281&lt;&gt;0,I304/$E$281,"")</f>
        <v>0</v>
      </c>
      <c r="L304" s="46">
        <f>IF($F$281&lt;&gt;0,I304/$F$281*100/'Input'!$F$58,"")</f>
        <v>0</v>
      </c>
      <c r="M304" s="17"/>
    </row>
    <row r="305" spans="1:13">
      <c r="A305" s="4" t="s">
        <v>1651</v>
      </c>
      <c r="B305" s="39">
        <f>'Scaler'!$B$397</f>
        <v>0</v>
      </c>
      <c r="C305" s="39">
        <f>'Scaler'!$C$397</f>
        <v>0</v>
      </c>
      <c r="D305" s="39">
        <f>'Scaler'!$D$397</f>
        <v>0</v>
      </c>
      <c r="E305" s="47">
        <f>'Scaler'!$E$397</f>
        <v>0</v>
      </c>
      <c r="F305" s="47">
        <f>'Scaler'!$F$397</f>
        <v>0</v>
      </c>
      <c r="G305" s="39">
        <f>'Scaler'!$G$397</f>
        <v>0</v>
      </c>
      <c r="H305" s="38">
        <f>IF(H$281&lt;&gt;0,(($B305*B$281+$C305*C$281+$D305*D$281+$G305*G$281))/H$281,0)</f>
        <v>0</v>
      </c>
      <c r="I305" s="21">
        <f>0.01*'Input'!$F$58*(E305*$E$281+F305*$F$281)+10*(B305*$B$281+C305*$C$281+D305*$D$281+G305*$G$281)</f>
        <v>0</v>
      </c>
      <c r="J305" s="38">
        <f>IF($H$281&lt;&gt;0,0.1*I305/$H$281,"")</f>
        <v>0</v>
      </c>
      <c r="K305" s="46">
        <f>IF($E$281&lt;&gt;0,I305/$E$281,"")</f>
        <v>0</v>
      </c>
      <c r="L305" s="46">
        <f>IF($F$281&lt;&gt;0,I305/$F$281*100/'Input'!$F$58,"")</f>
        <v>0</v>
      </c>
      <c r="M305" s="17"/>
    </row>
    <row r="306" spans="1:13">
      <c r="A306" s="4" t="s">
        <v>1652</v>
      </c>
      <c r="B306" s="39">
        <f>'Adjust'!$B$77</f>
        <v>0</v>
      </c>
      <c r="C306" s="39">
        <f>'Adjust'!$C$77</f>
        <v>0</v>
      </c>
      <c r="D306" s="39">
        <f>'Adjust'!$D$77</f>
        <v>0</v>
      </c>
      <c r="E306" s="47">
        <f>'Adjust'!$E$77</f>
        <v>0</v>
      </c>
      <c r="F306" s="47">
        <f>'Adjust'!$F$77</f>
        <v>0</v>
      </c>
      <c r="G306" s="39">
        <f>'Adjust'!$G$77</f>
        <v>0</v>
      </c>
      <c r="H306" s="38">
        <f>IF(H$281&lt;&gt;0,(($B306*B$281+$C306*C$281+$D306*D$281+$G306*G$281))/H$281,0)</f>
        <v>0</v>
      </c>
      <c r="I306" s="21">
        <f>0.01*'Input'!$F$58*(E306*$E$281+F306*$F$281)+10*(B306*$B$281+C306*$C$281+D306*$D$281+G306*$G$281)</f>
        <v>0</v>
      </c>
      <c r="J306" s="38">
        <f>IF($H$281&lt;&gt;0,0.1*I306/$H$281,"")</f>
        <v>0</v>
      </c>
      <c r="K306" s="46">
        <f>IF($E$281&lt;&gt;0,I306/$E$281,"")</f>
        <v>0</v>
      </c>
      <c r="L306" s="46">
        <f>IF($F$281&lt;&gt;0,I306/$F$281*100/'Input'!$F$58,"")</f>
        <v>0</v>
      </c>
      <c r="M306" s="17"/>
    </row>
    <row r="308" spans="1:13">
      <c r="A308" s="4" t="s">
        <v>1653</v>
      </c>
      <c r="B308" s="38">
        <f>SUM($B$284:$B$306)</f>
        <v>0</v>
      </c>
      <c r="C308" s="38">
        <f>SUM($C$284:$C$306)</f>
        <v>0</v>
      </c>
      <c r="D308" s="38">
        <f>SUM($D$284:$D$306)</f>
        <v>0</v>
      </c>
      <c r="E308" s="46">
        <f>SUM($E$284:$E$306)</f>
        <v>0</v>
      </c>
      <c r="F308" s="46">
        <f>SUM($F$284:$F$306)</f>
        <v>0</v>
      </c>
      <c r="G308" s="38">
        <f>SUM($G$284:$G$306)</f>
        <v>0</v>
      </c>
      <c r="H308" s="38">
        <f>SUM(H$284:H$306)</f>
        <v>0</v>
      </c>
      <c r="I308" s="21">
        <f>SUM($I$284:$I$306)</f>
        <v>0</v>
      </c>
      <c r="J308" s="38">
        <f>SUM($J$284:$J$306)</f>
        <v>0</v>
      </c>
      <c r="K308" s="46">
        <f>SUM($K$284:$K$306)</f>
        <v>0</v>
      </c>
      <c r="L308" s="46">
        <f>SUM($L$284:$L$306)</f>
        <v>0</v>
      </c>
    </row>
    <row r="310" spans="1:13" ht="21" customHeight="1">
      <c r="A310" s="1" t="s">
        <v>181</v>
      </c>
    </row>
    <row r="312" spans="1:13">
      <c r="B312" s="15" t="s">
        <v>222</v>
      </c>
      <c r="C312" s="15" t="s">
        <v>223</v>
      </c>
      <c r="D312" s="15" t="s">
        <v>224</v>
      </c>
      <c r="E312" s="15" t="s">
        <v>225</v>
      </c>
      <c r="F312" s="15" t="s">
        <v>226</v>
      </c>
      <c r="G312" s="15" t="s">
        <v>227</v>
      </c>
      <c r="H312" s="15" t="s">
        <v>1634</v>
      </c>
      <c r="I312" s="15" t="s">
        <v>1635</v>
      </c>
    </row>
    <row r="313" spans="1:13">
      <c r="A313" s="4" t="s">
        <v>181</v>
      </c>
      <c r="B313" s="44">
        <f>'Loads'!B$289</f>
        <v>0</v>
      </c>
      <c r="C313" s="44">
        <f>'Loads'!C$289</f>
        <v>0</v>
      </c>
      <c r="D313" s="44">
        <f>'Loads'!D$289</f>
        <v>0</v>
      </c>
      <c r="E313" s="44">
        <f>'Loads'!E$289</f>
        <v>0</v>
      </c>
      <c r="F313" s="44">
        <f>'Loads'!F$289</f>
        <v>0</v>
      </c>
      <c r="G313" s="44">
        <f>'Loads'!G$289</f>
        <v>0</v>
      </c>
      <c r="H313" s="44">
        <f>'Multi'!B$116</f>
        <v>0</v>
      </c>
      <c r="I313" s="38">
        <f>IF(E313,H313/E313,"")</f>
        <v>0</v>
      </c>
      <c r="J313" s="17"/>
    </row>
    <row r="315" spans="1:13">
      <c r="B315" s="15" t="s">
        <v>1466</v>
      </c>
      <c r="C315" s="15" t="s">
        <v>1467</v>
      </c>
      <c r="D315" s="15" t="s">
        <v>1468</v>
      </c>
      <c r="E315" s="15" t="s">
        <v>1469</v>
      </c>
      <c r="F315" s="15" t="s">
        <v>1470</v>
      </c>
      <c r="G315" s="15" t="s">
        <v>1099</v>
      </c>
      <c r="H315" s="15" t="s">
        <v>1654</v>
      </c>
      <c r="I315" s="15" t="s">
        <v>1636</v>
      </c>
      <c r="J315" s="15" t="s">
        <v>1606</v>
      </c>
      <c r="K315" s="15" t="s">
        <v>1637</v>
      </c>
      <c r="L315" s="15" t="s">
        <v>1655</v>
      </c>
    </row>
    <row r="316" spans="1:13">
      <c r="A316" s="4" t="s">
        <v>451</v>
      </c>
      <c r="B316" s="39">
        <f>'Standing'!$C$82</f>
        <v>0</v>
      </c>
      <c r="C316" s="39">
        <f>'Standing'!$C$102</f>
        <v>0</v>
      </c>
      <c r="D316" s="39">
        <f>'Standing'!$C$116</f>
        <v>0</v>
      </c>
      <c r="E316" s="10"/>
      <c r="F316" s="47">
        <f>'Standing'!$C$34</f>
        <v>0</v>
      </c>
      <c r="G316" s="39">
        <f>'Reactive'!$C$34</f>
        <v>0</v>
      </c>
      <c r="H316" s="38">
        <f>IF(H$313&lt;&gt;0,(($B316*B$313+$C316*C$313+$D316*D$313+$G316*G$313))/H$313,0)</f>
        <v>0</v>
      </c>
      <c r="I316" s="21">
        <f>0.01*'Input'!$F$58*(E316*$E$313+F316*$F$313)+10*(B316*$B$313+C316*$C$313+D316*$D$313+G316*$G$313)</f>
        <v>0</v>
      </c>
      <c r="J316" s="38">
        <f>IF($H$313&lt;&gt;0,0.1*I316/$H$313,"")</f>
        <v>0</v>
      </c>
      <c r="K316" s="46">
        <f>IF($E$313&lt;&gt;0,I316/$E$313,"")</f>
        <v>0</v>
      </c>
      <c r="L316" s="46">
        <f>IF($F$313&lt;&gt;0,I316/$F$313*100/'Input'!$F$58,"")</f>
        <v>0</v>
      </c>
      <c r="M316" s="17"/>
    </row>
    <row r="317" spans="1:13">
      <c r="A317" s="4" t="s">
        <v>452</v>
      </c>
      <c r="B317" s="39">
        <f>'Standing'!$D$82</f>
        <v>0</v>
      </c>
      <c r="C317" s="39">
        <f>'Standing'!$D$102</f>
        <v>0</v>
      </c>
      <c r="D317" s="39">
        <f>'Standing'!$D$116</f>
        <v>0</v>
      </c>
      <c r="E317" s="10"/>
      <c r="F317" s="47">
        <f>'Standing'!$D$34</f>
        <v>0</v>
      </c>
      <c r="G317" s="39">
        <f>'Reactive'!$D$34</f>
        <v>0</v>
      </c>
      <c r="H317" s="38">
        <f>IF(H$313&lt;&gt;0,(($B317*B$313+$C317*C$313+$D317*D$313+$G317*G$313))/H$313,0)</f>
        <v>0</v>
      </c>
      <c r="I317" s="21">
        <f>0.01*'Input'!$F$58*(E317*$E$313+F317*$F$313)+10*(B317*$B$313+C317*$C$313+D317*$D$313+G317*$G$313)</f>
        <v>0</v>
      </c>
      <c r="J317" s="38">
        <f>IF($H$313&lt;&gt;0,0.1*I317/$H$313,"")</f>
        <v>0</v>
      </c>
      <c r="K317" s="46">
        <f>IF($E$313&lt;&gt;0,I317/$E$313,"")</f>
        <v>0</v>
      </c>
      <c r="L317" s="46">
        <f>IF($F$313&lt;&gt;0,I317/$F$313*100/'Input'!$F$58,"")</f>
        <v>0</v>
      </c>
      <c r="M317" s="17"/>
    </row>
    <row r="318" spans="1:13">
      <c r="A318" s="4" t="s">
        <v>453</v>
      </c>
      <c r="B318" s="39">
        <f>'Standing'!$E$82</f>
        <v>0</v>
      </c>
      <c r="C318" s="39">
        <f>'Standing'!$E$102</f>
        <v>0</v>
      </c>
      <c r="D318" s="39">
        <f>'Standing'!$E$116</f>
        <v>0</v>
      </c>
      <c r="E318" s="10"/>
      <c r="F318" s="47">
        <f>'Standing'!$E$34</f>
        <v>0</v>
      </c>
      <c r="G318" s="39">
        <f>'Reactive'!$E$34</f>
        <v>0</v>
      </c>
      <c r="H318" s="38">
        <f>IF(H$313&lt;&gt;0,(($B318*B$313+$C318*C$313+$D318*D$313+$G318*G$313))/H$313,0)</f>
        <v>0</v>
      </c>
      <c r="I318" s="21">
        <f>0.01*'Input'!$F$58*(E318*$E$313+F318*$F$313)+10*(B318*$B$313+C318*$C$313+D318*$D$313+G318*$G$313)</f>
        <v>0</v>
      </c>
      <c r="J318" s="38">
        <f>IF($H$313&lt;&gt;0,0.1*I318/$H$313,"")</f>
        <v>0</v>
      </c>
      <c r="K318" s="46">
        <f>IF($E$313&lt;&gt;0,I318/$E$313,"")</f>
        <v>0</v>
      </c>
      <c r="L318" s="46">
        <f>IF($F$313&lt;&gt;0,I318/$F$313*100/'Input'!$F$58,"")</f>
        <v>0</v>
      </c>
      <c r="M318" s="17"/>
    </row>
    <row r="319" spans="1:13">
      <c r="A319" s="4" t="s">
        <v>454</v>
      </c>
      <c r="B319" s="39">
        <f>'Standing'!$F$82</f>
        <v>0</v>
      </c>
      <c r="C319" s="39">
        <f>'Standing'!$F$102</f>
        <v>0</v>
      </c>
      <c r="D319" s="39">
        <f>'Standing'!$F$116</f>
        <v>0</v>
      </c>
      <c r="E319" s="10"/>
      <c r="F319" s="47">
        <f>'Standing'!$F$34</f>
        <v>0</v>
      </c>
      <c r="G319" s="39">
        <f>'Reactive'!$F$34</f>
        <v>0</v>
      </c>
      <c r="H319" s="38">
        <f>IF(H$313&lt;&gt;0,(($B319*B$313+$C319*C$313+$D319*D$313+$G319*G$313))/H$313,0)</f>
        <v>0</v>
      </c>
      <c r="I319" s="21">
        <f>0.01*'Input'!$F$58*(E319*$E$313+F319*$F$313)+10*(B319*$B$313+C319*$C$313+D319*$D$313+G319*$G$313)</f>
        <v>0</v>
      </c>
      <c r="J319" s="38">
        <f>IF($H$313&lt;&gt;0,0.1*I319/$H$313,"")</f>
        <v>0</v>
      </c>
      <c r="K319" s="46">
        <f>IF($E$313&lt;&gt;0,I319/$E$313,"")</f>
        <v>0</v>
      </c>
      <c r="L319" s="46">
        <f>IF($F$313&lt;&gt;0,I319/$F$313*100/'Input'!$F$58,"")</f>
        <v>0</v>
      </c>
      <c r="M319" s="17"/>
    </row>
    <row r="320" spans="1:13">
      <c r="A320" s="4" t="s">
        <v>455</v>
      </c>
      <c r="B320" s="39">
        <f>'Standing'!$G$82</f>
        <v>0</v>
      </c>
      <c r="C320" s="39">
        <f>'Standing'!$G$102</f>
        <v>0</v>
      </c>
      <c r="D320" s="39">
        <f>'Standing'!$G$116</f>
        <v>0</v>
      </c>
      <c r="E320" s="10"/>
      <c r="F320" s="47">
        <f>'Standing'!$G$34</f>
        <v>0</v>
      </c>
      <c r="G320" s="39">
        <f>'Reactive'!$G$34</f>
        <v>0</v>
      </c>
      <c r="H320" s="38">
        <f>IF(H$313&lt;&gt;0,(($B320*B$313+$C320*C$313+$D320*D$313+$G320*G$313))/H$313,0)</f>
        <v>0</v>
      </c>
      <c r="I320" s="21">
        <f>0.01*'Input'!$F$58*(E320*$E$313+F320*$F$313)+10*(B320*$B$313+C320*$C$313+D320*$D$313+G320*$G$313)</f>
        <v>0</v>
      </c>
      <c r="J320" s="38">
        <f>IF($H$313&lt;&gt;0,0.1*I320/$H$313,"")</f>
        <v>0</v>
      </c>
      <c r="K320" s="46">
        <f>IF($E$313&lt;&gt;0,I320/$E$313,"")</f>
        <v>0</v>
      </c>
      <c r="L320" s="46">
        <f>IF($F$313&lt;&gt;0,I320/$F$313*100/'Input'!$F$58,"")</f>
        <v>0</v>
      </c>
      <c r="M320" s="17"/>
    </row>
    <row r="321" spans="1:13">
      <c r="A321" s="4" t="s">
        <v>456</v>
      </c>
      <c r="B321" s="39">
        <f>'Standing'!$H$82</f>
        <v>0</v>
      </c>
      <c r="C321" s="39">
        <f>'Standing'!$H$102</f>
        <v>0</v>
      </c>
      <c r="D321" s="39">
        <f>'Standing'!$H$116</f>
        <v>0</v>
      </c>
      <c r="E321" s="10"/>
      <c r="F321" s="47">
        <f>'Standing'!$H$34</f>
        <v>0</v>
      </c>
      <c r="G321" s="39">
        <f>'Reactive'!$H$34</f>
        <v>0</v>
      </c>
      <c r="H321" s="38">
        <f>IF(H$313&lt;&gt;0,(($B321*B$313+$C321*C$313+$D321*D$313+$G321*G$313))/H$313,0)</f>
        <v>0</v>
      </c>
      <c r="I321" s="21">
        <f>0.01*'Input'!$F$58*(E321*$E$313+F321*$F$313)+10*(B321*$B$313+C321*$C$313+D321*$D$313+G321*$G$313)</f>
        <v>0</v>
      </c>
      <c r="J321" s="38">
        <f>IF($H$313&lt;&gt;0,0.1*I321/$H$313,"")</f>
        <v>0</v>
      </c>
      <c r="K321" s="46">
        <f>IF($E$313&lt;&gt;0,I321/$E$313,"")</f>
        <v>0</v>
      </c>
      <c r="L321" s="46">
        <f>IF($F$313&lt;&gt;0,I321/$F$313*100/'Input'!$F$58,"")</f>
        <v>0</v>
      </c>
      <c r="M321" s="17"/>
    </row>
    <row r="322" spans="1:13">
      <c r="A322" s="4" t="s">
        <v>457</v>
      </c>
      <c r="B322" s="39">
        <f>'Standing'!$I$82</f>
        <v>0</v>
      </c>
      <c r="C322" s="39">
        <f>'Standing'!$I$102</f>
        <v>0</v>
      </c>
      <c r="D322" s="39">
        <f>'Standing'!$I$116</f>
        <v>0</v>
      </c>
      <c r="E322" s="10"/>
      <c r="F322" s="47">
        <f>'Standing'!$I$34</f>
        <v>0</v>
      </c>
      <c r="G322" s="39">
        <f>'Reactive'!$I$34</f>
        <v>0</v>
      </c>
      <c r="H322" s="38">
        <f>IF(H$313&lt;&gt;0,(($B322*B$313+$C322*C$313+$D322*D$313+$G322*G$313))/H$313,0)</f>
        <v>0</v>
      </c>
      <c r="I322" s="21">
        <f>0.01*'Input'!$F$58*(E322*$E$313+F322*$F$313)+10*(B322*$B$313+C322*$C$313+D322*$D$313+G322*$G$313)</f>
        <v>0</v>
      </c>
      <c r="J322" s="38">
        <f>IF($H$313&lt;&gt;0,0.1*I322/$H$313,"")</f>
        <v>0</v>
      </c>
      <c r="K322" s="46">
        <f>IF($E$313&lt;&gt;0,I322/$E$313,"")</f>
        <v>0</v>
      </c>
      <c r="L322" s="46">
        <f>IF($F$313&lt;&gt;0,I322/$F$313*100/'Input'!$F$58,"")</f>
        <v>0</v>
      </c>
      <c r="M322" s="17"/>
    </row>
    <row r="323" spans="1:13">
      <c r="A323" s="4" t="s">
        <v>458</v>
      </c>
      <c r="B323" s="39">
        <f>'Standing'!$J$82</f>
        <v>0</v>
      </c>
      <c r="C323" s="39">
        <f>'Standing'!$J$102</f>
        <v>0</v>
      </c>
      <c r="D323" s="39">
        <f>'Standing'!$J$116</f>
        <v>0</v>
      </c>
      <c r="E323" s="10"/>
      <c r="F323" s="47">
        <f>'Standing'!$J$34</f>
        <v>0</v>
      </c>
      <c r="G323" s="39">
        <f>'Reactive'!$J$34</f>
        <v>0</v>
      </c>
      <c r="H323" s="38">
        <f>IF(H$313&lt;&gt;0,(($B323*B$313+$C323*C$313+$D323*D$313+$G323*G$313))/H$313,0)</f>
        <v>0</v>
      </c>
      <c r="I323" s="21">
        <f>0.01*'Input'!$F$58*(E323*$E$313+F323*$F$313)+10*(B323*$B$313+C323*$C$313+D323*$D$313+G323*$G$313)</f>
        <v>0</v>
      </c>
      <c r="J323" s="38">
        <f>IF($H$313&lt;&gt;0,0.1*I323/$H$313,"")</f>
        <v>0</v>
      </c>
      <c r="K323" s="46">
        <f>IF($E$313&lt;&gt;0,I323/$E$313,"")</f>
        <v>0</v>
      </c>
      <c r="L323" s="46">
        <f>IF($F$313&lt;&gt;0,I323/$F$313*100/'Input'!$F$58,"")</f>
        <v>0</v>
      </c>
      <c r="M323" s="17"/>
    </row>
    <row r="324" spans="1:13">
      <c r="A324" s="4" t="s">
        <v>1638</v>
      </c>
      <c r="B324" s="10"/>
      <c r="C324" s="10"/>
      <c r="D324" s="10"/>
      <c r="E324" s="47">
        <f>'SM'!$B$109</f>
        <v>0</v>
      </c>
      <c r="F324" s="10"/>
      <c r="G324" s="10"/>
      <c r="H324" s="38">
        <f>IF(H$313&lt;&gt;0,(($B324*B$313+$C324*C$313+$D324*D$313+$G324*G$313))/H$313,0)</f>
        <v>0</v>
      </c>
      <c r="I324" s="21">
        <f>0.01*'Input'!$F$58*(E324*$E$313+F324*$F$313)+10*(B324*$B$313+C324*$C$313+D324*$D$313+G324*$G$313)</f>
        <v>0</v>
      </c>
      <c r="J324" s="38">
        <f>IF($H$313&lt;&gt;0,0.1*I324/$H$313,"")</f>
        <v>0</v>
      </c>
      <c r="K324" s="46">
        <f>IF($E$313&lt;&gt;0,I324/$E$313,"")</f>
        <v>0</v>
      </c>
      <c r="L324" s="46">
        <f>IF($F$313&lt;&gt;0,I324/$F$313*100/'Input'!$F$58,"")</f>
        <v>0</v>
      </c>
      <c r="M324" s="17"/>
    </row>
    <row r="325" spans="1:13">
      <c r="A325" s="4" t="s">
        <v>1639</v>
      </c>
      <c r="B325" s="10"/>
      <c r="C325" s="10"/>
      <c r="D325" s="10"/>
      <c r="E325" s="47">
        <f>'SM'!$C$109</f>
        <v>0</v>
      </c>
      <c r="F325" s="10"/>
      <c r="G325" s="10"/>
      <c r="H325" s="38">
        <f>IF(H$313&lt;&gt;0,(($B325*B$313+$C325*C$313+$D325*D$313+$G325*G$313))/H$313,0)</f>
        <v>0</v>
      </c>
      <c r="I325" s="21">
        <f>0.01*'Input'!$F$58*(E325*$E$313+F325*$F$313)+10*(B325*$B$313+C325*$C$313+D325*$D$313+G325*$G$313)</f>
        <v>0</v>
      </c>
      <c r="J325" s="38">
        <f>IF($H$313&lt;&gt;0,0.1*I325/$H$313,"")</f>
        <v>0</v>
      </c>
      <c r="K325" s="46">
        <f>IF($E$313&lt;&gt;0,I325/$E$313,"")</f>
        <v>0</v>
      </c>
      <c r="L325" s="46">
        <f>IF($F$313&lt;&gt;0,I325/$F$313*100/'Input'!$F$58,"")</f>
        <v>0</v>
      </c>
      <c r="M325" s="17"/>
    </row>
    <row r="326" spans="1:13">
      <c r="A326" s="4" t="s">
        <v>1640</v>
      </c>
      <c r="B326" s="39">
        <f>'Standing'!$K$82</f>
        <v>0</v>
      </c>
      <c r="C326" s="39">
        <f>'Standing'!$K$102</f>
        <v>0</v>
      </c>
      <c r="D326" s="39">
        <f>'Standing'!$K$116</f>
        <v>0</v>
      </c>
      <c r="E326" s="10"/>
      <c r="F326" s="47">
        <f>'Standing'!$K$34</f>
        <v>0</v>
      </c>
      <c r="G326" s="39">
        <f>'Reactive'!$K$34</f>
        <v>0</v>
      </c>
      <c r="H326" s="38">
        <f>IF(H$313&lt;&gt;0,(($B326*B$313+$C326*C$313+$D326*D$313+$G326*G$313))/H$313,0)</f>
        <v>0</v>
      </c>
      <c r="I326" s="21">
        <f>0.01*'Input'!$F$58*(E326*$E$313+F326*$F$313)+10*(B326*$B$313+C326*$C$313+D326*$D$313+G326*$G$313)</f>
        <v>0</v>
      </c>
      <c r="J326" s="38">
        <f>IF($H$313&lt;&gt;0,0.1*I326/$H$313,"")</f>
        <v>0</v>
      </c>
      <c r="K326" s="46">
        <f>IF($E$313&lt;&gt;0,I326/$E$313,"")</f>
        <v>0</v>
      </c>
      <c r="L326" s="46">
        <f>IF($F$313&lt;&gt;0,I326/$F$313*100/'Input'!$F$58,"")</f>
        <v>0</v>
      </c>
      <c r="M326" s="17"/>
    </row>
    <row r="327" spans="1:13">
      <c r="A327" s="4" t="s">
        <v>1641</v>
      </c>
      <c r="B327" s="39">
        <f>'Standing'!$L$82</f>
        <v>0</v>
      </c>
      <c r="C327" s="39">
        <f>'Standing'!$L$102</f>
        <v>0</v>
      </c>
      <c r="D327" s="39">
        <f>'Standing'!$L$116</f>
        <v>0</v>
      </c>
      <c r="E327" s="10"/>
      <c r="F327" s="47">
        <f>'Standing'!$L$34</f>
        <v>0</v>
      </c>
      <c r="G327" s="39">
        <f>'Reactive'!$L$34</f>
        <v>0</v>
      </c>
      <c r="H327" s="38">
        <f>IF(H$313&lt;&gt;0,(($B327*B$313+$C327*C$313+$D327*D$313+$G327*G$313))/H$313,0)</f>
        <v>0</v>
      </c>
      <c r="I327" s="21">
        <f>0.01*'Input'!$F$58*(E327*$E$313+F327*$F$313)+10*(B327*$B$313+C327*$C$313+D327*$D$313+G327*$G$313)</f>
        <v>0</v>
      </c>
      <c r="J327" s="38">
        <f>IF($H$313&lt;&gt;0,0.1*I327/$H$313,"")</f>
        <v>0</v>
      </c>
      <c r="K327" s="46">
        <f>IF($E$313&lt;&gt;0,I327/$E$313,"")</f>
        <v>0</v>
      </c>
      <c r="L327" s="46">
        <f>IF($F$313&lt;&gt;0,I327/$F$313*100/'Input'!$F$58,"")</f>
        <v>0</v>
      </c>
      <c r="M327" s="17"/>
    </row>
    <row r="328" spans="1:13">
      <c r="A328" s="4" t="s">
        <v>1642</v>
      </c>
      <c r="B328" s="39">
        <f>'Standing'!$M$82</f>
        <v>0</v>
      </c>
      <c r="C328" s="39">
        <f>'Standing'!$M$102</f>
        <v>0</v>
      </c>
      <c r="D328" s="39">
        <f>'Standing'!$M$116</f>
        <v>0</v>
      </c>
      <c r="E328" s="10"/>
      <c r="F328" s="47">
        <f>'Standing'!$M$34</f>
        <v>0</v>
      </c>
      <c r="G328" s="39">
        <f>'Reactive'!$M$34</f>
        <v>0</v>
      </c>
      <c r="H328" s="38">
        <f>IF(H$313&lt;&gt;0,(($B328*B$313+$C328*C$313+$D328*D$313+$G328*G$313))/H$313,0)</f>
        <v>0</v>
      </c>
      <c r="I328" s="21">
        <f>0.01*'Input'!$F$58*(E328*$E$313+F328*$F$313)+10*(B328*$B$313+C328*$C$313+D328*$D$313+G328*$G$313)</f>
        <v>0</v>
      </c>
      <c r="J328" s="38">
        <f>IF($H$313&lt;&gt;0,0.1*I328/$H$313,"")</f>
        <v>0</v>
      </c>
      <c r="K328" s="46">
        <f>IF($E$313&lt;&gt;0,I328/$E$313,"")</f>
        <v>0</v>
      </c>
      <c r="L328" s="46">
        <f>IF($F$313&lt;&gt;0,I328/$F$313*100/'Input'!$F$58,"")</f>
        <v>0</v>
      </c>
      <c r="M328" s="17"/>
    </row>
    <row r="329" spans="1:13">
      <c r="A329" s="4" t="s">
        <v>1643</v>
      </c>
      <c r="B329" s="39">
        <f>'Standing'!$N$82</f>
        <v>0</v>
      </c>
      <c r="C329" s="39">
        <f>'Standing'!$N$102</f>
        <v>0</v>
      </c>
      <c r="D329" s="39">
        <f>'Standing'!$N$116</f>
        <v>0</v>
      </c>
      <c r="E329" s="10"/>
      <c r="F329" s="47">
        <f>'Standing'!$N$34</f>
        <v>0</v>
      </c>
      <c r="G329" s="39">
        <f>'Reactive'!$N$34</f>
        <v>0</v>
      </c>
      <c r="H329" s="38">
        <f>IF(H$313&lt;&gt;0,(($B329*B$313+$C329*C$313+$D329*D$313+$G329*G$313))/H$313,0)</f>
        <v>0</v>
      </c>
      <c r="I329" s="21">
        <f>0.01*'Input'!$F$58*(E329*$E$313+F329*$F$313)+10*(B329*$B$313+C329*$C$313+D329*$D$313+G329*$G$313)</f>
        <v>0</v>
      </c>
      <c r="J329" s="38">
        <f>IF($H$313&lt;&gt;0,0.1*I329/$H$313,"")</f>
        <v>0</v>
      </c>
      <c r="K329" s="46">
        <f>IF($E$313&lt;&gt;0,I329/$E$313,"")</f>
        <v>0</v>
      </c>
      <c r="L329" s="46">
        <f>IF($F$313&lt;&gt;0,I329/$F$313*100/'Input'!$F$58,"")</f>
        <v>0</v>
      </c>
      <c r="M329" s="17"/>
    </row>
    <row r="330" spans="1:13">
      <c r="A330" s="4" t="s">
        <v>1644</v>
      </c>
      <c r="B330" s="39">
        <f>'Standing'!$O$82</f>
        <v>0</v>
      </c>
      <c r="C330" s="39">
        <f>'Standing'!$O$102</f>
        <v>0</v>
      </c>
      <c r="D330" s="39">
        <f>'Standing'!$O$116</f>
        <v>0</v>
      </c>
      <c r="E330" s="10"/>
      <c r="F330" s="47">
        <f>'Standing'!$O$34</f>
        <v>0</v>
      </c>
      <c r="G330" s="39">
        <f>'Reactive'!$O$34</f>
        <v>0</v>
      </c>
      <c r="H330" s="38">
        <f>IF(H$313&lt;&gt;0,(($B330*B$313+$C330*C$313+$D330*D$313+$G330*G$313))/H$313,0)</f>
        <v>0</v>
      </c>
      <c r="I330" s="21">
        <f>0.01*'Input'!$F$58*(E330*$E$313+F330*$F$313)+10*(B330*$B$313+C330*$C$313+D330*$D$313+G330*$G$313)</f>
        <v>0</v>
      </c>
      <c r="J330" s="38">
        <f>IF($H$313&lt;&gt;0,0.1*I330/$H$313,"")</f>
        <v>0</v>
      </c>
      <c r="K330" s="46">
        <f>IF($E$313&lt;&gt;0,I330/$E$313,"")</f>
        <v>0</v>
      </c>
      <c r="L330" s="46">
        <f>IF($F$313&lt;&gt;0,I330/$F$313*100/'Input'!$F$58,"")</f>
        <v>0</v>
      </c>
      <c r="M330" s="17"/>
    </row>
    <row r="331" spans="1:13">
      <c r="A331" s="4" t="s">
        <v>1645</v>
      </c>
      <c r="B331" s="39">
        <f>'Standing'!$P$82</f>
        <v>0</v>
      </c>
      <c r="C331" s="39">
        <f>'Standing'!$P$102</f>
        <v>0</v>
      </c>
      <c r="D331" s="39">
        <f>'Standing'!$P$116</f>
        <v>0</v>
      </c>
      <c r="E331" s="10"/>
      <c r="F331" s="47">
        <f>'Standing'!$P$34</f>
        <v>0</v>
      </c>
      <c r="G331" s="39">
        <f>'Reactive'!$P$34</f>
        <v>0</v>
      </c>
      <c r="H331" s="38">
        <f>IF(H$313&lt;&gt;0,(($B331*B$313+$C331*C$313+$D331*D$313+$G331*G$313))/H$313,0)</f>
        <v>0</v>
      </c>
      <c r="I331" s="21">
        <f>0.01*'Input'!$F$58*(E331*$E$313+F331*$F$313)+10*(B331*$B$313+C331*$C$313+D331*$D$313+G331*$G$313)</f>
        <v>0</v>
      </c>
      <c r="J331" s="38">
        <f>IF($H$313&lt;&gt;0,0.1*I331/$H$313,"")</f>
        <v>0</v>
      </c>
      <c r="K331" s="46">
        <f>IF($E$313&lt;&gt;0,I331/$E$313,"")</f>
        <v>0</v>
      </c>
      <c r="L331" s="46">
        <f>IF($F$313&lt;&gt;0,I331/$F$313*100/'Input'!$F$58,"")</f>
        <v>0</v>
      </c>
      <c r="M331" s="17"/>
    </row>
    <row r="332" spans="1:13">
      <c r="A332" s="4" t="s">
        <v>1646</v>
      </c>
      <c r="B332" s="39">
        <f>'Standing'!$Q$82</f>
        <v>0</v>
      </c>
      <c r="C332" s="39">
        <f>'Standing'!$Q$102</f>
        <v>0</v>
      </c>
      <c r="D332" s="39">
        <f>'Standing'!$Q$116</f>
        <v>0</v>
      </c>
      <c r="E332" s="10"/>
      <c r="F332" s="47">
        <f>'Standing'!$Q$34</f>
        <v>0</v>
      </c>
      <c r="G332" s="39">
        <f>'Reactive'!$Q$34</f>
        <v>0</v>
      </c>
      <c r="H332" s="38">
        <f>IF(H$313&lt;&gt;0,(($B332*B$313+$C332*C$313+$D332*D$313+$G332*G$313))/H$313,0)</f>
        <v>0</v>
      </c>
      <c r="I332" s="21">
        <f>0.01*'Input'!$F$58*(E332*$E$313+F332*$F$313)+10*(B332*$B$313+C332*$C$313+D332*$D$313+G332*$G$313)</f>
        <v>0</v>
      </c>
      <c r="J332" s="38">
        <f>IF($H$313&lt;&gt;0,0.1*I332/$H$313,"")</f>
        <v>0</v>
      </c>
      <c r="K332" s="46">
        <f>IF($E$313&lt;&gt;0,I332/$E$313,"")</f>
        <v>0</v>
      </c>
      <c r="L332" s="46">
        <f>IF($F$313&lt;&gt;0,I332/$F$313*100/'Input'!$F$58,"")</f>
        <v>0</v>
      </c>
      <c r="M332" s="17"/>
    </row>
    <row r="333" spans="1:13">
      <c r="A333" s="4" t="s">
        <v>1647</v>
      </c>
      <c r="B333" s="39">
        <f>'Standing'!$R$82</f>
        <v>0</v>
      </c>
      <c r="C333" s="39">
        <f>'Standing'!$R$102</f>
        <v>0</v>
      </c>
      <c r="D333" s="39">
        <f>'Standing'!$R$116</f>
        <v>0</v>
      </c>
      <c r="E333" s="10"/>
      <c r="F333" s="47">
        <f>'Standing'!$R$34</f>
        <v>0</v>
      </c>
      <c r="G333" s="39">
        <f>'Reactive'!$R$34</f>
        <v>0</v>
      </c>
      <c r="H333" s="38">
        <f>IF(H$313&lt;&gt;0,(($B333*B$313+$C333*C$313+$D333*D$313+$G333*G$313))/H$313,0)</f>
        <v>0</v>
      </c>
      <c r="I333" s="21">
        <f>0.01*'Input'!$F$58*(E333*$E$313+F333*$F$313)+10*(B333*$B$313+C333*$C$313+D333*$D$313+G333*$G$313)</f>
        <v>0</v>
      </c>
      <c r="J333" s="38">
        <f>IF($H$313&lt;&gt;0,0.1*I333/$H$313,"")</f>
        <v>0</v>
      </c>
      <c r="K333" s="46">
        <f>IF($E$313&lt;&gt;0,I333/$E$313,"")</f>
        <v>0</v>
      </c>
      <c r="L333" s="46">
        <f>IF($F$313&lt;&gt;0,I333/$F$313*100/'Input'!$F$58,"")</f>
        <v>0</v>
      </c>
      <c r="M333" s="17"/>
    </row>
    <row r="334" spans="1:13">
      <c r="A334" s="4" t="s">
        <v>1648</v>
      </c>
      <c r="B334" s="39">
        <f>'Standing'!$S$82</f>
        <v>0</v>
      </c>
      <c r="C334" s="39">
        <f>'Standing'!$S$102</f>
        <v>0</v>
      </c>
      <c r="D334" s="39">
        <f>'Standing'!$S$116</f>
        <v>0</v>
      </c>
      <c r="E334" s="10"/>
      <c r="F334" s="47">
        <f>'Standing'!$S$34</f>
        <v>0</v>
      </c>
      <c r="G334" s="39">
        <f>'Reactive'!$S$34</f>
        <v>0</v>
      </c>
      <c r="H334" s="38">
        <f>IF(H$313&lt;&gt;0,(($B334*B$313+$C334*C$313+$D334*D$313+$G334*G$313))/H$313,0)</f>
        <v>0</v>
      </c>
      <c r="I334" s="21">
        <f>0.01*'Input'!$F$58*(E334*$E$313+F334*$F$313)+10*(B334*$B$313+C334*$C$313+D334*$D$313+G334*$G$313)</f>
        <v>0</v>
      </c>
      <c r="J334" s="38">
        <f>IF($H$313&lt;&gt;0,0.1*I334/$H$313,"")</f>
        <v>0</v>
      </c>
      <c r="K334" s="46">
        <f>IF($E$313&lt;&gt;0,I334/$E$313,"")</f>
        <v>0</v>
      </c>
      <c r="L334" s="46">
        <f>IF($F$313&lt;&gt;0,I334/$F$313*100/'Input'!$F$58,"")</f>
        <v>0</v>
      </c>
      <c r="M334" s="17"/>
    </row>
    <row r="335" spans="1:13">
      <c r="A335" s="4" t="s">
        <v>1649</v>
      </c>
      <c r="B335" s="10"/>
      <c r="C335" s="10"/>
      <c r="D335" s="10"/>
      <c r="E335" s="47">
        <f>'Otex'!$B$130</f>
        <v>0</v>
      </c>
      <c r="F335" s="10"/>
      <c r="G335" s="10"/>
      <c r="H335" s="38">
        <f>IF(H$313&lt;&gt;0,(($B335*B$313+$C335*C$313+$D335*D$313+$G335*G$313))/H$313,0)</f>
        <v>0</v>
      </c>
      <c r="I335" s="21">
        <f>0.01*'Input'!$F$58*(E335*$E$313+F335*$F$313)+10*(B335*$B$313+C335*$C$313+D335*$D$313+G335*$G$313)</f>
        <v>0</v>
      </c>
      <c r="J335" s="38">
        <f>IF($H$313&lt;&gt;0,0.1*I335/$H$313,"")</f>
        <v>0</v>
      </c>
      <c r="K335" s="46">
        <f>IF($E$313&lt;&gt;0,I335/$E$313,"")</f>
        <v>0</v>
      </c>
      <c r="L335" s="46">
        <f>IF($F$313&lt;&gt;0,I335/$F$313*100/'Input'!$F$58,"")</f>
        <v>0</v>
      </c>
      <c r="M335" s="17"/>
    </row>
    <row r="336" spans="1:13">
      <c r="A336" s="4" t="s">
        <v>1650</v>
      </c>
      <c r="B336" s="10"/>
      <c r="C336" s="10"/>
      <c r="D336" s="10"/>
      <c r="E336" s="47">
        <f>'Otex'!$C$130</f>
        <v>0</v>
      </c>
      <c r="F336" s="10"/>
      <c r="G336" s="10"/>
      <c r="H336" s="38">
        <f>IF(H$313&lt;&gt;0,(($B336*B$313+$C336*C$313+$D336*D$313+$G336*G$313))/H$313,0)</f>
        <v>0</v>
      </c>
      <c r="I336" s="21">
        <f>0.01*'Input'!$F$58*(E336*$E$313+F336*$F$313)+10*(B336*$B$313+C336*$C$313+D336*$D$313+G336*$G$313)</f>
        <v>0</v>
      </c>
      <c r="J336" s="38">
        <f>IF($H$313&lt;&gt;0,0.1*I336/$H$313,"")</f>
        <v>0</v>
      </c>
      <c r="K336" s="46">
        <f>IF($E$313&lt;&gt;0,I336/$E$313,"")</f>
        <v>0</v>
      </c>
      <c r="L336" s="46">
        <f>IF($F$313&lt;&gt;0,I336/$F$313*100/'Input'!$F$58,"")</f>
        <v>0</v>
      </c>
      <c r="M336" s="17"/>
    </row>
    <row r="337" spans="1:13">
      <c r="A337" s="4" t="s">
        <v>1651</v>
      </c>
      <c r="B337" s="39">
        <f>'Scaler'!$B$398</f>
        <v>0</v>
      </c>
      <c r="C337" s="39">
        <f>'Scaler'!$C$398</f>
        <v>0</v>
      </c>
      <c r="D337" s="39">
        <f>'Scaler'!$D$398</f>
        <v>0</v>
      </c>
      <c r="E337" s="47">
        <f>'Scaler'!$E$398</f>
        <v>0</v>
      </c>
      <c r="F337" s="47">
        <f>'Scaler'!$F$398</f>
        <v>0</v>
      </c>
      <c r="G337" s="39">
        <f>'Scaler'!$G$398</f>
        <v>0</v>
      </c>
      <c r="H337" s="38">
        <f>IF(H$313&lt;&gt;0,(($B337*B$313+$C337*C$313+$D337*D$313+$G337*G$313))/H$313,0)</f>
        <v>0</v>
      </c>
      <c r="I337" s="21">
        <f>0.01*'Input'!$F$58*(E337*$E$313+F337*$F$313)+10*(B337*$B$313+C337*$C$313+D337*$D$313+G337*$G$313)</f>
        <v>0</v>
      </c>
      <c r="J337" s="38">
        <f>IF($H$313&lt;&gt;0,0.1*I337/$H$313,"")</f>
        <v>0</v>
      </c>
      <c r="K337" s="46">
        <f>IF($E$313&lt;&gt;0,I337/$E$313,"")</f>
        <v>0</v>
      </c>
      <c r="L337" s="46">
        <f>IF($F$313&lt;&gt;0,I337/$F$313*100/'Input'!$F$58,"")</f>
        <v>0</v>
      </c>
      <c r="M337" s="17"/>
    </row>
    <row r="338" spans="1:13">
      <c r="A338" s="4" t="s">
        <v>1652</v>
      </c>
      <c r="B338" s="39">
        <f>'Adjust'!$B$78</f>
        <v>0</v>
      </c>
      <c r="C338" s="39">
        <f>'Adjust'!$C$78</f>
        <v>0</v>
      </c>
      <c r="D338" s="39">
        <f>'Adjust'!$D$78</f>
        <v>0</v>
      </c>
      <c r="E338" s="47">
        <f>'Adjust'!$E$78</f>
        <v>0</v>
      </c>
      <c r="F338" s="47">
        <f>'Adjust'!$F$78</f>
        <v>0</v>
      </c>
      <c r="G338" s="39">
        <f>'Adjust'!$G$78</f>
        <v>0</v>
      </c>
      <c r="H338" s="38">
        <f>IF(H$313&lt;&gt;0,(($B338*B$313+$C338*C$313+$D338*D$313+$G338*G$313))/H$313,0)</f>
        <v>0</v>
      </c>
      <c r="I338" s="21">
        <f>0.01*'Input'!$F$58*(E338*$E$313+F338*$F$313)+10*(B338*$B$313+C338*$C$313+D338*$D$313+G338*$G$313)</f>
        <v>0</v>
      </c>
      <c r="J338" s="38">
        <f>IF($H$313&lt;&gt;0,0.1*I338/$H$313,"")</f>
        <v>0</v>
      </c>
      <c r="K338" s="46">
        <f>IF($E$313&lt;&gt;0,I338/$E$313,"")</f>
        <v>0</v>
      </c>
      <c r="L338" s="46">
        <f>IF($F$313&lt;&gt;0,I338/$F$313*100/'Input'!$F$58,"")</f>
        <v>0</v>
      </c>
      <c r="M338" s="17"/>
    </row>
    <row r="340" spans="1:13">
      <c r="A340" s="4" t="s">
        <v>1653</v>
      </c>
      <c r="B340" s="38">
        <f>SUM($B$316:$B$338)</f>
        <v>0</v>
      </c>
      <c r="C340" s="38">
        <f>SUM($C$316:$C$338)</f>
        <v>0</v>
      </c>
      <c r="D340" s="38">
        <f>SUM($D$316:$D$338)</f>
        <v>0</v>
      </c>
      <c r="E340" s="46">
        <f>SUM($E$316:$E$338)</f>
        <v>0</v>
      </c>
      <c r="F340" s="46">
        <f>SUM($F$316:$F$338)</f>
        <v>0</v>
      </c>
      <c r="G340" s="38">
        <f>SUM($G$316:$G$338)</f>
        <v>0</v>
      </c>
      <c r="H340" s="38">
        <f>SUM(H$316:H$338)</f>
        <v>0</v>
      </c>
      <c r="I340" s="21">
        <f>SUM($I$316:$I$338)</f>
        <v>0</v>
      </c>
      <c r="J340" s="38">
        <f>SUM($J$316:$J$338)</f>
        <v>0</v>
      </c>
      <c r="K340" s="46">
        <f>SUM($K$316:$K$338)</f>
        <v>0</v>
      </c>
      <c r="L340" s="46">
        <f>SUM($L$316:$L$338)</f>
        <v>0</v>
      </c>
    </row>
    <row r="342" spans="1:13" ht="21" customHeight="1">
      <c r="A342" s="1" t="s">
        <v>193</v>
      </c>
    </row>
    <row r="344" spans="1:13">
      <c r="B344" s="15" t="s">
        <v>222</v>
      </c>
      <c r="C344" s="15" t="s">
        <v>223</v>
      </c>
      <c r="D344" s="15" t="s">
        <v>224</v>
      </c>
      <c r="E344" s="15" t="s">
        <v>225</v>
      </c>
      <c r="F344" s="15" t="s">
        <v>226</v>
      </c>
      <c r="G344" s="15" t="s">
        <v>227</v>
      </c>
      <c r="H344" s="15" t="s">
        <v>1634</v>
      </c>
      <c r="I344" s="15" t="s">
        <v>1635</v>
      </c>
    </row>
    <row r="345" spans="1:13">
      <c r="A345" s="4" t="s">
        <v>193</v>
      </c>
      <c r="B345" s="44">
        <f>'Loads'!B$290</f>
        <v>0</v>
      </c>
      <c r="C345" s="44">
        <f>'Loads'!C$290</f>
        <v>0</v>
      </c>
      <c r="D345" s="44">
        <f>'Loads'!D$290</f>
        <v>0</v>
      </c>
      <c r="E345" s="44">
        <f>'Loads'!E$290</f>
        <v>0</v>
      </c>
      <c r="F345" s="44">
        <f>'Loads'!F$290</f>
        <v>0</v>
      </c>
      <c r="G345" s="44">
        <f>'Loads'!G$290</f>
        <v>0</v>
      </c>
      <c r="H345" s="44">
        <f>'Multi'!B$117</f>
        <v>0</v>
      </c>
      <c r="I345" s="38">
        <f>IF(E345,H345/E345,"")</f>
        <v>0</v>
      </c>
      <c r="J345" s="17"/>
    </row>
    <row r="347" spans="1:13">
      <c r="B347" s="15" t="s">
        <v>1466</v>
      </c>
      <c r="C347" s="15" t="s">
        <v>1467</v>
      </c>
      <c r="D347" s="15" t="s">
        <v>1468</v>
      </c>
      <c r="E347" s="15" t="s">
        <v>1469</v>
      </c>
      <c r="F347" s="15" t="s">
        <v>1470</v>
      </c>
      <c r="G347" s="15" t="s">
        <v>1099</v>
      </c>
      <c r="H347" s="15" t="s">
        <v>1654</v>
      </c>
      <c r="I347" s="15" t="s">
        <v>1636</v>
      </c>
      <c r="J347" s="15" t="s">
        <v>1606</v>
      </c>
      <c r="K347" s="15" t="s">
        <v>1637</v>
      </c>
      <c r="L347" s="15" t="s">
        <v>1655</v>
      </c>
    </row>
    <row r="348" spans="1:13">
      <c r="A348" s="4" t="s">
        <v>451</v>
      </c>
      <c r="B348" s="39">
        <f>'Standing'!$C$83</f>
        <v>0</v>
      </c>
      <c r="C348" s="39">
        <f>'Standing'!$C$103</f>
        <v>0</v>
      </c>
      <c r="D348" s="39">
        <f>'Standing'!$C$117</f>
        <v>0</v>
      </c>
      <c r="E348" s="10"/>
      <c r="F348" s="47">
        <f>'Standing'!$C$35</f>
        <v>0</v>
      </c>
      <c r="G348" s="39">
        <f>'Reactive'!$C$35</f>
        <v>0</v>
      </c>
      <c r="H348" s="38">
        <f>IF(H$345&lt;&gt;0,(($B348*B$345+$C348*C$345+$D348*D$345+$G348*G$345))/H$345,0)</f>
        <v>0</v>
      </c>
      <c r="I348" s="21">
        <f>0.01*'Input'!$F$58*(E348*$E$345+F348*$F$345)+10*(B348*$B$345+C348*$C$345+D348*$D$345+G348*$G$345)</f>
        <v>0</v>
      </c>
      <c r="J348" s="38">
        <f>IF($H$345&lt;&gt;0,0.1*I348/$H$345,"")</f>
        <v>0</v>
      </c>
      <c r="K348" s="46">
        <f>IF($E$345&lt;&gt;0,I348/$E$345,"")</f>
        <v>0</v>
      </c>
      <c r="L348" s="46">
        <f>IF($F$345&lt;&gt;0,I348/$F$345*100/'Input'!$F$58,"")</f>
        <v>0</v>
      </c>
      <c r="M348" s="17"/>
    </row>
    <row r="349" spans="1:13">
      <c r="A349" s="4" t="s">
        <v>452</v>
      </c>
      <c r="B349" s="39">
        <f>'Standing'!$D$83</f>
        <v>0</v>
      </c>
      <c r="C349" s="39">
        <f>'Standing'!$D$103</f>
        <v>0</v>
      </c>
      <c r="D349" s="39">
        <f>'Standing'!$D$117</f>
        <v>0</v>
      </c>
      <c r="E349" s="10"/>
      <c r="F349" s="47">
        <f>'Standing'!$D$35</f>
        <v>0</v>
      </c>
      <c r="G349" s="39">
        <f>'Reactive'!$D$35</f>
        <v>0</v>
      </c>
      <c r="H349" s="38">
        <f>IF(H$345&lt;&gt;0,(($B349*B$345+$C349*C$345+$D349*D$345+$G349*G$345))/H$345,0)</f>
        <v>0</v>
      </c>
      <c r="I349" s="21">
        <f>0.01*'Input'!$F$58*(E349*$E$345+F349*$F$345)+10*(B349*$B$345+C349*$C$345+D349*$D$345+G349*$G$345)</f>
        <v>0</v>
      </c>
      <c r="J349" s="38">
        <f>IF($H$345&lt;&gt;0,0.1*I349/$H$345,"")</f>
        <v>0</v>
      </c>
      <c r="K349" s="46">
        <f>IF($E$345&lt;&gt;0,I349/$E$345,"")</f>
        <v>0</v>
      </c>
      <c r="L349" s="46">
        <f>IF($F$345&lt;&gt;0,I349/$F$345*100/'Input'!$F$58,"")</f>
        <v>0</v>
      </c>
      <c r="M349" s="17"/>
    </row>
    <row r="350" spans="1:13">
      <c r="A350" s="4" t="s">
        <v>453</v>
      </c>
      <c r="B350" s="39">
        <f>'Standing'!$E$83</f>
        <v>0</v>
      </c>
      <c r="C350" s="39">
        <f>'Standing'!$E$103</f>
        <v>0</v>
      </c>
      <c r="D350" s="39">
        <f>'Standing'!$E$117</f>
        <v>0</v>
      </c>
      <c r="E350" s="10"/>
      <c r="F350" s="47">
        <f>'Standing'!$E$35</f>
        <v>0</v>
      </c>
      <c r="G350" s="39">
        <f>'Reactive'!$E$35</f>
        <v>0</v>
      </c>
      <c r="H350" s="38">
        <f>IF(H$345&lt;&gt;0,(($B350*B$345+$C350*C$345+$D350*D$345+$G350*G$345))/H$345,0)</f>
        <v>0</v>
      </c>
      <c r="I350" s="21">
        <f>0.01*'Input'!$F$58*(E350*$E$345+F350*$F$345)+10*(B350*$B$345+C350*$C$345+D350*$D$345+G350*$G$345)</f>
        <v>0</v>
      </c>
      <c r="J350" s="38">
        <f>IF($H$345&lt;&gt;0,0.1*I350/$H$345,"")</f>
        <v>0</v>
      </c>
      <c r="K350" s="46">
        <f>IF($E$345&lt;&gt;0,I350/$E$345,"")</f>
        <v>0</v>
      </c>
      <c r="L350" s="46">
        <f>IF($F$345&lt;&gt;0,I350/$F$345*100/'Input'!$F$58,"")</f>
        <v>0</v>
      </c>
      <c r="M350" s="17"/>
    </row>
    <row r="351" spans="1:13">
      <c r="A351" s="4" t="s">
        <v>454</v>
      </c>
      <c r="B351" s="39">
        <f>'Standing'!$F$83</f>
        <v>0</v>
      </c>
      <c r="C351" s="39">
        <f>'Standing'!$F$103</f>
        <v>0</v>
      </c>
      <c r="D351" s="39">
        <f>'Standing'!$F$117</f>
        <v>0</v>
      </c>
      <c r="E351" s="10"/>
      <c r="F351" s="47">
        <f>'Standing'!$F$35</f>
        <v>0</v>
      </c>
      <c r="G351" s="39">
        <f>'Reactive'!$F$35</f>
        <v>0</v>
      </c>
      <c r="H351" s="38">
        <f>IF(H$345&lt;&gt;0,(($B351*B$345+$C351*C$345+$D351*D$345+$G351*G$345))/H$345,0)</f>
        <v>0</v>
      </c>
      <c r="I351" s="21">
        <f>0.01*'Input'!$F$58*(E351*$E$345+F351*$F$345)+10*(B351*$B$345+C351*$C$345+D351*$D$345+G351*$G$345)</f>
        <v>0</v>
      </c>
      <c r="J351" s="38">
        <f>IF($H$345&lt;&gt;0,0.1*I351/$H$345,"")</f>
        <v>0</v>
      </c>
      <c r="K351" s="46">
        <f>IF($E$345&lt;&gt;0,I351/$E$345,"")</f>
        <v>0</v>
      </c>
      <c r="L351" s="46">
        <f>IF($F$345&lt;&gt;0,I351/$F$345*100/'Input'!$F$58,"")</f>
        <v>0</v>
      </c>
      <c r="M351" s="17"/>
    </row>
    <row r="352" spans="1:13">
      <c r="A352" s="4" t="s">
        <v>455</v>
      </c>
      <c r="B352" s="39">
        <f>'Standing'!$G$83</f>
        <v>0</v>
      </c>
      <c r="C352" s="39">
        <f>'Standing'!$G$103</f>
        <v>0</v>
      </c>
      <c r="D352" s="39">
        <f>'Standing'!$G$117</f>
        <v>0</v>
      </c>
      <c r="E352" s="10"/>
      <c r="F352" s="47">
        <f>'Standing'!$G$35</f>
        <v>0</v>
      </c>
      <c r="G352" s="39">
        <f>'Reactive'!$G$35</f>
        <v>0</v>
      </c>
      <c r="H352" s="38">
        <f>IF(H$345&lt;&gt;0,(($B352*B$345+$C352*C$345+$D352*D$345+$G352*G$345))/H$345,0)</f>
        <v>0</v>
      </c>
      <c r="I352" s="21">
        <f>0.01*'Input'!$F$58*(E352*$E$345+F352*$F$345)+10*(B352*$B$345+C352*$C$345+D352*$D$345+G352*$G$345)</f>
        <v>0</v>
      </c>
      <c r="J352" s="38">
        <f>IF($H$345&lt;&gt;0,0.1*I352/$H$345,"")</f>
        <v>0</v>
      </c>
      <c r="K352" s="46">
        <f>IF($E$345&lt;&gt;0,I352/$E$345,"")</f>
        <v>0</v>
      </c>
      <c r="L352" s="46">
        <f>IF($F$345&lt;&gt;0,I352/$F$345*100/'Input'!$F$58,"")</f>
        <v>0</v>
      </c>
      <c r="M352" s="17"/>
    </row>
    <row r="353" spans="1:13">
      <c r="A353" s="4" t="s">
        <v>456</v>
      </c>
      <c r="B353" s="39">
        <f>'Standing'!$H$83</f>
        <v>0</v>
      </c>
      <c r="C353" s="39">
        <f>'Standing'!$H$103</f>
        <v>0</v>
      </c>
      <c r="D353" s="39">
        <f>'Standing'!$H$117</f>
        <v>0</v>
      </c>
      <c r="E353" s="10"/>
      <c r="F353" s="47">
        <f>'Standing'!$H$35</f>
        <v>0</v>
      </c>
      <c r="G353" s="39">
        <f>'Reactive'!$H$35</f>
        <v>0</v>
      </c>
      <c r="H353" s="38">
        <f>IF(H$345&lt;&gt;0,(($B353*B$345+$C353*C$345+$D353*D$345+$G353*G$345))/H$345,0)</f>
        <v>0</v>
      </c>
      <c r="I353" s="21">
        <f>0.01*'Input'!$F$58*(E353*$E$345+F353*$F$345)+10*(B353*$B$345+C353*$C$345+D353*$D$345+G353*$G$345)</f>
        <v>0</v>
      </c>
      <c r="J353" s="38">
        <f>IF($H$345&lt;&gt;0,0.1*I353/$H$345,"")</f>
        <v>0</v>
      </c>
      <c r="K353" s="46">
        <f>IF($E$345&lt;&gt;0,I353/$E$345,"")</f>
        <v>0</v>
      </c>
      <c r="L353" s="46">
        <f>IF($F$345&lt;&gt;0,I353/$F$345*100/'Input'!$F$58,"")</f>
        <v>0</v>
      </c>
      <c r="M353" s="17"/>
    </row>
    <row r="354" spans="1:13">
      <c r="A354" s="4" t="s">
        <v>457</v>
      </c>
      <c r="B354" s="39">
        <f>'Standing'!$I$83</f>
        <v>0</v>
      </c>
      <c r="C354" s="39">
        <f>'Standing'!$I$103</f>
        <v>0</v>
      </c>
      <c r="D354" s="39">
        <f>'Standing'!$I$117</f>
        <v>0</v>
      </c>
      <c r="E354" s="10"/>
      <c r="F354" s="47">
        <f>'Standing'!$I$35</f>
        <v>0</v>
      </c>
      <c r="G354" s="39">
        <f>'Reactive'!$I$35</f>
        <v>0</v>
      </c>
      <c r="H354" s="38">
        <f>IF(H$345&lt;&gt;0,(($B354*B$345+$C354*C$345+$D354*D$345+$G354*G$345))/H$345,0)</f>
        <v>0</v>
      </c>
      <c r="I354" s="21">
        <f>0.01*'Input'!$F$58*(E354*$E$345+F354*$F$345)+10*(B354*$B$345+C354*$C$345+D354*$D$345+G354*$G$345)</f>
        <v>0</v>
      </c>
      <c r="J354" s="38">
        <f>IF($H$345&lt;&gt;0,0.1*I354/$H$345,"")</f>
        <v>0</v>
      </c>
      <c r="K354" s="46">
        <f>IF($E$345&lt;&gt;0,I354/$E$345,"")</f>
        <v>0</v>
      </c>
      <c r="L354" s="46">
        <f>IF($F$345&lt;&gt;0,I354/$F$345*100/'Input'!$F$58,"")</f>
        <v>0</v>
      </c>
      <c r="M354" s="17"/>
    </row>
    <row r="355" spans="1:13">
      <c r="A355" s="4" t="s">
        <v>458</v>
      </c>
      <c r="B355" s="39">
        <f>'Standing'!$J$83</f>
        <v>0</v>
      </c>
      <c r="C355" s="39">
        <f>'Standing'!$J$103</f>
        <v>0</v>
      </c>
      <c r="D355" s="39">
        <f>'Standing'!$J$117</f>
        <v>0</v>
      </c>
      <c r="E355" s="10"/>
      <c r="F355" s="47">
        <f>'Standing'!$J$35</f>
        <v>0</v>
      </c>
      <c r="G355" s="39">
        <f>'Reactive'!$J$35</f>
        <v>0</v>
      </c>
      <c r="H355" s="38">
        <f>IF(H$345&lt;&gt;0,(($B355*B$345+$C355*C$345+$D355*D$345+$G355*G$345))/H$345,0)</f>
        <v>0</v>
      </c>
      <c r="I355" s="21">
        <f>0.01*'Input'!$F$58*(E355*$E$345+F355*$F$345)+10*(B355*$B$345+C355*$C$345+D355*$D$345+G355*$G$345)</f>
        <v>0</v>
      </c>
      <c r="J355" s="38">
        <f>IF($H$345&lt;&gt;0,0.1*I355/$H$345,"")</f>
        <v>0</v>
      </c>
      <c r="K355" s="46">
        <f>IF($E$345&lt;&gt;0,I355/$E$345,"")</f>
        <v>0</v>
      </c>
      <c r="L355" s="46">
        <f>IF($F$345&lt;&gt;0,I355/$F$345*100/'Input'!$F$58,"")</f>
        <v>0</v>
      </c>
      <c r="M355" s="17"/>
    </row>
    <row r="356" spans="1:13">
      <c r="A356" s="4" t="s">
        <v>1638</v>
      </c>
      <c r="B356" s="10"/>
      <c r="C356" s="10"/>
      <c r="D356" s="10"/>
      <c r="E356" s="47">
        <f>'SM'!$B$110</f>
        <v>0</v>
      </c>
      <c r="F356" s="10"/>
      <c r="G356" s="10"/>
      <c r="H356" s="38">
        <f>IF(H$345&lt;&gt;0,(($B356*B$345+$C356*C$345+$D356*D$345+$G356*G$345))/H$345,0)</f>
        <v>0</v>
      </c>
      <c r="I356" s="21">
        <f>0.01*'Input'!$F$58*(E356*$E$345+F356*$F$345)+10*(B356*$B$345+C356*$C$345+D356*$D$345+G356*$G$345)</f>
        <v>0</v>
      </c>
      <c r="J356" s="38">
        <f>IF($H$345&lt;&gt;0,0.1*I356/$H$345,"")</f>
        <v>0</v>
      </c>
      <c r="K356" s="46">
        <f>IF($E$345&lt;&gt;0,I356/$E$345,"")</f>
        <v>0</v>
      </c>
      <c r="L356" s="46">
        <f>IF($F$345&lt;&gt;0,I356/$F$345*100/'Input'!$F$58,"")</f>
        <v>0</v>
      </c>
      <c r="M356" s="17"/>
    </row>
    <row r="357" spans="1:13">
      <c r="A357" s="4" t="s">
        <v>1639</v>
      </c>
      <c r="B357" s="10"/>
      <c r="C357" s="10"/>
      <c r="D357" s="10"/>
      <c r="E357" s="47">
        <f>'SM'!$C$110</f>
        <v>0</v>
      </c>
      <c r="F357" s="10"/>
      <c r="G357" s="10"/>
      <c r="H357" s="38">
        <f>IF(H$345&lt;&gt;0,(($B357*B$345+$C357*C$345+$D357*D$345+$G357*G$345))/H$345,0)</f>
        <v>0</v>
      </c>
      <c r="I357" s="21">
        <f>0.01*'Input'!$F$58*(E357*$E$345+F357*$F$345)+10*(B357*$B$345+C357*$C$345+D357*$D$345+G357*$G$345)</f>
        <v>0</v>
      </c>
      <c r="J357" s="38">
        <f>IF($H$345&lt;&gt;0,0.1*I357/$H$345,"")</f>
        <v>0</v>
      </c>
      <c r="K357" s="46">
        <f>IF($E$345&lt;&gt;0,I357/$E$345,"")</f>
        <v>0</v>
      </c>
      <c r="L357" s="46">
        <f>IF($F$345&lt;&gt;0,I357/$F$345*100/'Input'!$F$58,"")</f>
        <v>0</v>
      </c>
      <c r="M357" s="17"/>
    </row>
    <row r="358" spans="1:13">
      <c r="A358" s="4" t="s">
        <v>1640</v>
      </c>
      <c r="B358" s="39">
        <f>'Standing'!$K$83</f>
        <v>0</v>
      </c>
      <c r="C358" s="39">
        <f>'Standing'!$K$103</f>
        <v>0</v>
      </c>
      <c r="D358" s="39">
        <f>'Standing'!$K$117</f>
        <v>0</v>
      </c>
      <c r="E358" s="10"/>
      <c r="F358" s="47">
        <f>'Standing'!$K$35</f>
        <v>0</v>
      </c>
      <c r="G358" s="39">
        <f>'Reactive'!$K$35</f>
        <v>0</v>
      </c>
      <c r="H358" s="38">
        <f>IF(H$345&lt;&gt;0,(($B358*B$345+$C358*C$345+$D358*D$345+$G358*G$345))/H$345,0)</f>
        <v>0</v>
      </c>
      <c r="I358" s="21">
        <f>0.01*'Input'!$F$58*(E358*$E$345+F358*$F$345)+10*(B358*$B$345+C358*$C$345+D358*$D$345+G358*$G$345)</f>
        <v>0</v>
      </c>
      <c r="J358" s="38">
        <f>IF($H$345&lt;&gt;0,0.1*I358/$H$345,"")</f>
        <v>0</v>
      </c>
      <c r="K358" s="46">
        <f>IF($E$345&lt;&gt;0,I358/$E$345,"")</f>
        <v>0</v>
      </c>
      <c r="L358" s="46">
        <f>IF($F$345&lt;&gt;0,I358/$F$345*100/'Input'!$F$58,"")</f>
        <v>0</v>
      </c>
      <c r="M358" s="17"/>
    </row>
    <row r="359" spans="1:13">
      <c r="A359" s="4" t="s">
        <v>1641</v>
      </c>
      <c r="B359" s="39">
        <f>'Standing'!$L$83</f>
        <v>0</v>
      </c>
      <c r="C359" s="39">
        <f>'Standing'!$L$103</f>
        <v>0</v>
      </c>
      <c r="D359" s="39">
        <f>'Standing'!$L$117</f>
        <v>0</v>
      </c>
      <c r="E359" s="10"/>
      <c r="F359" s="47">
        <f>'Standing'!$L$35</f>
        <v>0</v>
      </c>
      <c r="G359" s="39">
        <f>'Reactive'!$L$35</f>
        <v>0</v>
      </c>
      <c r="H359" s="38">
        <f>IF(H$345&lt;&gt;0,(($B359*B$345+$C359*C$345+$D359*D$345+$G359*G$345))/H$345,0)</f>
        <v>0</v>
      </c>
      <c r="I359" s="21">
        <f>0.01*'Input'!$F$58*(E359*$E$345+F359*$F$345)+10*(B359*$B$345+C359*$C$345+D359*$D$345+G359*$G$345)</f>
        <v>0</v>
      </c>
      <c r="J359" s="38">
        <f>IF($H$345&lt;&gt;0,0.1*I359/$H$345,"")</f>
        <v>0</v>
      </c>
      <c r="K359" s="46">
        <f>IF($E$345&lt;&gt;0,I359/$E$345,"")</f>
        <v>0</v>
      </c>
      <c r="L359" s="46">
        <f>IF($F$345&lt;&gt;0,I359/$F$345*100/'Input'!$F$58,"")</f>
        <v>0</v>
      </c>
      <c r="M359" s="17"/>
    </row>
    <row r="360" spans="1:13">
      <c r="A360" s="4" t="s">
        <v>1642</v>
      </c>
      <c r="B360" s="39">
        <f>'Standing'!$M$83</f>
        <v>0</v>
      </c>
      <c r="C360" s="39">
        <f>'Standing'!$M$103</f>
        <v>0</v>
      </c>
      <c r="D360" s="39">
        <f>'Standing'!$M$117</f>
        <v>0</v>
      </c>
      <c r="E360" s="10"/>
      <c r="F360" s="47">
        <f>'Standing'!$M$35</f>
        <v>0</v>
      </c>
      <c r="G360" s="39">
        <f>'Reactive'!$M$35</f>
        <v>0</v>
      </c>
      <c r="H360" s="38">
        <f>IF(H$345&lt;&gt;0,(($B360*B$345+$C360*C$345+$D360*D$345+$G360*G$345))/H$345,0)</f>
        <v>0</v>
      </c>
      <c r="I360" s="21">
        <f>0.01*'Input'!$F$58*(E360*$E$345+F360*$F$345)+10*(B360*$B$345+C360*$C$345+D360*$D$345+G360*$G$345)</f>
        <v>0</v>
      </c>
      <c r="J360" s="38">
        <f>IF($H$345&lt;&gt;0,0.1*I360/$H$345,"")</f>
        <v>0</v>
      </c>
      <c r="K360" s="46">
        <f>IF($E$345&lt;&gt;0,I360/$E$345,"")</f>
        <v>0</v>
      </c>
      <c r="L360" s="46">
        <f>IF($F$345&lt;&gt;0,I360/$F$345*100/'Input'!$F$58,"")</f>
        <v>0</v>
      </c>
      <c r="M360" s="17"/>
    </row>
    <row r="361" spans="1:13">
      <c r="A361" s="4" t="s">
        <v>1643</v>
      </c>
      <c r="B361" s="39">
        <f>'Standing'!$N$83</f>
        <v>0</v>
      </c>
      <c r="C361" s="39">
        <f>'Standing'!$N$103</f>
        <v>0</v>
      </c>
      <c r="D361" s="39">
        <f>'Standing'!$N$117</f>
        <v>0</v>
      </c>
      <c r="E361" s="10"/>
      <c r="F361" s="47">
        <f>'Standing'!$N$35</f>
        <v>0</v>
      </c>
      <c r="G361" s="39">
        <f>'Reactive'!$N$35</f>
        <v>0</v>
      </c>
      <c r="H361" s="38">
        <f>IF(H$345&lt;&gt;0,(($B361*B$345+$C361*C$345+$D361*D$345+$G361*G$345))/H$345,0)</f>
        <v>0</v>
      </c>
      <c r="I361" s="21">
        <f>0.01*'Input'!$F$58*(E361*$E$345+F361*$F$345)+10*(B361*$B$345+C361*$C$345+D361*$D$345+G361*$G$345)</f>
        <v>0</v>
      </c>
      <c r="J361" s="38">
        <f>IF($H$345&lt;&gt;0,0.1*I361/$H$345,"")</f>
        <v>0</v>
      </c>
      <c r="K361" s="46">
        <f>IF($E$345&lt;&gt;0,I361/$E$345,"")</f>
        <v>0</v>
      </c>
      <c r="L361" s="46">
        <f>IF($F$345&lt;&gt;0,I361/$F$345*100/'Input'!$F$58,"")</f>
        <v>0</v>
      </c>
      <c r="M361" s="17"/>
    </row>
    <row r="362" spans="1:13">
      <c r="A362" s="4" t="s">
        <v>1644</v>
      </c>
      <c r="B362" s="39">
        <f>'Standing'!$O$83</f>
        <v>0</v>
      </c>
      <c r="C362" s="39">
        <f>'Standing'!$O$103</f>
        <v>0</v>
      </c>
      <c r="D362" s="39">
        <f>'Standing'!$O$117</f>
        <v>0</v>
      </c>
      <c r="E362" s="10"/>
      <c r="F362" s="47">
        <f>'Standing'!$O$35</f>
        <v>0</v>
      </c>
      <c r="G362" s="39">
        <f>'Reactive'!$O$35</f>
        <v>0</v>
      </c>
      <c r="H362" s="38">
        <f>IF(H$345&lt;&gt;0,(($B362*B$345+$C362*C$345+$D362*D$345+$G362*G$345))/H$345,0)</f>
        <v>0</v>
      </c>
      <c r="I362" s="21">
        <f>0.01*'Input'!$F$58*(E362*$E$345+F362*$F$345)+10*(B362*$B$345+C362*$C$345+D362*$D$345+G362*$G$345)</f>
        <v>0</v>
      </c>
      <c r="J362" s="38">
        <f>IF($H$345&lt;&gt;0,0.1*I362/$H$345,"")</f>
        <v>0</v>
      </c>
      <c r="K362" s="46">
        <f>IF($E$345&lt;&gt;0,I362/$E$345,"")</f>
        <v>0</v>
      </c>
      <c r="L362" s="46">
        <f>IF($F$345&lt;&gt;0,I362/$F$345*100/'Input'!$F$58,"")</f>
        <v>0</v>
      </c>
      <c r="M362" s="17"/>
    </row>
    <row r="363" spans="1:13">
      <c r="A363" s="4" t="s">
        <v>1645</v>
      </c>
      <c r="B363" s="39">
        <f>'Standing'!$P$83</f>
        <v>0</v>
      </c>
      <c r="C363" s="39">
        <f>'Standing'!$P$103</f>
        <v>0</v>
      </c>
      <c r="D363" s="39">
        <f>'Standing'!$P$117</f>
        <v>0</v>
      </c>
      <c r="E363" s="10"/>
      <c r="F363" s="47">
        <f>'Standing'!$P$35</f>
        <v>0</v>
      </c>
      <c r="G363" s="39">
        <f>'Reactive'!$P$35</f>
        <v>0</v>
      </c>
      <c r="H363" s="38">
        <f>IF(H$345&lt;&gt;0,(($B363*B$345+$C363*C$345+$D363*D$345+$G363*G$345))/H$345,0)</f>
        <v>0</v>
      </c>
      <c r="I363" s="21">
        <f>0.01*'Input'!$F$58*(E363*$E$345+F363*$F$345)+10*(B363*$B$345+C363*$C$345+D363*$D$345+G363*$G$345)</f>
        <v>0</v>
      </c>
      <c r="J363" s="38">
        <f>IF($H$345&lt;&gt;0,0.1*I363/$H$345,"")</f>
        <v>0</v>
      </c>
      <c r="K363" s="46">
        <f>IF($E$345&lt;&gt;0,I363/$E$345,"")</f>
        <v>0</v>
      </c>
      <c r="L363" s="46">
        <f>IF($F$345&lt;&gt;0,I363/$F$345*100/'Input'!$F$58,"")</f>
        <v>0</v>
      </c>
      <c r="M363" s="17"/>
    </row>
    <row r="364" spans="1:13">
      <c r="A364" s="4" t="s">
        <v>1646</v>
      </c>
      <c r="B364" s="39">
        <f>'Standing'!$Q$83</f>
        <v>0</v>
      </c>
      <c r="C364" s="39">
        <f>'Standing'!$Q$103</f>
        <v>0</v>
      </c>
      <c r="D364" s="39">
        <f>'Standing'!$Q$117</f>
        <v>0</v>
      </c>
      <c r="E364" s="10"/>
      <c r="F364" s="47">
        <f>'Standing'!$Q$35</f>
        <v>0</v>
      </c>
      <c r="G364" s="39">
        <f>'Reactive'!$Q$35</f>
        <v>0</v>
      </c>
      <c r="H364" s="38">
        <f>IF(H$345&lt;&gt;0,(($B364*B$345+$C364*C$345+$D364*D$345+$G364*G$345))/H$345,0)</f>
        <v>0</v>
      </c>
      <c r="I364" s="21">
        <f>0.01*'Input'!$F$58*(E364*$E$345+F364*$F$345)+10*(B364*$B$345+C364*$C$345+D364*$D$345+G364*$G$345)</f>
        <v>0</v>
      </c>
      <c r="J364" s="38">
        <f>IF($H$345&lt;&gt;0,0.1*I364/$H$345,"")</f>
        <v>0</v>
      </c>
      <c r="K364" s="46">
        <f>IF($E$345&lt;&gt;0,I364/$E$345,"")</f>
        <v>0</v>
      </c>
      <c r="L364" s="46">
        <f>IF($F$345&lt;&gt;0,I364/$F$345*100/'Input'!$F$58,"")</f>
        <v>0</v>
      </c>
      <c r="M364" s="17"/>
    </row>
    <row r="365" spans="1:13">
      <c r="A365" s="4" t="s">
        <v>1647</v>
      </c>
      <c r="B365" s="39">
        <f>'Standing'!$R$83</f>
        <v>0</v>
      </c>
      <c r="C365" s="39">
        <f>'Standing'!$R$103</f>
        <v>0</v>
      </c>
      <c r="D365" s="39">
        <f>'Standing'!$R$117</f>
        <v>0</v>
      </c>
      <c r="E365" s="10"/>
      <c r="F365" s="47">
        <f>'Standing'!$R$35</f>
        <v>0</v>
      </c>
      <c r="G365" s="39">
        <f>'Reactive'!$R$35</f>
        <v>0</v>
      </c>
      <c r="H365" s="38">
        <f>IF(H$345&lt;&gt;0,(($B365*B$345+$C365*C$345+$D365*D$345+$G365*G$345))/H$345,0)</f>
        <v>0</v>
      </c>
      <c r="I365" s="21">
        <f>0.01*'Input'!$F$58*(E365*$E$345+F365*$F$345)+10*(B365*$B$345+C365*$C$345+D365*$D$345+G365*$G$345)</f>
        <v>0</v>
      </c>
      <c r="J365" s="38">
        <f>IF($H$345&lt;&gt;0,0.1*I365/$H$345,"")</f>
        <v>0</v>
      </c>
      <c r="K365" s="46">
        <f>IF($E$345&lt;&gt;0,I365/$E$345,"")</f>
        <v>0</v>
      </c>
      <c r="L365" s="46">
        <f>IF($F$345&lt;&gt;0,I365/$F$345*100/'Input'!$F$58,"")</f>
        <v>0</v>
      </c>
      <c r="M365" s="17"/>
    </row>
    <row r="366" spans="1:13">
      <c r="A366" s="4" t="s">
        <v>1648</v>
      </c>
      <c r="B366" s="39">
        <f>'Standing'!$S$83</f>
        <v>0</v>
      </c>
      <c r="C366" s="39">
        <f>'Standing'!$S$103</f>
        <v>0</v>
      </c>
      <c r="D366" s="39">
        <f>'Standing'!$S$117</f>
        <v>0</v>
      </c>
      <c r="E366" s="10"/>
      <c r="F366" s="47">
        <f>'Standing'!$S$35</f>
        <v>0</v>
      </c>
      <c r="G366" s="39">
        <f>'Reactive'!$S$35</f>
        <v>0</v>
      </c>
      <c r="H366" s="38">
        <f>IF(H$345&lt;&gt;0,(($B366*B$345+$C366*C$345+$D366*D$345+$G366*G$345))/H$345,0)</f>
        <v>0</v>
      </c>
      <c r="I366" s="21">
        <f>0.01*'Input'!$F$58*(E366*$E$345+F366*$F$345)+10*(B366*$B$345+C366*$C$345+D366*$D$345+G366*$G$345)</f>
        <v>0</v>
      </c>
      <c r="J366" s="38">
        <f>IF($H$345&lt;&gt;0,0.1*I366/$H$345,"")</f>
        <v>0</v>
      </c>
      <c r="K366" s="46">
        <f>IF($E$345&lt;&gt;0,I366/$E$345,"")</f>
        <v>0</v>
      </c>
      <c r="L366" s="46">
        <f>IF($F$345&lt;&gt;0,I366/$F$345*100/'Input'!$F$58,"")</f>
        <v>0</v>
      </c>
      <c r="M366" s="17"/>
    </row>
    <row r="367" spans="1:13">
      <c r="A367" s="4" t="s">
        <v>1649</v>
      </c>
      <c r="B367" s="10"/>
      <c r="C367" s="10"/>
      <c r="D367" s="10"/>
      <c r="E367" s="47">
        <f>'Otex'!$B$131</f>
        <v>0</v>
      </c>
      <c r="F367" s="10"/>
      <c r="G367" s="10"/>
      <c r="H367" s="38">
        <f>IF(H$345&lt;&gt;0,(($B367*B$345+$C367*C$345+$D367*D$345+$G367*G$345))/H$345,0)</f>
        <v>0</v>
      </c>
      <c r="I367" s="21">
        <f>0.01*'Input'!$F$58*(E367*$E$345+F367*$F$345)+10*(B367*$B$345+C367*$C$345+D367*$D$345+G367*$G$345)</f>
        <v>0</v>
      </c>
      <c r="J367" s="38">
        <f>IF($H$345&lt;&gt;0,0.1*I367/$H$345,"")</f>
        <v>0</v>
      </c>
      <c r="K367" s="46">
        <f>IF($E$345&lt;&gt;0,I367/$E$345,"")</f>
        <v>0</v>
      </c>
      <c r="L367" s="46">
        <f>IF($F$345&lt;&gt;0,I367/$F$345*100/'Input'!$F$58,"")</f>
        <v>0</v>
      </c>
      <c r="M367" s="17"/>
    </row>
    <row r="368" spans="1:13">
      <c r="A368" s="4" t="s">
        <v>1650</v>
      </c>
      <c r="B368" s="10"/>
      <c r="C368" s="10"/>
      <c r="D368" s="10"/>
      <c r="E368" s="47">
        <f>'Otex'!$C$131</f>
        <v>0</v>
      </c>
      <c r="F368" s="10"/>
      <c r="G368" s="10"/>
      <c r="H368" s="38">
        <f>IF(H$345&lt;&gt;0,(($B368*B$345+$C368*C$345+$D368*D$345+$G368*G$345))/H$345,0)</f>
        <v>0</v>
      </c>
      <c r="I368" s="21">
        <f>0.01*'Input'!$F$58*(E368*$E$345+F368*$F$345)+10*(B368*$B$345+C368*$C$345+D368*$D$345+G368*$G$345)</f>
        <v>0</v>
      </c>
      <c r="J368" s="38">
        <f>IF($H$345&lt;&gt;0,0.1*I368/$H$345,"")</f>
        <v>0</v>
      </c>
      <c r="K368" s="46">
        <f>IF($E$345&lt;&gt;0,I368/$E$345,"")</f>
        <v>0</v>
      </c>
      <c r="L368" s="46">
        <f>IF($F$345&lt;&gt;0,I368/$F$345*100/'Input'!$F$58,"")</f>
        <v>0</v>
      </c>
      <c r="M368" s="17"/>
    </row>
    <row r="369" spans="1:13">
      <c r="A369" s="4" t="s">
        <v>1651</v>
      </c>
      <c r="B369" s="39">
        <f>'Scaler'!$B$399</f>
        <v>0</v>
      </c>
      <c r="C369" s="39">
        <f>'Scaler'!$C$399</f>
        <v>0</v>
      </c>
      <c r="D369" s="39">
        <f>'Scaler'!$D$399</f>
        <v>0</v>
      </c>
      <c r="E369" s="47">
        <f>'Scaler'!$E$399</f>
        <v>0</v>
      </c>
      <c r="F369" s="47">
        <f>'Scaler'!$F$399</f>
        <v>0</v>
      </c>
      <c r="G369" s="39">
        <f>'Scaler'!$G$399</f>
        <v>0</v>
      </c>
      <c r="H369" s="38">
        <f>IF(H$345&lt;&gt;0,(($B369*B$345+$C369*C$345+$D369*D$345+$G369*G$345))/H$345,0)</f>
        <v>0</v>
      </c>
      <c r="I369" s="21">
        <f>0.01*'Input'!$F$58*(E369*$E$345+F369*$F$345)+10*(B369*$B$345+C369*$C$345+D369*$D$345+G369*$G$345)</f>
        <v>0</v>
      </c>
      <c r="J369" s="38">
        <f>IF($H$345&lt;&gt;0,0.1*I369/$H$345,"")</f>
        <v>0</v>
      </c>
      <c r="K369" s="46">
        <f>IF($E$345&lt;&gt;0,I369/$E$345,"")</f>
        <v>0</v>
      </c>
      <c r="L369" s="46">
        <f>IF($F$345&lt;&gt;0,I369/$F$345*100/'Input'!$F$58,"")</f>
        <v>0</v>
      </c>
      <c r="M369" s="17"/>
    </row>
    <row r="370" spans="1:13">
      <c r="A370" s="4" t="s">
        <v>1652</v>
      </c>
      <c r="B370" s="39">
        <f>'Adjust'!$B$79</f>
        <v>0</v>
      </c>
      <c r="C370" s="39">
        <f>'Adjust'!$C$79</f>
        <v>0</v>
      </c>
      <c r="D370" s="39">
        <f>'Adjust'!$D$79</f>
        <v>0</v>
      </c>
      <c r="E370" s="47">
        <f>'Adjust'!$E$79</f>
        <v>0</v>
      </c>
      <c r="F370" s="47">
        <f>'Adjust'!$F$79</f>
        <v>0</v>
      </c>
      <c r="G370" s="39">
        <f>'Adjust'!$G$79</f>
        <v>0</v>
      </c>
      <c r="H370" s="38">
        <f>IF(H$345&lt;&gt;0,(($B370*B$345+$C370*C$345+$D370*D$345+$G370*G$345))/H$345,0)</f>
        <v>0</v>
      </c>
      <c r="I370" s="21">
        <f>0.01*'Input'!$F$58*(E370*$E$345+F370*$F$345)+10*(B370*$B$345+C370*$C$345+D370*$D$345+G370*$G$345)</f>
        <v>0</v>
      </c>
      <c r="J370" s="38">
        <f>IF($H$345&lt;&gt;0,0.1*I370/$H$345,"")</f>
        <v>0</v>
      </c>
      <c r="K370" s="46">
        <f>IF($E$345&lt;&gt;0,I370/$E$345,"")</f>
        <v>0</v>
      </c>
      <c r="L370" s="46">
        <f>IF($F$345&lt;&gt;0,I370/$F$345*100/'Input'!$F$58,"")</f>
        <v>0</v>
      </c>
      <c r="M370" s="17"/>
    </row>
    <row r="372" spans="1:13">
      <c r="A372" s="4" t="s">
        <v>1653</v>
      </c>
      <c r="B372" s="38">
        <f>SUM($B$348:$B$370)</f>
        <v>0</v>
      </c>
      <c r="C372" s="38">
        <f>SUM($C$348:$C$370)</f>
        <v>0</v>
      </c>
      <c r="D372" s="38">
        <f>SUM($D$348:$D$370)</f>
        <v>0</v>
      </c>
      <c r="E372" s="46">
        <f>SUM($E$348:$E$370)</f>
        <v>0</v>
      </c>
      <c r="F372" s="46">
        <f>SUM($F$348:$F$370)</f>
        <v>0</v>
      </c>
      <c r="G372" s="38">
        <f>SUM($G$348:$G$370)</f>
        <v>0</v>
      </c>
      <c r="H372" s="38">
        <f>SUM(H$348:H$370)</f>
        <v>0</v>
      </c>
      <c r="I372" s="21">
        <f>SUM($I$348:$I$370)</f>
        <v>0</v>
      </c>
      <c r="J372" s="38">
        <f>SUM($J$348:$J$370)</f>
        <v>0</v>
      </c>
      <c r="K372" s="46">
        <f>SUM($K$348:$K$370)</f>
        <v>0</v>
      </c>
      <c r="L372" s="46">
        <f>SUM($L$348:$L$370)</f>
        <v>0</v>
      </c>
    </row>
    <row r="374" spans="1:13" ht="21" customHeight="1">
      <c r="A374" s="1" t="s">
        <v>213</v>
      </c>
    </row>
    <row r="376" spans="1:13">
      <c r="B376" s="15" t="s">
        <v>222</v>
      </c>
      <c r="C376" s="15" t="s">
        <v>1634</v>
      </c>
    </row>
    <row r="377" spans="1:13">
      <c r="A377" s="4" t="s">
        <v>213</v>
      </c>
      <c r="B377" s="44">
        <f>'Loads'!B$291</f>
        <v>0</v>
      </c>
      <c r="C377" s="44">
        <f>'Multi'!B$118</f>
        <v>0</v>
      </c>
      <c r="D377" s="17"/>
    </row>
    <row r="379" spans="1:13">
      <c r="B379" s="15" t="s">
        <v>1466</v>
      </c>
      <c r="C379" s="15" t="s">
        <v>1636</v>
      </c>
      <c r="D379" s="15" t="s">
        <v>1606</v>
      </c>
    </row>
    <row r="380" spans="1:13">
      <c r="A380" s="4" t="s">
        <v>451</v>
      </c>
      <c r="B380" s="39">
        <f>'Yard'!$C$69</f>
        <v>0</v>
      </c>
      <c r="C380" s="21">
        <f>0+10*(B380*$B$377)</f>
        <v>0</v>
      </c>
      <c r="D380" s="38">
        <f>IF($C$377&lt;&gt;0,0.1*C380/$C$377,"")</f>
        <v>0</v>
      </c>
      <c r="E380" s="17"/>
    </row>
    <row r="381" spans="1:13">
      <c r="A381" s="4" t="s">
        <v>452</v>
      </c>
      <c r="B381" s="39">
        <f>'Yard'!$D$69</f>
        <v>0</v>
      </c>
      <c r="C381" s="21">
        <f>0+10*(B381*$B$377)</f>
        <v>0</v>
      </c>
      <c r="D381" s="38">
        <f>IF($C$377&lt;&gt;0,0.1*C381/$C$377,"")</f>
        <v>0</v>
      </c>
      <c r="E381" s="17"/>
    </row>
    <row r="382" spans="1:13">
      <c r="A382" s="4" t="s">
        <v>453</v>
      </c>
      <c r="B382" s="39">
        <f>'Yard'!$E$69</f>
        <v>0</v>
      </c>
      <c r="C382" s="21">
        <f>0+10*(B382*$B$377)</f>
        <v>0</v>
      </c>
      <c r="D382" s="38">
        <f>IF($C$377&lt;&gt;0,0.1*C382/$C$377,"")</f>
        <v>0</v>
      </c>
      <c r="E382" s="17"/>
    </row>
    <row r="383" spans="1:13">
      <c r="A383" s="4" t="s">
        <v>454</v>
      </c>
      <c r="B383" s="39">
        <f>'Yard'!$F$69</f>
        <v>0</v>
      </c>
      <c r="C383" s="21">
        <f>0+10*(B383*$B$377)</f>
        <v>0</v>
      </c>
      <c r="D383" s="38">
        <f>IF($C$377&lt;&gt;0,0.1*C383/$C$377,"")</f>
        <v>0</v>
      </c>
      <c r="E383" s="17"/>
    </row>
    <row r="384" spans="1:13">
      <c r="A384" s="4" t="s">
        <v>455</v>
      </c>
      <c r="B384" s="39">
        <f>'Yard'!$G$69</f>
        <v>0</v>
      </c>
      <c r="C384" s="21">
        <f>0+10*(B384*$B$377)</f>
        <v>0</v>
      </c>
      <c r="D384" s="38">
        <f>IF($C$377&lt;&gt;0,0.1*C384/$C$377,"")</f>
        <v>0</v>
      </c>
      <c r="E384" s="17"/>
    </row>
    <row r="385" spans="1:5">
      <c r="A385" s="4" t="s">
        <v>456</v>
      </c>
      <c r="B385" s="39">
        <f>'Yard'!$H$69</f>
        <v>0</v>
      </c>
      <c r="C385" s="21">
        <f>0+10*(B385*$B$377)</f>
        <v>0</v>
      </c>
      <c r="D385" s="38">
        <f>IF($C$377&lt;&gt;0,0.1*C385/$C$377,"")</f>
        <v>0</v>
      </c>
      <c r="E385" s="17"/>
    </row>
    <row r="386" spans="1:5">
      <c r="A386" s="4" t="s">
        <v>457</v>
      </c>
      <c r="B386" s="39">
        <f>'Yard'!$I$69</f>
        <v>0</v>
      </c>
      <c r="C386" s="21">
        <f>0+10*(B386*$B$377)</f>
        <v>0</v>
      </c>
      <c r="D386" s="38">
        <f>IF($C$377&lt;&gt;0,0.1*C386/$C$377,"")</f>
        <v>0</v>
      </c>
      <c r="E386" s="17"/>
    </row>
    <row r="387" spans="1:5">
      <c r="A387" s="4" t="s">
        <v>458</v>
      </c>
      <c r="B387" s="39">
        <f>'Yard'!$J$69</f>
        <v>0</v>
      </c>
      <c r="C387" s="21">
        <f>0+10*(B387*$B$377)</f>
        <v>0</v>
      </c>
      <c r="D387" s="38">
        <f>IF($C$377&lt;&gt;0,0.1*C387/$C$377,"")</f>
        <v>0</v>
      </c>
      <c r="E387" s="17"/>
    </row>
    <row r="388" spans="1:5">
      <c r="A388" s="4" t="s">
        <v>1638</v>
      </c>
      <c r="B388" s="10"/>
      <c r="C388" s="21">
        <f>0+10*(B388*$B$377)</f>
        <v>0</v>
      </c>
      <c r="D388" s="38">
        <f>IF($C$377&lt;&gt;0,0.1*C388/$C$377,"")</f>
        <v>0</v>
      </c>
      <c r="E388" s="17"/>
    </row>
    <row r="389" spans="1:5">
      <c r="A389" s="4" t="s">
        <v>1640</v>
      </c>
      <c r="B389" s="39">
        <f>'Yard'!$K$69</f>
        <v>0</v>
      </c>
      <c r="C389" s="21">
        <f>0+10*(B389*$B$377)</f>
        <v>0</v>
      </c>
      <c r="D389" s="38">
        <f>IF($C$377&lt;&gt;0,0.1*C389/$C$377,"")</f>
        <v>0</v>
      </c>
      <c r="E389" s="17"/>
    </row>
    <row r="390" spans="1:5">
      <c r="A390" s="4" t="s">
        <v>1641</v>
      </c>
      <c r="B390" s="39">
        <f>'Yard'!$L$69</f>
        <v>0</v>
      </c>
      <c r="C390" s="21">
        <f>0+10*(B390*$B$377)</f>
        <v>0</v>
      </c>
      <c r="D390" s="38">
        <f>IF($C$377&lt;&gt;0,0.1*C390/$C$377,"")</f>
        <v>0</v>
      </c>
      <c r="E390" s="17"/>
    </row>
    <row r="391" spans="1:5">
      <c r="A391" s="4" t="s">
        <v>1642</v>
      </c>
      <c r="B391" s="39">
        <f>'Yard'!$M$69</f>
        <v>0</v>
      </c>
      <c r="C391" s="21">
        <f>0+10*(B391*$B$377)</f>
        <v>0</v>
      </c>
      <c r="D391" s="38">
        <f>IF($C$377&lt;&gt;0,0.1*C391/$C$377,"")</f>
        <v>0</v>
      </c>
      <c r="E391" s="17"/>
    </row>
    <row r="392" spans="1:5">
      <c r="A392" s="4" t="s">
        <v>1643</v>
      </c>
      <c r="B392" s="39">
        <f>'Yard'!$N$69</f>
        <v>0</v>
      </c>
      <c r="C392" s="21">
        <f>0+10*(B392*$B$377)</f>
        <v>0</v>
      </c>
      <c r="D392" s="38">
        <f>IF($C$377&lt;&gt;0,0.1*C392/$C$377,"")</f>
        <v>0</v>
      </c>
      <c r="E392" s="17"/>
    </row>
    <row r="393" spans="1:5">
      <c r="A393" s="4" t="s">
        <v>1644</v>
      </c>
      <c r="B393" s="39">
        <f>'Yard'!$O$69</f>
        <v>0</v>
      </c>
      <c r="C393" s="21">
        <f>0+10*(B393*$B$377)</f>
        <v>0</v>
      </c>
      <c r="D393" s="38">
        <f>IF($C$377&lt;&gt;0,0.1*C393/$C$377,"")</f>
        <v>0</v>
      </c>
      <c r="E393" s="17"/>
    </row>
    <row r="394" spans="1:5">
      <c r="A394" s="4" t="s">
        <v>1645</v>
      </c>
      <c r="B394" s="39">
        <f>'Yard'!$P$69</f>
        <v>0</v>
      </c>
      <c r="C394" s="21">
        <f>0+10*(B394*$B$377)</f>
        <v>0</v>
      </c>
      <c r="D394" s="38">
        <f>IF($C$377&lt;&gt;0,0.1*C394/$C$377,"")</f>
        <v>0</v>
      </c>
      <c r="E394" s="17"/>
    </row>
    <row r="395" spans="1:5">
      <c r="A395" s="4" t="s">
        <v>1646</v>
      </c>
      <c r="B395" s="39">
        <f>'Yard'!$Q$69</f>
        <v>0</v>
      </c>
      <c r="C395" s="21">
        <f>0+10*(B395*$B$377)</f>
        <v>0</v>
      </c>
      <c r="D395" s="38">
        <f>IF($C$377&lt;&gt;0,0.1*C395/$C$377,"")</f>
        <v>0</v>
      </c>
      <c r="E395" s="17"/>
    </row>
    <row r="396" spans="1:5">
      <c r="A396" s="4" t="s">
        <v>1647</v>
      </c>
      <c r="B396" s="39">
        <f>'Yard'!$R$69</f>
        <v>0</v>
      </c>
      <c r="C396" s="21">
        <f>0+10*(B396*$B$377)</f>
        <v>0</v>
      </c>
      <c r="D396" s="38">
        <f>IF($C$377&lt;&gt;0,0.1*C396/$C$377,"")</f>
        <v>0</v>
      </c>
      <c r="E396" s="17"/>
    </row>
    <row r="397" spans="1:5">
      <c r="A397" s="4" t="s">
        <v>1648</v>
      </c>
      <c r="B397" s="39">
        <f>'Yard'!$S$69</f>
        <v>0</v>
      </c>
      <c r="C397" s="21">
        <f>0+10*(B397*$B$377)</f>
        <v>0</v>
      </c>
      <c r="D397" s="38">
        <f>IF($C$377&lt;&gt;0,0.1*C397/$C$377,"")</f>
        <v>0</v>
      </c>
      <c r="E397" s="17"/>
    </row>
    <row r="398" spans="1:5">
      <c r="A398" s="4" t="s">
        <v>1649</v>
      </c>
      <c r="B398" s="39">
        <f>'Otex'!$B$153</f>
        <v>0</v>
      </c>
      <c r="C398" s="21">
        <f>0+10*(B398*$B$377)</f>
        <v>0</v>
      </c>
      <c r="D398" s="38">
        <f>IF($C$377&lt;&gt;0,0.1*C398/$C$377,"")</f>
        <v>0</v>
      </c>
      <c r="E398" s="17"/>
    </row>
    <row r="399" spans="1:5">
      <c r="A399" s="4" t="s">
        <v>1651</v>
      </c>
      <c r="B399" s="39">
        <f>'Scaler'!$B$400</f>
        <v>0</v>
      </c>
      <c r="C399" s="21">
        <f>0+10*(B399*$B$377)</f>
        <v>0</v>
      </c>
      <c r="D399" s="38">
        <f>IF($C$377&lt;&gt;0,0.1*C399/$C$377,"")</f>
        <v>0</v>
      </c>
      <c r="E399" s="17"/>
    </row>
    <row r="400" spans="1:5">
      <c r="A400" s="4" t="s">
        <v>1652</v>
      </c>
      <c r="B400" s="39">
        <f>'Adjust'!$B$80</f>
        <v>0</v>
      </c>
      <c r="C400" s="21">
        <f>0+10*(B400*$B$377)</f>
        <v>0</v>
      </c>
      <c r="D400" s="38">
        <f>IF($C$377&lt;&gt;0,0.1*C400/$C$377,"")</f>
        <v>0</v>
      </c>
      <c r="E400" s="17"/>
    </row>
    <row r="402" spans="1:5">
      <c r="A402" s="4" t="s">
        <v>1653</v>
      </c>
      <c r="B402" s="38">
        <f>SUM($B$380:$B$400)</f>
        <v>0</v>
      </c>
      <c r="C402" s="21">
        <f>SUM($C$380:$C$400)</f>
        <v>0</v>
      </c>
      <c r="D402" s="38">
        <f>SUM($D$380:$D$400)</f>
        <v>0</v>
      </c>
    </row>
    <row r="404" spans="1:5" ht="21" customHeight="1">
      <c r="A404" s="1" t="s">
        <v>214</v>
      </c>
    </row>
    <row r="406" spans="1:5">
      <c r="B406" s="15" t="s">
        <v>222</v>
      </c>
      <c r="C406" s="15" t="s">
        <v>1634</v>
      </c>
    </row>
    <row r="407" spans="1:5">
      <c r="A407" s="4" t="s">
        <v>214</v>
      </c>
      <c r="B407" s="44">
        <f>'Loads'!B$292</f>
        <v>0</v>
      </c>
      <c r="C407" s="44">
        <f>'Multi'!B$119</f>
        <v>0</v>
      </c>
      <c r="D407" s="17"/>
    </row>
    <row r="409" spans="1:5">
      <c r="B409" s="15" t="s">
        <v>1466</v>
      </c>
      <c r="C409" s="15" t="s">
        <v>1636</v>
      </c>
      <c r="D409" s="15" t="s">
        <v>1606</v>
      </c>
    </row>
    <row r="410" spans="1:5">
      <c r="A410" s="4" t="s">
        <v>451</v>
      </c>
      <c r="B410" s="39">
        <f>'Yard'!$C$70</f>
        <v>0</v>
      </c>
      <c r="C410" s="21">
        <f>0+10*(B410*$B$407)</f>
        <v>0</v>
      </c>
      <c r="D410" s="38">
        <f>IF($C$407&lt;&gt;0,0.1*C410/$C$407,"")</f>
        <v>0</v>
      </c>
      <c r="E410" s="17"/>
    </row>
    <row r="411" spans="1:5">
      <c r="A411" s="4" t="s">
        <v>452</v>
      </c>
      <c r="B411" s="39">
        <f>'Yard'!$D$70</f>
        <v>0</v>
      </c>
      <c r="C411" s="21">
        <f>0+10*(B411*$B$407)</f>
        <v>0</v>
      </c>
      <c r="D411" s="38">
        <f>IF($C$407&lt;&gt;0,0.1*C411/$C$407,"")</f>
        <v>0</v>
      </c>
      <c r="E411" s="17"/>
    </row>
    <row r="412" spans="1:5">
      <c r="A412" s="4" t="s">
        <v>453</v>
      </c>
      <c r="B412" s="39">
        <f>'Yard'!$E$70</f>
        <v>0</v>
      </c>
      <c r="C412" s="21">
        <f>0+10*(B412*$B$407)</f>
        <v>0</v>
      </c>
      <c r="D412" s="38">
        <f>IF($C$407&lt;&gt;0,0.1*C412/$C$407,"")</f>
        <v>0</v>
      </c>
      <c r="E412" s="17"/>
    </row>
    <row r="413" spans="1:5">
      <c r="A413" s="4" t="s">
        <v>454</v>
      </c>
      <c r="B413" s="39">
        <f>'Yard'!$F$70</f>
        <v>0</v>
      </c>
      <c r="C413" s="21">
        <f>0+10*(B413*$B$407)</f>
        <v>0</v>
      </c>
      <c r="D413" s="38">
        <f>IF($C$407&lt;&gt;0,0.1*C413/$C$407,"")</f>
        <v>0</v>
      </c>
      <c r="E413" s="17"/>
    </row>
    <row r="414" spans="1:5">
      <c r="A414" s="4" t="s">
        <v>455</v>
      </c>
      <c r="B414" s="39">
        <f>'Yard'!$G$70</f>
        <v>0</v>
      </c>
      <c r="C414" s="21">
        <f>0+10*(B414*$B$407)</f>
        <v>0</v>
      </c>
      <c r="D414" s="38">
        <f>IF($C$407&lt;&gt;0,0.1*C414/$C$407,"")</f>
        <v>0</v>
      </c>
      <c r="E414" s="17"/>
    </row>
    <row r="415" spans="1:5">
      <c r="A415" s="4" t="s">
        <v>456</v>
      </c>
      <c r="B415" s="39">
        <f>'Yard'!$H$70</f>
        <v>0</v>
      </c>
      <c r="C415" s="21">
        <f>0+10*(B415*$B$407)</f>
        <v>0</v>
      </c>
      <c r="D415" s="38">
        <f>IF($C$407&lt;&gt;0,0.1*C415/$C$407,"")</f>
        <v>0</v>
      </c>
      <c r="E415" s="17"/>
    </row>
    <row r="416" spans="1:5">
      <c r="A416" s="4" t="s">
        <v>457</v>
      </c>
      <c r="B416" s="39">
        <f>'Yard'!$I$70</f>
        <v>0</v>
      </c>
      <c r="C416" s="21">
        <f>0+10*(B416*$B$407)</f>
        <v>0</v>
      </c>
      <c r="D416" s="38">
        <f>IF($C$407&lt;&gt;0,0.1*C416/$C$407,"")</f>
        <v>0</v>
      </c>
      <c r="E416" s="17"/>
    </row>
    <row r="417" spans="1:5">
      <c r="A417" s="4" t="s">
        <v>458</v>
      </c>
      <c r="B417" s="39">
        <f>'Yard'!$J$70</f>
        <v>0</v>
      </c>
      <c r="C417" s="21">
        <f>0+10*(B417*$B$407)</f>
        <v>0</v>
      </c>
      <c r="D417" s="38">
        <f>IF($C$407&lt;&gt;0,0.1*C417/$C$407,"")</f>
        <v>0</v>
      </c>
      <c r="E417" s="17"/>
    </row>
    <row r="418" spans="1:5">
      <c r="A418" s="4" t="s">
        <v>1638</v>
      </c>
      <c r="B418" s="10"/>
      <c r="C418" s="21">
        <f>0+10*(B418*$B$407)</f>
        <v>0</v>
      </c>
      <c r="D418" s="38">
        <f>IF($C$407&lt;&gt;0,0.1*C418/$C$407,"")</f>
        <v>0</v>
      </c>
      <c r="E418" s="17"/>
    </row>
    <row r="419" spans="1:5">
      <c r="A419" s="4" t="s">
        <v>1640</v>
      </c>
      <c r="B419" s="39">
        <f>'Yard'!$K$70</f>
        <v>0</v>
      </c>
      <c r="C419" s="21">
        <f>0+10*(B419*$B$407)</f>
        <v>0</v>
      </c>
      <c r="D419" s="38">
        <f>IF($C$407&lt;&gt;0,0.1*C419/$C$407,"")</f>
        <v>0</v>
      </c>
      <c r="E419" s="17"/>
    </row>
    <row r="420" spans="1:5">
      <c r="A420" s="4" t="s">
        <v>1641</v>
      </c>
      <c r="B420" s="39">
        <f>'Yard'!$L$70</f>
        <v>0</v>
      </c>
      <c r="C420" s="21">
        <f>0+10*(B420*$B$407)</f>
        <v>0</v>
      </c>
      <c r="D420" s="38">
        <f>IF($C$407&lt;&gt;0,0.1*C420/$C$407,"")</f>
        <v>0</v>
      </c>
      <c r="E420" s="17"/>
    </row>
    <row r="421" spans="1:5">
      <c r="A421" s="4" t="s">
        <v>1642</v>
      </c>
      <c r="B421" s="39">
        <f>'Yard'!$M$70</f>
        <v>0</v>
      </c>
      <c r="C421" s="21">
        <f>0+10*(B421*$B$407)</f>
        <v>0</v>
      </c>
      <c r="D421" s="38">
        <f>IF($C$407&lt;&gt;0,0.1*C421/$C$407,"")</f>
        <v>0</v>
      </c>
      <c r="E421" s="17"/>
    </row>
    <row r="422" spans="1:5">
      <c r="A422" s="4" t="s">
        <v>1643</v>
      </c>
      <c r="B422" s="39">
        <f>'Yard'!$N$70</f>
        <v>0</v>
      </c>
      <c r="C422" s="21">
        <f>0+10*(B422*$B$407)</f>
        <v>0</v>
      </c>
      <c r="D422" s="38">
        <f>IF($C$407&lt;&gt;0,0.1*C422/$C$407,"")</f>
        <v>0</v>
      </c>
      <c r="E422" s="17"/>
    </row>
    <row r="423" spans="1:5">
      <c r="A423" s="4" t="s">
        <v>1644</v>
      </c>
      <c r="B423" s="39">
        <f>'Yard'!$O$70</f>
        <v>0</v>
      </c>
      <c r="C423" s="21">
        <f>0+10*(B423*$B$407)</f>
        <v>0</v>
      </c>
      <c r="D423" s="38">
        <f>IF($C$407&lt;&gt;0,0.1*C423/$C$407,"")</f>
        <v>0</v>
      </c>
      <c r="E423" s="17"/>
    </row>
    <row r="424" spans="1:5">
      <c r="A424" s="4" t="s">
        <v>1645</v>
      </c>
      <c r="B424" s="39">
        <f>'Yard'!$P$70</f>
        <v>0</v>
      </c>
      <c r="C424" s="21">
        <f>0+10*(B424*$B$407)</f>
        <v>0</v>
      </c>
      <c r="D424" s="38">
        <f>IF($C$407&lt;&gt;0,0.1*C424/$C$407,"")</f>
        <v>0</v>
      </c>
      <c r="E424" s="17"/>
    </row>
    <row r="425" spans="1:5">
      <c r="A425" s="4" t="s">
        <v>1646</v>
      </c>
      <c r="B425" s="39">
        <f>'Yard'!$Q$70</f>
        <v>0</v>
      </c>
      <c r="C425" s="21">
        <f>0+10*(B425*$B$407)</f>
        <v>0</v>
      </c>
      <c r="D425" s="38">
        <f>IF($C$407&lt;&gt;0,0.1*C425/$C$407,"")</f>
        <v>0</v>
      </c>
      <c r="E425" s="17"/>
    </row>
    <row r="426" spans="1:5">
      <c r="A426" s="4" t="s">
        <v>1647</v>
      </c>
      <c r="B426" s="39">
        <f>'Yard'!$R$70</f>
        <v>0</v>
      </c>
      <c r="C426" s="21">
        <f>0+10*(B426*$B$407)</f>
        <v>0</v>
      </c>
      <c r="D426" s="38">
        <f>IF($C$407&lt;&gt;0,0.1*C426/$C$407,"")</f>
        <v>0</v>
      </c>
      <c r="E426" s="17"/>
    </row>
    <row r="427" spans="1:5">
      <c r="A427" s="4" t="s">
        <v>1648</v>
      </c>
      <c r="B427" s="39">
        <f>'Yard'!$S$70</f>
        <v>0</v>
      </c>
      <c r="C427" s="21">
        <f>0+10*(B427*$B$407)</f>
        <v>0</v>
      </c>
      <c r="D427" s="38">
        <f>IF($C$407&lt;&gt;0,0.1*C427/$C$407,"")</f>
        <v>0</v>
      </c>
      <c r="E427" s="17"/>
    </row>
    <row r="428" spans="1:5">
      <c r="A428" s="4" t="s">
        <v>1649</v>
      </c>
      <c r="B428" s="39">
        <f>'Otex'!$B$154</f>
        <v>0</v>
      </c>
      <c r="C428" s="21">
        <f>0+10*(B428*$B$407)</f>
        <v>0</v>
      </c>
      <c r="D428" s="38">
        <f>IF($C$407&lt;&gt;0,0.1*C428/$C$407,"")</f>
        <v>0</v>
      </c>
      <c r="E428" s="17"/>
    </row>
    <row r="429" spans="1:5">
      <c r="A429" s="4" t="s">
        <v>1651</v>
      </c>
      <c r="B429" s="39">
        <f>'Scaler'!$B$401</f>
        <v>0</v>
      </c>
      <c r="C429" s="21">
        <f>0+10*(B429*$B$407)</f>
        <v>0</v>
      </c>
      <c r="D429" s="38">
        <f>IF($C$407&lt;&gt;0,0.1*C429/$C$407,"")</f>
        <v>0</v>
      </c>
      <c r="E429" s="17"/>
    </row>
    <row r="430" spans="1:5">
      <c r="A430" s="4" t="s">
        <v>1652</v>
      </c>
      <c r="B430" s="39">
        <f>'Adjust'!$B$81</f>
        <v>0</v>
      </c>
      <c r="C430" s="21">
        <f>0+10*(B430*$B$407)</f>
        <v>0</v>
      </c>
      <c r="D430" s="38">
        <f>IF($C$407&lt;&gt;0,0.1*C430/$C$407,"")</f>
        <v>0</v>
      </c>
      <c r="E430" s="17"/>
    </row>
    <row r="432" spans="1:5">
      <c r="A432" s="4" t="s">
        <v>1653</v>
      </c>
      <c r="B432" s="38">
        <f>SUM($B$410:$B$430)</f>
        <v>0</v>
      </c>
      <c r="C432" s="21">
        <f>SUM($C$410:$C$430)</f>
        <v>0</v>
      </c>
      <c r="D432" s="38">
        <f>SUM($D$410:$D$430)</f>
        <v>0</v>
      </c>
    </row>
    <row r="434" spans="1:5" ht="21" customHeight="1">
      <c r="A434" s="1" t="s">
        <v>215</v>
      </c>
    </row>
    <row r="436" spans="1:5">
      <c r="B436" s="15" t="s">
        <v>222</v>
      </c>
      <c r="C436" s="15" t="s">
        <v>1634</v>
      </c>
    </row>
    <row r="437" spans="1:5">
      <c r="A437" s="4" t="s">
        <v>215</v>
      </c>
      <c r="B437" s="44">
        <f>'Loads'!B$293</f>
        <v>0</v>
      </c>
      <c r="C437" s="44">
        <f>'Multi'!B$120</f>
        <v>0</v>
      </c>
      <c r="D437" s="17"/>
    </row>
    <row r="439" spans="1:5">
      <c r="B439" s="15" t="s">
        <v>1466</v>
      </c>
      <c r="C439" s="15" t="s">
        <v>1636</v>
      </c>
      <c r="D439" s="15" t="s">
        <v>1606</v>
      </c>
    </row>
    <row r="440" spans="1:5">
      <c r="A440" s="4" t="s">
        <v>451</v>
      </c>
      <c r="B440" s="39">
        <f>'Yard'!$C$71</f>
        <v>0</v>
      </c>
      <c r="C440" s="21">
        <f>0+10*(B440*$B$437)</f>
        <v>0</v>
      </c>
      <c r="D440" s="38">
        <f>IF($C$437&lt;&gt;0,0.1*C440/$C$437,"")</f>
        <v>0</v>
      </c>
      <c r="E440" s="17"/>
    </row>
    <row r="441" spans="1:5">
      <c r="A441" s="4" t="s">
        <v>452</v>
      </c>
      <c r="B441" s="39">
        <f>'Yard'!$D$71</f>
        <v>0</v>
      </c>
      <c r="C441" s="21">
        <f>0+10*(B441*$B$437)</f>
        <v>0</v>
      </c>
      <c r="D441" s="38">
        <f>IF($C$437&lt;&gt;0,0.1*C441/$C$437,"")</f>
        <v>0</v>
      </c>
      <c r="E441" s="17"/>
    </row>
    <row r="442" spans="1:5">
      <c r="A442" s="4" t="s">
        <v>453</v>
      </c>
      <c r="B442" s="39">
        <f>'Yard'!$E$71</f>
        <v>0</v>
      </c>
      <c r="C442" s="21">
        <f>0+10*(B442*$B$437)</f>
        <v>0</v>
      </c>
      <c r="D442" s="38">
        <f>IF($C$437&lt;&gt;0,0.1*C442/$C$437,"")</f>
        <v>0</v>
      </c>
      <c r="E442" s="17"/>
    </row>
    <row r="443" spans="1:5">
      <c r="A443" s="4" t="s">
        <v>454</v>
      </c>
      <c r="B443" s="39">
        <f>'Yard'!$F$71</f>
        <v>0</v>
      </c>
      <c r="C443" s="21">
        <f>0+10*(B443*$B$437)</f>
        <v>0</v>
      </c>
      <c r="D443" s="38">
        <f>IF($C$437&lt;&gt;0,0.1*C443/$C$437,"")</f>
        <v>0</v>
      </c>
      <c r="E443" s="17"/>
    </row>
    <row r="444" spans="1:5">
      <c r="A444" s="4" t="s">
        <v>455</v>
      </c>
      <c r="B444" s="39">
        <f>'Yard'!$G$71</f>
        <v>0</v>
      </c>
      <c r="C444" s="21">
        <f>0+10*(B444*$B$437)</f>
        <v>0</v>
      </c>
      <c r="D444" s="38">
        <f>IF($C$437&lt;&gt;0,0.1*C444/$C$437,"")</f>
        <v>0</v>
      </c>
      <c r="E444" s="17"/>
    </row>
    <row r="445" spans="1:5">
      <c r="A445" s="4" t="s">
        <v>456</v>
      </c>
      <c r="B445" s="39">
        <f>'Yard'!$H$71</f>
        <v>0</v>
      </c>
      <c r="C445" s="21">
        <f>0+10*(B445*$B$437)</f>
        <v>0</v>
      </c>
      <c r="D445" s="38">
        <f>IF($C$437&lt;&gt;0,0.1*C445/$C$437,"")</f>
        <v>0</v>
      </c>
      <c r="E445" s="17"/>
    </row>
    <row r="446" spans="1:5">
      <c r="A446" s="4" t="s">
        <v>457</v>
      </c>
      <c r="B446" s="39">
        <f>'Yard'!$I$71</f>
        <v>0</v>
      </c>
      <c r="C446" s="21">
        <f>0+10*(B446*$B$437)</f>
        <v>0</v>
      </c>
      <c r="D446" s="38">
        <f>IF($C$437&lt;&gt;0,0.1*C446/$C$437,"")</f>
        <v>0</v>
      </c>
      <c r="E446" s="17"/>
    </row>
    <row r="447" spans="1:5">
      <c r="A447" s="4" t="s">
        <v>458</v>
      </c>
      <c r="B447" s="39">
        <f>'Yard'!$J$71</f>
        <v>0</v>
      </c>
      <c r="C447" s="21">
        <f>0+10*(B447*$B$437)</f>
        <v>0</v>
      </c>
      <c r="D447" s="38">
        <f>IF($C$437&lt;&gt;0,0.1*C447/$C$437,"")</f>
        <v>0</v>
      </c>
      <c r="E447" s="17"/>
    </row>
    <row r="448" spans="1:5">
      <c r="A448" s="4" t="s">
        <v>1638</v>
      </c>
      <c r="B448" s="10"/>
      <c r="C448" s="21">
        <f>0+10*(B448*$B$437)</f>
        <v>0</v>
      </c>
      <c r="D448" s="38">
        <f>IF($C$437&lt;&gt;0,0.1*C448/$C$437,"")</f>
        <v>0</v>
      </c>
      <c r="E448" s="17"/>
    </row>
    <row r="449" spans="1:5">
      <c r="A449" s="4" t="s">
        <v>1640</v>
      </c>
      <c r="B449" s="39">
        <f>'Yard'!$K$71</f>
        <v>0</v>
      </c>
      <c r="C449" s="21">
        <f>0+10*(B449*$B$437)</f>
        <v>0</v>
      </c>
      <c r="D449" s="38">
        <f>IF($C$437&lt;&gt;0,0.1*C449/$C$437,"")</f>
        <v>0</v>
      </c>
      <c r="E449" s="17"/>
    </row>
    <row r="450" spans="1:5">
      <c r="A450" s="4" t="s">
        <v>1641</v>
      </c>
      <c r="B450" s="39">
        <f>'Yard'!$L$71</f>
        <v>0</v>
      </c>
      <c r="C450" s="21">
        <f>0+10*(B450*$B$437)</f>
        <v>0</v>
      </c>
      <c r="D450" s="38">
        <f>IF($C$437&lt;&gt;0,0.1*C450/$C$437,"")</f>
        <v>0</v>
      </c>
      <c r="E450" s="17"/>
    </row>
    <row r="451" spans="1:5">
      <c r="A451" s="4" t="s">
        <v>1642</v>
      </c>
      <c r="B451" s="39">
        <f>'Yard'!$M$71</f>
        <v>0</v>
      </c>
      <c r="C451" s="21">
        <f>0+10*(B451*$B$437)</f>
        <v>0</v>
      </c>
      <c r="D451" s="38">
        <f>IF($C$437&lt;&gt;0,0.1*C451/$C$437,"")</f>
        <v>0</v>
      </c>
      <c r="E451" s="17"/>
    </row>
    <row r="452" spans="1:5">
      <c r="A452" s="4" t="s">
        <v>1643</v>
      </c>
      <c r="B452" s="39">
        <f>'Yard'!$N$71</f>
        <v>0</v>
      </c>
      <c r="C452" s="21">
        <f>0+10*(B452*$B$437)</f>
        <v>0</v>
      </c>
      <c r="D452" s="38">
        <f>IF($C$437&lt;&gt;0,0.1*C452/$C$437,"")</f>
        <v>0</v>
      </c>
      <c r="E452" s="17"/>
    </row>
    <row r="453" spans="1:5">
      <c r="A453" s="4" t="s">
        <v>1644</v>
      </c>
      <c r="B453" s="39">
        <f>'Yard'!$O$71</f>
        <v>0</v>
      </c>
      <c r="C453" s="21">
        <f>0+10*(B453*$B$437)</f>
        <v>0</v>
      </c>
      <c r="D453" s="38">
        <f>IF($C$437&lt;&gt;0,0.1*C453/$C$437,"")</f>
        <v>0</v>
      </c>
      <c r="E453" s="17"/>
    </row>
    <row r="454" spans="1:5">
      <c r="A454" s="4" t="s">
        <v>1645</v>
      </c>
      <c r="B454" s="39">
        <f>'Yard'!$P$71</f>
        <v>0</v>
      </c>
      <c r="C454" s="21">
        <f>0+10*(B454*$B$437)</f>
        <v>0</v>
      </c>
      <c r="D454" s="38">
        <f>IF($C$437&lt;&gt;0,0.1*C454/$C$437,"")</f>
        <v>0</v>
      </c>
      <c r="E454" s="17"/>
    </row>
    <row r="455" spans="1:5">
      <c r="A455" s="4" t="s">
        <v>1646</v>
      </c>
      <c r="B455" s="39">
        <f>'Yard'!$Q$71</f>
        <v>0</v>
      </c>
      <c r="C455" s="21">
        <f>0+10*(B455*$B$437)</f>
        <v>0</v>
      </c>
      <c r="D455" s="38">
        <f>IF($C$437&lt;&gt;0,0.1*C455/$C$437,"")</f>
        <v>0</v>
      </c>
      <c r="E455" s="17"/>
    </row>
    <row r="456" spans="1:5">
      <c r="A456" s="4" t="s">
        <v>1647</v>
      </c>
      <c r="B456" s="39">
        <f>'Yard'!$R$71</f>
        <v>0</v>
      </c>
      <c r="C456" s="21">
        <f>0+10*(B456*$B$437)</f>
        <v>0</v>
      </c>
      <c r="D456" s="38">
        <f>IF($C$437&lt;&gt;0,0.1*C456/$C$437,"")</f>
        <v>0</v>
      </c>
      <c r="E456" s="17"/>
    </row>
    <row r="457" spans="1:5">
      <c r="A457" s="4" t="s">
        <v>1648</v>
      </c>
      <c r="B457" s="39">
        <f>'Yard'!$S$71</f>
        <v>0</v>
      </c>
      <c r="C457" s="21">
        <f>0+10*(B457*$B$437)</f>
        <v>0</v>
      </c>
      <c r="D457" s="38">
        <f>IF($C$437&lt;&gt;0,0.1*C457/$C$437,"")</f>
        <v>0</v>
      </c>
      <c r="E457" s="17"/>
    </row>
    <row r="458" spans="1:5">
      <c r="A458" s="4" t="s">
        <v>1649</v>
      </c>
      <c r="B458" s="39">
        <f>'Otex'!$B$155</f>
        <v>0</v>
      </c>
      <c r="C458" s="21">
        <f>0+10*(B458*$B$437)</f>
        <v>0</v>
      </c>
      <c r="D458" s="38">
        <f>IF($C$437&lt;&gt;0,0.1*C458/$C$437,"")</f>
        <v>0</v>
      </c>
      <c r="E458" s="17"/>
    </row>
    <row r="459" spans="1:5">
      <c r="A459" s="4" t="s">
        <v>1651</v>
      </c>
      <c r="B459" s="39">
        <f>'Scaler'!$B$402</f>
        <v>0</v>
      </c>
      <c r="C459" s="21">
        <f>0+10*(B459*$B$437)</f>
        <v>0</v>
      </c>
      <c r="D459" s="38">
        <f>IF($C$437&lt;&gt;0,0.1*C459/$C$437,"")</f>
        <v>0</v>
      </c>
      <c r="E459" s="17"/>
    </row>
    <row r="460" spans="1:5">
      <c r="A460" s="4" t="s">
        <v>1652</v>
      </c>
      <c r="B460" s="39">
        <f>'Adjust'!$B$82</f>
        <v>0</v>
      </c>
      <c r="C460" s="21">
        <f>0+10*(B460*$B$437)</f>
        <v>0</v>
      </c>
      <c r="D460" s="38">
        <f>IF($C$437&lt;&gt;0,0.1*C460/$C$437,"")</f>
        <v>0</v>
      </c>
      <c r="E460" s="17"/>
    </row>
    <row r="462" spans="1:5">
      <c r="A462" s="4" t="s">
        <v>1653</v>
      </c>
      <c r="B462" s="38">
        <f>SUM($B$440:$B$460)</f>
        <v>0</v>
      </c>
      <c r="C462" s="21">
        <f>SUM($C$440:$C$460)</f>
        <v>0</v>
      </c>
      <c r="D462" s="38">
        <f>SUM($D$440:$D$460)</f>
        <v>0</v>
      </c>
    </row>
    <row r="464" spans="1:5" ht="21" customHeight="1">
      <c r="A464" s="1" t="s">
        <v>216</v>
      </c>
    </row>
    <row r="466" spans="1:5">
      <c r="B466" s="15" t="s">
        <v>222</v>
      </c>
      <c r="C466" s="15" t="s">
        <v>1634</v>
      </c>
    </row>
    <row r="467" spans="1:5">
      <c r="A467" s="4" t="s">
        <v>216</v>
      </c>
      <c r="B467" s="44">
        <f>'Loads'!B$294</f>
        <v>0</v>
      </c>
      <c r="C467" s="44">
        <f>'Multi'!B$121</f>
        <v>0</v>
      </c>
      <c r="D467" s="17"/>
    </row>
    <row r="469" spans="1:5">
      <c r="B469" s="15" t="s">
        <v>1466</v>
      </c>
      <c r="C469" s="15" t="s">
        <v>1636</v>
      </c>
      <c r="D469" s="15" t="s">
        <v>1606</v>
      </c>
    </row>
    <row r="470" spans="1:5">
      <c r="A470" s="4" t="s">
        <v>451</v>
      </c>
      <c r="B470" s="39">
        <f>'Yard'!$C$72</f>
        <v>0</v>
      </c>
      <c r="C470" s="21">
        <f>0+10*(B470*$B$467)</f>
        <v>0</v>
      </c>
      <c r="D470" s="38">
        <f>IF($C$467&lt;&gt;0,0.1*C470/$C$467,"")</f>
        <v>0</v>
      </c>
      <c r="E470" s="17"/>
    </row>
    <row r="471" spans="1:5">
      <c r="A471" s="4" t="s">
        <v>452</v>
      </c>
      <c r="B471" s="39">
        <f>'Yard'!$D$72</f>
        <v>0</v>
      </c>
      <c r="C471" s="21">
        <f>0+10*(B471*$B$467)</f>
        <v>0</v>
      </c>
      <c r="D471" s="38">
        <f>IF($C$467&lt;&gt;0,0.1*C471/$C$467,"")</f>
        <v>0</v>
      </c>
      <c r="E471" s="17"/>
    </row>
    <row r="472" spans="1:5">
      <c r="A472" s="4" t="s">
        <v>453</v>
      </c>
      <c r="B472" s="39">
        <f>'Yard'!$E$72</f>
        <v>0</v>
      </c>
      <c r="C472" s="21">
        <f>0+10*(B472*$B$467)</f>
        <v>0</v>
      </c>
      <c r="D472" s="38">
        <f>IF($C$467&lt;&gt;0,0.1*C472/$C$467,"")</f>
        <v>0</v>
      </c>
      <c r="E472" s="17"/>
    </row>
    <row r="473" spans="1:5">
      <c r="A473" s="4" t="s">
        <v>454</v>
      </c>
      <c r="B473" s="39">
        <f>'Yard'!$F$72</f>
        <v>0</v>
      </c>
      <c r="C473" s="21">
        <f>0+10*(B473*$B$467)</f>
        <v>0</v>
      </c>
      <c r="D473" s="38">
        <f>IF($C$467&lt;&gt;0,0.1*C473/$C$467,"")</f>
        <v>0</v>
      </c>
      <c r="E473" s="17"/>
    </row>
    <row r="474" spans="1:5">
      <c r="A474" s="4" t="s">
        <v>455</v>
      </c>
      <c r="B474" s="39">
        <f>'Yard'!$G$72</f>
        <v>0</v>
      </c>
      <c r="C474" s="21">
        <f>0+10*(B474*$B$467)</f>
        <v>0</v>
      </c>
      <c r="D474" s="38">
        <f>IF($C$467&lt;&gt;0,0.1*C474/$C$467,"")</f>
        <v>0</v>
      </c>
      <c r="E474" s="17"/>
    </row>
    <row r="475" spans="1:5">
      <c r="A475" s="4" t="s">
        <v>456</v>
      </c>
      <c r="B475" s="39">
        <f>'Yard'!$H$72</f>
        <v>0</v>
      </c>
      <c r="C475" s="21">
        <f>0+10*(B475*$B$467)</f>
        <v>0</v>
      </c>
      <c r="D475" s="38">
        <f>IF($C$467&lt;&gt;0,0.1*C475/$C$467,"")</f>
        <v>0</v>
      </c>
      <c r="E475" s="17"/>
    </row>
    <row r="476" spans="1:5">
      <c r="A476" s="4" t="s">
        <v>457</v>
      </c>
      <c r="B476" s="39">
        <f>'Yard'!$I$72</f>
        <v>0</v>
      </c>
      <c r="C476" s="21">
        <f>0+10*(B476*$B$467)</f>
        <v>0</v>
      </c>
      <c r="D476" s="38">
        <f>IF($C$467&lt;&gt;0,0.1*C476/$C$467,"")</f>
        <v>0</v>
      </c>
      <c r="E476" s="17"/>
    </row>
    <row r="477" spans="1:5">
      <c r="A477" s="4" t="s">
        <v>458</v>
      </c>
      <c r="B477" s="39">
        <f>'Yard'!$J$72</f>
        <v>0</v>
      </c>
      <c r="C477" s="21">
        <f>0+10*(B477*$B$467)</f>
        <v>0</v>
      </c>
      <c r="D477" s="38">
        <f>IF($C$467&lt;&gt;0,0.1*C477/$C$467,"")</f>
        <v>0</v>
      </c>
      <c r="E477" s="17"/>
    </row>
    <row r="478" spans="1:5">
      <c r="A478" s="4" t="s">
        <v>1638</v>
      </c>
      <c r="B478" s="10"/>
      <c r="C478" s="21">
        <f>0+10*(B478*$B$467)</f>
        <v>0</v>
      </c>
      <c r="D478" s="38">
        <f>IF($C$467&lt;&gt;0,0.1*C478/$C$467,"")</f>
        <v>0</v>
      </c>
      <c r="E478" s="17"/>
    </row>
    <row r="479" spans="1:5">
      <c r="A479" s="4" t="s">
        <v>1640</v>
      </c>
      <c r="B479" s="39">
        <f>'Yard'!$K$72</f>
        <v>0</v>
      </c>
      <c r="C479" s="21">
        <f>0+10*(B479*$B$467)</f>
        <v>0</v>
      </c>
      <c r="D479" s="38">
        <f>IF($C$467&lt;&gt;0,0.1*C479/$C$467,"")</f>
        <v>0</v>
      </c>
      <c r="E479" s="17"/>
    </row>
    <row r="480" spans="1:5">
      <c r="A480" s="4" t="s">
        <v>1641</v>
      </c>
      <c r="B480" s="39">
        <f>'Yard'!$L$72</f>
        <v>0</v>
      </c>
      <c r="C480" s="21">
        <f>0+10*(B480*$B$467)</f>
        <v>0</v>
      </c>
      <c r="D480" s="38">
        <f>IF($C$467&lt;&gt;0,0.1*C480/$C$467,"")</f>
        <v>0</v>
      </c>
      <c r="E480" s="17"/>
    </row>
    <row r="481" spans="1:5">
      <c r="A481" s="4" t="s">
        <v>1642</v>
      </c>
      <c r="B481" s="39">
        <f>'Yard'!$M$72</f>
        <v>0</v>
      </c>
      <c r="C481" s="21">
        <f>0+10*(B481*$B$467)</f>
        <v>0</v>
      </c>
      <c r="D481" s="38">
        <f>IF($C$467&lt;&gt;0,0.1*C481/$C$467,"")</f>
        <v>0</v>
      </c>
      <c r="E481" s="17"/>
    </row>
    <row r="482" spans="1:5">
      <c r="A482" s="4" t="s">
        <v>1643</v>
      </c>
      <c r="B482" s="39">
        <f>'Yard'!$N$72</f>
        <v>0</v>
      </c>
      <c r="C482" s="21">
        <f>0+10*(B482*$B$467)</f>
        <v>0</v>
      </c>
      <c r="D482" s="38">
        <f>IF($C$467&lt;&gt;0,0.1*C482/$C$467,"")</f>
        <v>0</v>
      </c>
      <c r="E482" s="17"/>
    </row>
    <row r="483" spans="1:5">
      <c r="A483" s="4" t="s">
        <v>1644</v>
      </c>
      <c r="B483" s="39">
        <f>'Yard'!$O$72</f>
        <v>0</v>
      </c>
      <c r="C483" s="21">
        <f>0+10*(B483*$B$467)</f>
        <v>0</v>
      </c>
      <c r="D483" s="38">
        <f>IF($C$467&lt;&gt;0,0.1*C483/$C$467,"")</f>
        <v>0</v>
      </c>
      <c r="E483" s="17"/>
    </row>
    <row r="484" spans="1:5">
      <c r="A484" s="4" t="s">
        <v>1645</v>
      </c>
      <c r="B484" s="39">
        <f>'Yard'!$P$72</f>
        <v>0</v>
      </c>
      <c r="C484" s="21">
        <f>0+10*(B484*$B$467)</f>
        <v>0</v>
      </c>
      <c r="D484" s="38">
        <f>IF($C$467&lt;&gt;0,0.1*C484/$C$467,"")</f>
        <v>0</v>
      </c>
      <c r="E484" s="17"/>
    </row>
    <row r="485" spans="1:5">
      <c r="A485" s="4" t="s">
        <v>1646</v>
      </c>
      <c r="B485" s="39">
        <f>'Yard'!$Q$72</f>
        <v>0</v>
      </c>
      <c r="C485" s="21">
        <f>0+10*(B485*$B$467)</f>
        <v>0</v>
      </c>
      <c r="D485" s="38">
        <f>IF($C$467&lt;&gt;0,0.1*C485/$C$467,"")</f>
        <v>0</v>
      </c>
      <c r="E485" s="17"/>
    </row>
    <row r="486" spans="1:5">
      <c r="A486" s="4" t="s">
        <v>1647</v>
      </c>
      <c r="B486" s="39">
        <f>'Yard'!$R$72</f>
        <v>0</v>
      </c>
      <c r="C486" s="21">
        <f>0+10*(B486*$B$467)</f>
        <v>0</v>
      </c>
      <c r="D486" s="38">
        <f>IF($C$467&lt;&gt;0,0.1*C486/$C$467,"")</f>
        <v>0</v>
      </c>
      <c r="E486" s="17"/>
    </row>
    <row r="487" spans="1:5">
      <c r="A487" s="4" t="s">
        <v>1648</v>
      </c>
      <c r="B487" s="39">
        <f>'Yard'!$S$72</f>
        <v>0</v>
      </c>
      <c r="C487" s="21">
        <f>0+10*(B487*$B$467)</f>
        <v>0</v>
      </c>
      <c r="D487" s="38">
        <f>IF($C$467&lt;&gt;0,0.1*C487/$C$467,"")</f>
        <v>0</v>
      </c>
      <c r="E487" s="17"/>
    </row>
    <row r="488" spans="1:5">
      <c r="A488" s="4" t="s">
        <v>1649</v>
      </c>
      <c r="B488" s="39">
        <f>'Otex'!$B$156</f>
        <v>0</v>
      </c>
      <c r="C488" s="21">
        <f>0+10*(B488*$B$467)</f>
        <v>0</v>
      </c>
      <c r="D488" s="38">
        <f>IF($C$467&lt;&gt;0,0.1*C488/$C$467,"")</f>
        <v>0</v>
      </c>
      <c r="E488" s="17"/>
    </row>
    <row r="489" spans="1:5">
      <c r="A489" s="4" t="s">
        <v>1651</v>
      </c>
      <c r="B489" s="39">
        <f>'Scaler'!$B$403</f>
        <v>0</v>
      </c>
      <c r="C489" s="21">
        <f>0+10*(B489*$B$467)</f>
        <v>0</v>
      </c>
      <c r="D489" s="38">
        <f>IF($C$467&lt;&gt;0,0.1*C489/$C$467,"")</f>
        <v>0</v>
      </c>
      <c r="E489" s="17"/>
    </row>
    <row r="490" spans="1:5">
      <c r="A490" s="4" t="s">
        <v>1652</v>
      </c>
      <c r="B490" s="39">
        <f>'Adjust'!$B$83</f>
        <v>0</v>
      </c>
      <c r="C490" s="21">
        <f>0+10*(B490*$B$467)</f>
        <v>0</v>
      </c>
      <c r="D490" s="38">
        <f>IF($C$467&lt;&gt;0,0.1*C490/$C$467,"")</f>
        <v>0</v>
      </c>
      <c r="E490" s="17"/>
    </row>
    <row r="492" spans="1:5">
      <c r="A492" s="4" t="s">
        <v>1653</v>
      </c>
      <c r="B492" s="38">
        <f>SUM($B$470:$B$490)</f>
        <v>0</v>
      </c>
      <c r="C492" s="21">
        <f>SUM($C$470:$C$490)</f>
        <v>0</v>
      </c>
      <c r="D492" s="38">
        <f>SUM($D$470:$D$490)</f>
        <v>0</v>
      </c>
    </row>
    <row r="494" spans="1:5" ht="21" customHeight="1">
      <c r="A494" s="1" t="s">
        <v>217</v>
      </c>
    </row>
    <row r="496" spans="1:5">
      <c r="B496" s="15" t="s">
        <v>222</v>
      </c>
      <c r="C496" s="15" t="s">
        <v>223</v>
      </c>
      <c r="D496" s="15" t="s">
        <v>224</v>
      </c>
      <c r="E496" s="15" t="s">
        <v>1634</v>
      </c>
    </row>
    <row r="497" spans="1:8">
      <c r="A497" s="4" t="s">
        <v>217</v>
      </c>
      <c r="B497" s="44">
        <f>'Loads'!B$295</f>
        <v>0</v>
      </c>
      <c r="C497" s="44">
        <f>'Loads'!C$295</f>
        <v>0</v>
      </c>
      <c r="D497" s="44">
        <f>'Loads'!D$295</f>
        <v>0</v>
      </c>
      <c r="E497" s="44">
        <f>'Multi'!B$122</f>
        <v>0</v>
      </c>
      <c r="F497" s="17"/>
    </row>
    <row r="499" spans="1:8">
      <c r="B499" s="15" t="s">
        <v>1466</v>
      </c>
      <c r="C499" s="15" t="s">
        <v>1467</v>
      </c>
      <c r="D499" s="15" t="s">
        <v>1468</v>
      </c>
      <c r="E499" s="15" t="s">
        <v>1654</v>
      </c>
      <c r="F499" s="15" t="s">
        <v>1636</v>
      </c>
      <c r="G499" s="15" t="s">
        <v>1606</v>
      </c>
    </row>
    <row r="500" spans="1:8">
      <c r="A500" s="4" t="s">
        <v>451</v>
      </c>
      <c r="B500" s="39">
        <f>'Yard'!$C$73</f>
        <v>0</v>
      </c>
      <c r="C500" s="39">
        <f>'Yard'!$C$95</f>
        <v>0</v>
      </c>
      <c r="D500" s="39">
        <f>'Yard'!$C$115</f>
        <v>0</v>
      </c>
      <c r="E500" s="38">
        <f>IF(E$497&lt;&gt;0,(($B500*B$497+$C500*C$497+$D500*D$497))/E$497,0)</f>
        <v>0</v>
      </c>
      <c r="F500" s="21">
        <f>0+10*(B500*$B$497+C500*$C$497+D500*$D$497)</f>
        <v>0</v>
      </c>
      <c r="G500" s="38">
        <f>IF($E$497&lt;&gt;0,0.1*F500/$E$497,"")</f>
        <v>0</v>
      </c>
      <c r="H500" s="17"/>
    </row>
    <row r="501" spans="1:8">
      <c r="A501" s="4" t="s">
        <v>452</v>
      </c>
      <c r="B501" s="39">
        <f>'Yard'!$D$73</f>
        <v>0</v>
      </c>
      <c r="C501" s="39">
        <f>'Yard'!$D$95</f>
        <v>0</v>
      </c>
      <c r="D501" s="39">
        <f>'Yard'!$D$115</f>
        <v>0</v>
      </c>
      <c r="E501" s="38">
        <f>IF(E$497&lt;&gt;0,(($B501*B$497+$C501*C$497+$D501*D$497))/E$497,0)</f>
        <v>0</v>
      </c>
      <c r="F501" s="21">
        <f>0+10*(B501*$B$497+C501*$C$497+D501*$D$497)</f>
        <v>0</v>
      </c>
      <c r="G501" s="38">
        <f>IF($E$497&lt;&gt;0,0.1*F501/$E$497,"")</f>
        <v>0</v>
      </c>
      <c r="H501" s="17"/>
    </row>
    <row r="502" spans="1:8">
      <c r="A502" s="4" t="s">
        <v>453</v>
      </c>
      <c r="B502" s="39">
        <f>'Yard'!$E$73</f>
        <v>0</v>
      </c>
      <c r="C502" s="39">
        <f>'Yard'!$E$95</f>
        <v>0</v>
      </c>
      <c r="D502" s="39">
        <f>'Yard'!$E$115</f>
        <v>0</v>
      </c>
      <c r="E502" s="38">
        <f>IF(E$497&lt;&gt;0,(($B502*B$497+$C502*C$497+$D502*D$497))/E$497,0)</f>
        <v>0</v>
      </c>
      <c r="F502" s="21">
        <f>0+10*(B502*$B$497+C502*$C$497+D502*$D$497)</f>
        <v>0</v>
      </c>
      <c r="G502" s="38">
        <f>IF($E$497&lt;&gt;0,0.1*F502/$E$497,"")</f>
        <v>0</v>
      </c>
      <c r="H502" s="17"/>
    </row>
    <row r="503" spans="1:8">
      <c r="A503" s="4" t="s">
        <v>454</v>
      </c>
      <c r="B503" s="39">
        <f>'Yard'!$F$73</f>
        <v>0</v>
      </c>
      <c r="C503" s="39">
        <f>'Yard'!$F$95</f>
        <v>0</v>
      </c>
      <c r="D503" s="39">
        <f>'Yard'!$F$115</f>
        <v>0</v>
      </c>
      <c r="E503" s="38">
        <f>IF(E$497&lt;&gt;0,(($B503*B$497+$C503*C$497+$D503*D$497))/E$497,0)</f>
        <v>0</v>
      </c>
      <c r="F503" s="21">
        <f>0+10*(B503*$B$497+C503*$C$497+D503*$D$497)</f>
        <v>0</v>
      </c>
      <c r="G503" s="38">
        <f>IF($E$497&lt;&gt;0,0.1*F503/$E$497,"")</f>
        <v>0</v>
      </c>
      <c r="H503" s="17"/>
    </row>
    <row r="504" spans="1:8">
      <c r="A504" s="4" t="s">
        <v>455</v>
      </c>
      <c r="B504" s="39">
        <f>'Yard'!$G$73</f>
        <v>0</v>
      </c>
      <c r="C504" s="39">
        <f>'Yard'!$G$95</f>
        <v>0</v>
      </c>
      <c r="D504" s="39">
        <f>'Yard'!$G$115</f>
        <v>0</v>
      </c>
      <c r="E504" s="38">
        <f>IF(E$497&lt;&gt;0,(($B504*B$497+$C504*C$497+$D504*D$497))/E$497,0)</f>
        <v>0</v>
      </c>
      <c r="F504" s="21">
        <f>0+10*(B504*$B$497+C504*$C$497+D504*$D$497)</f>
        <v>0</v>
      </c>
      <c r="G504" s="38">
        <f>IF($E$497&lt;&gt;0,0.1*F504/$E$497,"")</f>
        <v>0</v>
      </c>
      <c r="H504" s="17"/>
    </row>
    <row r="505" spans="1:8">
      <c r="A505" s="4" t="s">
        <v>456</v>
      </c>
      <c r="B505" s="39">
        <f>'Yard'!$H$73</f>
        <v>0</v>
      </c>
      <c r="C505" s="39">
        <f>'Yard'!$H$95</f>
        <v>0</v>
      </c>
      <c r="D505" s="39">
        <f>'Yard'!$H$115</f>
        <v>0</v>
      </c>
      <c r="E505" s="38">
        <f>IF(E$497&lt;&gt;0,(($B505*B$497+$C505*C$497+$D505*D$497))/E$497,0)</f>
        <v>0</v>
      </c>
      <c r="F505" s="21">
        <f>0+10*(B505*$B$497+C505*$C$497+D505*$D$497)</f>
        <v>0</v>
      </c>
      <c r="G505" s="38">
        <f>IF($E$497&lt;&gt;0,0.1*F505/$E$497,"")</f>
        <v>0</v>
      </c>
      <c r="H505" s="17"/>
    </row>
    <row r="506" spans="1:8">
      <c r="A506" s="4" t="s">
        <v>457</v>
      </c>
      <c r="B506" s="39">
        <f>'Yard'!$I$73</f>
        <v>0</v>
      </c>
      <c r="C506" s="39">
        <f>'Yard'!$I$95</f>
        <v>0</v>
      </c>
      <c r="D506" s="39">
        <f>'Yard'!$I$115</f>
        <v>0</v>
      </c>
      <c r="E506" s="38">
        <f>IF(E$497&lt;&gt;0,(($B506*B$497+$C506*C$497+$D506*D$497))/E$497,0)</f>
        <v>0</v>
      </c>
      <c r="F506" s="21">
        <f>0+10*(B506*$B$497+C506*$C$497+D506*$D$497)</f>
        <v>0</v>
      </c>
      <c r="G506" s="38">
        <f>IF($E$497&lt;&gt;0,0.1*F506/$E$497,"")</f>
        <v>0</v>
      </c>
      <c r="H506" s="17"/>
    </row>
    <row r="507" spans="1:8">
      <c r="A507" s="4" t="s">
        <v>458</v>
      </c>
      <c r="B507" s="39">
        <f>'Yard'!$J$73</f>
        <v>0</v>
      </c>
      <c r="C507" s="39">
        <f>'Yard'!$J$95</f>
        <v>0</v>
      </c>
      <c r="D507" s="39">
        <f>'Yard'!$J$115</f>
        <v>0</v>
      </c>
      <c r="E507" s="38">
        <f>IF(E$497&lt;&gt;0,(($B507*B$497+$C507*C$497+$D507*D$497))/E$497,0)</f>
        <v>0</v>
      </c>
      <c r="F507" s="21">
        <f>0+10*(B507*$B$497+C507*$C$497+D507*$D$497)</f>
        <v>0</v>
      </c>
      <c r="G507" s="38">
        <f>IF($E$497&lt;&gt;0,0.1*F507/$E$497,"")</f>
        <v>0</v>
      </c>
      <c r="H507" s="17"/>
    </row>
    <row r="508" spans="1:8">
      <c r="A508" s="4" t="s">
        <v>1638</v>
      </c>
      <c r="B508" s="10"/>
      <c r="C508" s="10"/>
      <c r="D508" s="10"/>
      <c r="E508" s="38">
        <f>IF(E$497&lt;&gt;0,(($B508*B$497+$C508*C$497+$D508*D$497))/E$497,0)</f>
        <v>0</v>
      </c>
      <c r="F508" s="21">
        <f>0+10*(B508*$B$497+C508*$C$497+D508*$D$497)</f>
        <v>0</v>
      </c>
      <c r="G508" s="38">
        <f>IF($E$497&lt;&gt;0,0.1*F508/$E$497,"")</f>
        <v>0</v>
      </c>
      <c r="H508" s="17"/>
    </row>
    <row r="509" spans="1:8">
      <c r="A509" s="4" t="s">
        <v>1640</v>
      </c>
      <c r="B509" s="39">
        <f>'Yard'!$K$73</f>
        <v>0</v>
      </c>
      <c r="C509" s="39">
        <f>'Yard'!$K$95</f>
        <v>0</v>
      </c>
      <c r="D509" s="39">
        <f>'Yard'!$K$115</f>
        <v>0</v>
      </c>
      <c r="E509" s="38">
        <f>IF(E$497&lt;&gt;0,(($B509*B$497+$C509*C$497+$D509*D$497))/E$497,0)</f>
        <v>0</v>
      </c>
      <c r="F509" s="21">
        <f>0+10*(B509*$B$497+C509*$C$497+D509*$D$497)</f>
        <v>0</v>
      </c>
      <c r="G509" s="38">
        <f>IF($E$497&lt;&gt;0,0.1*F509/$E$497,"")</f>
        <v>0</v>
      </c>
      <c r="H509" s="17"/>
    </row>
    <row r="510" spans="1:8">
      <c r="A510" s="4" t="s">
        <v>1641</v>
      </c>
      <c r="B510" s="39">
        <f>'Yard'!$L$73</f>
        <v>0</v>
      </c>
      <c r="C510" s="39">
        <f>'Yard'!$L$95</f>
        <v>0</v>
      </c>
      <c r="D510" s="39">
        <f>'Yard'!$L$115</f>
        <v>0</v>
      </c>
      <c r="E510" s="38">
        <f>IF(E$497&lt;&gt;0,(($B510*B$497+$C510*C$497+$D510*D$497))/E$497,0)</f>
        <v>0</v>
      </c>
      <c r="F510" s="21">
        <f>0+10*(B510*$B$497+C510*$C$497+D510*$D$497)</f>
        <v>0</v>
      </c>
      <c r="G510" s="38">
        <f>IF($E$497&lt;&gt;0,0.1*F510/$E$497,"")</f>
        <v>0</v>
      </c>
      <c r="H510" s="17"/>
    </row>
    <row r="511" spans="1:8">
      <c r="A511" s="4" t="s">
        <v>1642</v>
      </c>
      <c r="B511" s="39">
        <f>'Yard'!$M$73</f>
        <v>0</v>
      </c>
      <c r="C511" s="39">
        <f>'Yard'!$M$95</f>
        <v>0</v>
      </c>
      <c r="D511" s="39">
        <f>'Yard'!$M$115</f>
        <v>0</v>
      </c>
      <c r="E511" s="38">
        <f>IF(E$497&lt;&gt;0,(($B511*B$497+$C511*C$497+$D511*D$497))/E$497,0)</f>
        <v>0</v>
      </c>
      <c r="F511" s="21">
        <f>0+10*(B511*$B$497+C511*$C$497+D511*$D$497)</f>
        <v>0</v>
      </c>
      <c r="G511" s="38">
        <f>IF($E$497&lt;&gt;0,0.1*F511/$E$497,"")</f>
        <v>0</v>
      </c>
      <c r="H511" s="17"/>
    </row>
    <row r="512" spans="1:8">
      <c r="A512" s="4" t="s">
        <v>1643</v>
      </c>
      <c r="B512" s="39">
        <f>'Yard'!$N$73</f>
        <v>0</v>
      </c>
      <c r="C512" s="39">
        <f>'Yard'!$N$95</f>
        <v>0</v>
      </c>
      <c r="D512" s="39">
        <f>'Yard'!$N$115</f>
        <v>0</v>
      </c>
      <c r="E512" s="38">
        <f>IF(E$497&lt;&gt;0,(($B512*B$497+$C512*C$497+$D512*D$497))/E$497,0)</f>
        <v>0</v>
      </c>
      <c r="F512" s="21">
        <f>0+10*(B512*$B$497+C512*$C$497+D512*$D$497)</f>
        <v>0</v>
      </c>
      <c r="G512" s="38">
        <f>IF($E$497&lt;&gt;0,0.1*F512/$E$497,"")</f>
        <v>0</v>
      </c>
      <c r="H512" s="17"/>
    </row>
    <row r="513" spans="1:8">
      <c r="A513" s="4" t="s">
        <v>1644</v>
      </c>
      <c r="B513" s="39">
        <f>'Yard'!$O$73</f>
        <v>0</v>
      </c>
      <c r="C513" s="39">
        <f>'Yard'!$O$95</f>
        <v>0</v>
      </c>
      <c r="D513" s="39">
        <f>'Yard'!$O$115</f>
        <v>0</v>
      </c>
      <c r="E513" s="38">
        <f>IF(E$497&lt;&gt;0,(($B513*B$497+$C513*C$497+$D513*D$497))/E$497,0)</f>
        <v>0</v>
      </c>
      <c r="F513" s="21">
        <f>0+10*(B513*$B$497+C513*$C$497+D513*$D$497)</f>
        <v>0</v>
      </c>
      <c r="G513" s="38">
        <f>IF($E$497&lt;&gt;0,0.1*F513/$E$497,"")</f>
        <v>0</v>
      </c>
      <c r="H513" s="17"/>
    </row>
    <row r="514" spans="1:8">
      <c r="A514" s="4" t="s">
        <v>1645</v>
      </c>
      <c r="B514" s="39">
        <f>'Yard'!$P$73</f>
        <v>0</v>
      </c>
      <c r="C514" s="39">
        <f>'Yard'!$P$95</f>
        <v>0</v>
      </c>
      <c r="D514" s="39">
        <f>'Yard'!$P$115</f>
        <v>0</v>
      </c>
      <c r="E514" s="38">
        <f>IF(E$497&lt;&gt;0,(($B514*B$497+$C514*C$497+$D514*D$497))/E$497,0)</f>
        <v>0</v>
      </c>
      <c r="F514" s="21">
        <f>0+10*(B514*$B$497+C514*$C$497+D514*$D$497)</f>
        <v>0</v>
      </c>
      <c r="G514" s="38">
        <f>IF($E$497&lt;&gt;0,0.1*F514/$E$497,"")</f>
        <v>0</v>
      </c>
      <c r="H514" s="17"/>
    </row>
    <row r="515" spans="1:8">
      <c r="A515" s="4" t="s">
        <v>1646</v>
      </c>
      <c r="B515" s="39">
        <f>'Yard'!$Q$73</f>
        <v>0</v>
      </c>
      <c r="C515" s="39">
        <f>'Yard'!$Q$95</f>
        <v>0</v>
      </c>
      <c r="D515" s="39">
        <f>'Yard'!$Q$115</f>
        <v>0</v>
      </c>
      <c r="E515" s="38">
        <f>IF(E$497&lt;&gt;0,(($B515*B$497+$C515*C$497+$D515*D$497))/E$497,0)</f>
        <v>0</v>
      </c>
      <c r="F515" s="21">
        <f>0+10*(B515*$B$497+C515*$C$497+D515*$D$497)</f>
        <v>0</v>
      </c>
      <c r="G515" s="38">
        <f>IF($E$497&lt;&gt;0,0.1*F515/$E$497,"")</f>
        <v>0</v>
      </c>
      <c r="H515" s="17"/>
    </row>
    <row r="516" spans="1:8">
      <c r="A516" s="4" t="s">
        <v>1647</v>
      </c>
      <c r="B516" s="39">
        <f>'Yard'!$R$73</f>
        <v>0</v>
      </c>
      <c r="C516" s="39">
        <f>'Yard'!$R$95</f>
        <v>0</v>
      </c>
      <c r="D516" s="39">
        <f>'Yard'!$R$115</f>
        <v>0</v>
      </c>
      <c r="E516" s="38">
        <f>IF(E$497&lt;&gt;0,(($B516*B$497+$C516*C$497+$D516*D$497))/E$497,0)</f>
        <v>0</v>
      </c>
      <c r="F516" s="21">
        <f>0+10*(B516*$B$497+C516*$C$497+D516*$D$497)</f>
        <v>0</v>
      </c>
      <c r="G516" s="38">
        <f>IF($E$497&lt;&gt;0,0.1*F516/$E$497,"")</f>
        <v>0</v>
      </c>
      <c r="H516" s="17"/>
    </row>
    <row r="517" spans="1:8">
      <c r="A517" s="4" t="s">
        <v>1648</v>
      </c>
      <c r="B517" s="39">
        <f>'Yard'!$S$73</f>
        <v>0</v>
      </c>
      <c r="C517" s="39">
        <f>'Yard'!$S$95</f>
        <v>0</v>
      </c>
      <c r="D517" s="39">
        <f>'Yard'!$S$115</f>
        <v>0</v>
      </c>
      <c r="E517" s="38">
        <f>IF(E$497&lt;&gt;0,(($B517*B$497+$C517*C$497+$D517*D$497))/E$497,0)</f>
        <v>0</v>
      </c>
      <c r="F517" s="21">
        <f>0+10*(B517*$B$497+C517*$C$497+D517*$D$497)</f>
        <v>0</v>
      </c>
      <c r="G517" s="38">
        <f>IF($E$497&lt;&gt;0,0.1*F517/$E$497,"")</f>
        <v>0</v>
      </c>
      <c r="H517" s="17"/>
    </row>
    <row r="518" spans="1:8">
      <c r="A518" s="4" t="s">
        <v>1649</v>
      </c>
      <c r="B518" s="39">
        <f>'Otex'!$B$157</f>
        <v>0</v>
      </c>
      <c r="C518" s="39">
        <f>'Otex'!$B$157</f>
        <v>0</v>
      </c>
      <c r="D518" s="39">
        <f>'Otex'!$B$157</f>
        <v>0</v>
      </c>
      <c r="E518" s="38">
        <f>IF(E$497&lt;&gt;0,(($B518*B$497+$C518*C$497+$D518*D$497))/E$497,0)</f>
        <v>0</v>
      </c>
      <c r="F518" s="21">
        <f>0+10*(B518*$B$497+C518*$C$497+D518*$D$497)</f>
        <v>0</v>
      </c>
      <c r="G518" s="38">
        <f>IF($E$497&lt;&gt;0,0.1*F518/$E$497,"")</f>
        <v>0</v>
      </c>
      <c r="H518" s="17"/>
    </row>
    <row r="519" spans="1:8">
      <c r="A519" s="4" t="s">
        <v>1651</v>
      </c>
      <c r="B519" s="39">
        <f>'Scaler'!$B$404</f>
        <v>0</v>
      </c>
      <c r="C519" s="39">
        <f>'Scaler'!$C$404</f>
        <v>0</v>
      </c>
      <c r="D519" s="39">
        <f>'Scaler'!$D$404</f>
        <v>0</v>
      </c>
      <c r="E519" s="38">
        <f>IF(E$497&lt;&gt;0,(($B519*B$497+$C519*C$497+$D519*D$497))/E$497,0)</f>
        <v>0</v>
      </c>
      <c r="F519" s="21">
        <f>0+10*(B519*$B$497+C519*$C$497+D519*$D$497)</f>
        <v>0</v>
      </c>
      <c r="G519" s="38">
        <f>IF($E$497&lt;&gt;0,0.1*F519/$E$497,"")</f>
        <v>0</v>
      </c>
      <c r="H519" s="17"/>
    </row>
    <row r="520" spans="1:8">
      <c r="A520" s="4" t="s">
        <v>1652</v>
      </c>
      <c r="B520" s="39">
        <f>'Adjust'!$B$84</f>
        <v>0</v>
      </c>
      <c r="C520" s="39">
        <f>'Adjust'!$C$84</f>
        <v>0</v>
      </c>
      <c r="D520" s="39">
        <f>'Adjust'!$D$84</f>
        <v>0</v>
      </c>
      <c r="E520" s="38">
        <f>IF(E$497&lt;&gt;0,(($B520*B$497+$C520*C$497+$D520*D$497))/E$497,0)</f>
        <v>0</v>
      </c>
      <c r="F520" s="21">
        <f>0+10*(B520*$B$497+C520*$C$497+D520*$D$497)</f>
        <v>0</v>
      </c>
      <c r="G520" s="38">
        <f>IF($E$497&lt;&gt;0,0.1*F520/$E$497,"")</f>
        <v>0</v>
      </c>
      <c r="H520" s="17"/>
    </row>
    <row r="522" spans="1:8">
      <c r="A522" s="4" t="s">
        <v>1653</v>
      </c>
      <c r="B522" s="38">
        <f>SUM($B$500:$B$520)</f>
        <v>0</v>
      </c>
      <c r="C522" s="38">
        <f>SUM($C$500:$C$520)</f>
        <v>0</v>
      </c>
      <c r="D522" s="38">
        <f>SUM($D$500:$D$520)</f>
        <v>0</v>
      </c>
      <c r="E522" s="38">
        <f>SUM(E$500:E$520)</f>
        <v>0</v>
      </c>
      <c r="F522" s="21">
        <f>SUM($F$500:$F$520)</f>
        <v>0</v>
      </c>
      <c r="G522" s="38">
        <f>SUM($G$500:$G$520)</f>
        <v>0</v>
      </c>
    </row>
    <row r="524" spans="1:8" ht="21" customHeight="1">
      <c r="A524" s="1" t="s">
        <v>182</v>
      </c>
    </row>
    <row r="526" spans="1:8">
      <c r="B526" s="15" t="s">
        <v>222</v>
      </c>
      <c r="C526" s="15" t="s">
        <v>225</v>
      </c>
      <c r="D526" s="15" t="s">
        <v>1634</v>
      </c>
      <c r="E526" s="15" t="s">
        <v>1635</v>
      </c>
    </row>
    <row r="527" spans="1:8">
      <c r="A527" s="4" t="s">
        <v>182</v>
      </c>
      <c r="B527" s="44">
        <f>'Loads'!B$296</f>
        <v>0</v>
      </c>
      <c r="C527" s="44">
        <f>'Loads'!E$296</f>
        <v>0</v>
      </c>
      <c r="D527" s="44">
        <f>'Multi'!B$123</f>
        <v>0</v>
      </c>
      <c r="E527" s="38">
        <f>IF(C527,D527/C527,"")</f>
        <v>0</v>
      </c>
      <c r="F527" s="17"/>
    </row>
    <row r="529" spans="1:7">
      <c r="B529" s="15" t="s">
        <v>1466</v>
      </c>
      <c r="C529" s="15" t="s">
        <v>1469</v>
      </c>
      <c r="D529" s="15" t="s">
        <v>1636</v>
      </c>
      <c r="E529" s="15" t="s">
        <v>1606</v>
      </c>
      <c r="F529" s="15" t="s">
        <v>1637</v>
      </c>
    </row>
    <row r="530" spans="1:7">
      <c r="A530" s="4" t="s">
        <v>451</v>
      </c>
      <c r="B530" s="39">
        <f>'Yard'!$C$39</f>
        <v>0</v>
      </c>
      <c r="C530" s="10"/>
      <c r="D530" s="21">
        <f>0.01*'Input'!$F$58*(C530*$C$527)+10*(B530*$B$527)</f>
        <v>0</v>
      </c>
      <c r="E530" s="38">
        <f>IF($D$527&lt;&gt;0,0.1*D530/$D$527,"")</f>
        <v>0</v>
      </c>
      <c r="F530" s="46">
        <f>IF($C$527&lt;&gt;0,D530/$C$527,"")</f>
        <v>0</v>
      </c>
      <c r="G530" s="17"/>
    </row>
    <row r="531" spans="1:7">
      <c r="A531" s="4" t="s">
        <v>452</v>
      </c>
      <c r="B531" s="39">
        <f>'Yard'!$D$39</f>
        <v>0</v>
      </c>
      <c r="C531" s="10"/>
      <c r="D531" s="21">
        <f>0.01*'Input'!$F$58*(C531*$C$527)+10*(B531*$B$527)</f>
        <v>0</v>
      </c>
      <c r="E531" s="38">
        <f>IF($D$527&lt;&gt;0,0.1*D531/$D$527,"")</f>
        <v>0</v>
      </c>
      <c r="F531" s="46">
        <f>IF($C$527&lt;&gt;0,D531/$C$527,"")</f>
        <v>0</v>
      </c>
      <c r="G531" s="17"/>
    </row>
    <row r="532" spans="1:7">
      <c r="A532" s="4" t="s">
        <v>453</v>
      </c>
      <c r="B532" s="39">
        <f>'Yard'!$E$39</f>
        <v>0</v>
      </c>
      <c r="C532" s="10"/>
      <c r="D532" s="21">
        <f>0.01*'Input'!$F$58*(C532*$C$527)+10*(B532*$B$527)</f>
        <v>0</v>
      </c>
      <c r="E532" s="38">
        <f>IF($D$527&lt;&gt;0,0.1*D532/$D$527,"")</f>
        <v>0</v>
      </c>
      <c r="F532" s="46">
        <f>IF($C$527&lt;&gt;0,D532/$C$527,"")</f>
        <v>0</v>
      </c>
      <c r="G532" s="17"/>
    </row>
    <row r="533" spans="1:7">
      <c r="A533" s="4" t="s">
        <v>454</v>
      </c>
      <c r="B533" s="39">
        <f>'Yard'!$F$39</f>
        <v>0</v>
      </c>
      <c r="C533" s="10"/>
      <c r="D533" s="21">
        <f>0.01*'Input'!$F$58*(C533*$C$527)+10*(B533*$B$527)</f>
        <v>0</v>
      </c>
      <c r="E533" s="38">
        <f>IF($D$527&lt;&gt;0,0.1*D533/$D$527,"")</f>
        <v>0</v>
      </c>
      <c r="F533" s="46">
        <f>IF($C$527&lt;&gt;0,D533/$C$527,"")</f>
        <v>0</v>
      </c>
      <c r="G533" s="17"/>
    </row>
    <row r="534" spans="1:7">
      <c r="A534" s="4" t="s">
        <v>455</v>
      </c>
      <c r="B534" s="39">
        <f>'Yard'!$G$39</f>
        <v>0</v>
      </c>
      <c r="C534" s="10"/>
      <c r="D534" s="21">
        <f>0.01*'Input'!$F$58*(C534*$C$527)+10*(B534*$B$527)</f>
        <v>0</v>
      </c>
      <c r="E534" s="38">
        <f>IF($D$527&lt;&gt;0,0.1*D534/$D$527,"")</f>
        <v>0</v>
      </c>
      <c r="F534" s="46">
        <f>IF($C$527&lt;&gt;0,D534/$C$527,"")</f>
        <v>0</v>
      </c>
      <c r="G534" s="17"/>
    </row>
    <row r="535" spans="1:7">
      <c r="A535" s="4" t="s">
        <v>456</v>
      </c>
      <c r="B535" s="39">
        <f>'Yard'!$H$39</f>
        <v>0</v>
      </c>
      <c r="C535" s="10"/>
      <c r="D535" s="21">
        <f>0.01*'Input'!$F$58*(C535*$C$527)+10*(B535*$B$527)</f>
        <v>0</v>
      </c>
      <c r="E535" s="38">
        <f>IF($D$527&lt;&gt;0,0.1*D535/$D$527,"")</f>
        <v>0</v>
      </c>
      <c r="F535" s="46">
        <f>IF($C$527&lt;&gt;0,D535/$C$527,"")</f>
        <v>0</v>
      </c>
      <c r="G535" s="17"/>
    </row>
    <row r="536" spans="1:7">
      <c r="A536" s="4" t="s">
        <v>457</v>
      </c>
      <c r="B536" s="39">
        <f>'Yard'!$I$39</f>
        <v>0</v>
      </c>
      <c r="C536" s="10"/>
      <c r="D536" s="21">
        <f>0.01*'Input'!$F$58*(C536*$C$527)+10*(B536*$B$527)</f>
        <v>0</v>
      </c>
      <c r="E536" s="38">
        <f>IF($D$527&lt;&gt;0,0.1*D536/$D$527,"")</f>
        <v>0</v>
      </c>
      <c r="F536" s="46">
        <f>IF($C$527&lt;&gt;0,D536/$C$527,"")</f>
        <v>0</v>
      </c>
      <c r="G536" s="17"/>
    </row>
    <row r="537" spans="1:7">
      <c r="A537" s="4" t="s">
        <v>458</v>
      </c>
      <c r="B537" s="39">
        <f>'Yard'!$J$39</f>
        <v>0</v>
      </c>
      <c r="C537" s="10"/>
      <c r="D537" s="21">
        <f>0.01*'Input'!$F$58*(C537*$C$527)+10*(B537*$B$527)</f>
        <v>0</v>
      </c>
      <c r="E537" s="38">
        <f>IF($D$527&lt;&gt;0,0.1*D537/$D$527,"")</f>
        <v>0</v>
      </c>
      <c r="F537" s="46">
        <f>IF($C$527&lt;&gt;0,D537/$C$527,"")</f>
        <v>0</v>
      </c>
      <c r="G537" s="17"/>
    </row>
    <row r="538" spans="1:7">
      <c r="A538" s="4" t="s">
        <v>1638</v>
      </c>
      <c r="B538" s="10"/>
      <c r="C538" s="47">
        <f>'SM'!$B$116</f>
        <v>0</v>
      </c>
      <c r="D538" s="21">
        <f>0.01*'Input'!$F$58*(C538*$C$527)+10*(B538*$B$527)</f>
        <v>0</v>
      </c>
      <c r="E538" s="38">
        <f>IF($D$527&lt;&gt;0,0.1*D538/$D$527,"")</f>
        <v>0</v>
      </c>
      <c r="F538" s="46">
        <f>IF($C$527&lt;&gt;0,D538/$C$527,"")</f>
        <v>0</v>
      </c>
      <c r="G538" s="17"/>
    </row>
    <row r="539" spans="1:7">
      <c r="A539" s="4" t="s">
        <v>1639</v>
      </c>
      <c r="B539" s="10"/>
      <c r="C539" s="47">
        <f>'SM'!$C$116</f>
        <v>0</v>
      </c>
      <c r="D539" s="21">
        <f>0.01*'Input'!$F$58*(C539*$C$527)+10*(B539*$B$527)</f>
        <v>0</v>
      </c>
      <c r="E539" s="38">
        <f>IF($D$527&lt;&gt;0,0.1*D539/$D$527,"")</f>
        <v>0</v>
      </c>
      <c r="F539" s="46">
        <f>IF($C$527&lt;&gt;0,D539/$C$527,"")</f>
        <v>0</v>
      </c>
      <c r="G539" s="17"/>
    </row>
    <row r="540" spans="1:7">
      <c r="A540" s="4" t="s">
        <v>1640</v>
      </c>
      <c r="B540" s="39">
        <f>'Yard'!$K$39</f>
        <v>0</v>
      </c>
      <c r="C540" s="10"/>
      <c r="D540" s="21">
        <f>0.01*'Input'!$F$58*(C540*$C$527)+10*(B540*$B$527)</f>
        <v>0</v>
      </c>
      <c r="E540" s="38">
        <f>IF($D$527&lt;&gt;0,0.1*D540/$D$527,"")</f>
        <v>0</v>
      </c>
      <c r="F540" s="46">
        <f>IF($C$527&lt;&gt;0,D540/$C$527,"")</f>
        <v>0</v>
      </c>
      <c r="G540" s="17"/>
    </row>
    <row r="541" spans="1:7">
      <c r="A541" s="4" t="s">
        <v>1641</v>
      </c>
      <c r="B541" s="39">
        <f>'Yard'!$L$39</f>
        <v>0</v>
      </c>
      <c r="C541" s="10"/>
      <c r="D541" s="21">
        <f>0.01*'Input'!$F$58*(C541*$C$527)+10*(B541*$B$527)</f>
        <v>0</v>
      </c>
      <c r="E541" s="38">
        <f>IF($D$527&lt;&gt;0,0.1*D541/$D$527,"")</f>
        <v>0</v>
      </c>
      <c r="F541" s="46">
        <f>IF($C$527&lt;&gt;0,D541/$C$527,"")</f>
        <v>0</v>
      </c>
      <c r="G541" s="17"/>
    </row>
    <row r="542" spans="1:7">
      <c r="A542" s="4" t="s">
        <v>1642</v>
      </c>
      <c r="B542" s="39">
        <f>'Yard'!$M$39</f>
        <v>0</v>
      </c>
      <c r="C542" s="10"/>
      <c r="D542" s="21">
        <f>0.01*'Input'!$F$58*(C542*$C$527)+10*(B542*$B$527)</f>
        <v>0</v>
      </c>
      <c r="E542" s="38">
        <f>IF($D$527&lt;&gt;0,0.1*D542/$D$527,"")</f>
        <v>0</v>
      </c>
      <c r="F542" s="46">
        <f>IF($C$527&lt;&gt;0,D542/$C$527,"")</f>
        <v>0</v>
      </c>
      <c r="G542" s="17"/>
    </row>
    <row r="543" spans="1:7">
      <c r="A543" s="4" t="s">
        <v>1643</v>
      </c>
      <c r="B543" s="39">
        <f>'Yard'!$N$39</f>
        <v>0</v>
      </c>
      <c r="C543" s="10"/>
      <c r="D543" s="21">
        <f>0.01*'Input'!$F$58*(C543*$C$527)+10*(B543*$B$527)</f>
        <v>0</v>
      </c>
      <c r="E543" s="38">
        <f>IF($D$527&lt;&gt;0,0.1*D543/$D$527,"")</f>
        <v>0</v>
      </c>
      <c r="F543" s="46">
        <f>IF($C$527&lt;&gt;0,D543/$C$527,"")</f>
        <v>0</v>
      </c>
      <c r="G543" s="17"/>
    </row>
    <row r="544" spans="1:7">
      <c r="A544" s="4" t="s">
        <v>1644</v>
      </c>
      <c r="B544" s="39">
        <f>'Yard'!$O$39</f>
        <v>0</v>
      </c>
      <c r="C544" s="10"/>
      <c r="D544" s="21">
        <f>0.01*'Input'!$F$58*(C544*$C$527)+10*(B544*$B$527)</f>
        <v>0</v>
      </c>
      <c r="E544" s="38">
        <f>IF($D$527&lt;&gt;0,0.1*D544/$D$527,"")</f>
        <v>0</v>
      </c>
      <c r="F544" s="46">
        <f>IF($C$527&lt;&gt;0,D544/$C$527,"")</f>
        <v>0</v>
      </c>
      <c r="G544" s="17"/>
    </row>
    <row r="545" spans="1:7">
      <c r="A545" s="4" t="s">
        <v>1645</v>
      </c>
      <c r="B545" s="39">
        <f>'Yard'!$P$39</f>
        <v>0</v>
      </c>
      <c r="C545" s="10"/>
      <c r="D545" s="21">
        <f>0.01*'Input'!$F$58*(C545*$C$527)+10*(B545*$B$527)</f>
        <v>0</v>
      </c>
      <c r="E545" s="38">
        <f>IF($D$527&lt;&gt;0,0.1*D545/$D$527,"")</f>
        <v>0</v>
      </c>
      <c r="F545" s="46">
        <f>IF($C$527&lt;&gt;0,D545/$C$527,"")</f>
        <v>0</v>
      </c>
      <c r="G545" s="17"/>
    </row>
    <row r="546" spans="1:7">
      <c r="A546" s="4" t="s">
        <v>1646</v>
      </c>
      <c r="B546" s="39">
        <f>'Yard'!$Q$39</f>
        <v>0</v>
      </c>
      <c r="C546" s="10"/>
      <c r="D546" s="21">
        <f>0.01*'Input'!$F$58*(C546*$C$527)+10*(B546*$B$527)</f>
        <v>0</v>
      </c>
      <c r="E546" s="38">
        <f>IF($D$527&lt;&gt;0,0.1*D546/$D$527,"")</f>
        <v>0</v>
      </c>
      <c r="F546" s="46">
        <f>IF($C$527&lt;&gt;0,D546/$C$527,"")</f>
        <v>0</v>
      </c>
      <c r="G546" s="17"/>
    </row>
    <row r="547" spans="1:7">
      <c r="A547" s="4" t="s">
        <v>1647</v>
      </c>
      <c r="B547" s="39">
        <f>'Yard'!$R$39</f>
        <v>0</v>
      </c>
      <c r="C547" s="10"/>
      <c r="D547" s="21">
        <f>0.01*'Input'!$F$58*(C547*$C$527)+10*(B547*$B$527)</f>
        <v>0</v>
      </c>
      <c r="E547" s="38">
        <f>IF($D$527&lt;&gt;0,0.1*D547/$D$527,"")</f>
        <v>0</v>
      </c>
      <c r="F547" s="46">
        <f>IF($C$527&lt;&gt;0,D547/$C$527,"")</f>
        <v>0</v>
      </c>
      <c r="G547" s="17"/>
    </row>
    <row r="548" spans="1:7">
      <c r="A548" s="4" t="s">
        <v>1648</v>
      </c>
      <c r="B548" s="39">
        <f>'Yard'!$S$39</f>
        <v>0</v>
      </c>
      <c r="C548" s="10"/>
      <c r="D548" s="21">
        <f>0.01*'Input'!$F$58*(C548*$C$527)+10*(B548*$B$527)</f>
        <v>0</v>
      </c>
      <c r="E548" s="38">
        <f>IF($D$527&lt;&gt;0,0.1*D548/$D$527,"")</f>
        <v>0</v>
      </c>
      <c r="F548" s="46">
        <f>IF($C$527&lt;&gt;0,D548/$C$527,"")</f>
        <v>0</v>
      </c>
      <c r="G548" s="17"/>
    </row>
    <row r="549" spans="1:7">
      <c r="A549" s="4" t="s">
        <v>1649</v>
      </c>
      <c r="B549" s="10"/>
      <c r="C549" s="47">
        <f>'Otex'!$B$137</f>
        <v>0</v>
      </c>
      <c r="D549" s="21">
        <f>0.01*'Input'!$F$58*(C549*$C$527)+10*(B549*$B$527)</f>
        <v>0</v>
      </c>
      <c r="E549" s="38">
        <f>IF($D$527&lt;&gt;0,0.1*D549/$D$527,"")</f>
        <v>0</v>
      </c>
      <c r="F549" s="46">
        <f>IF($C$527&lt;&gt;0,D549/$C$527,"")</f>
        <v>0</v>
      </c>
      <c r="G549" s="17"/>
    </row>
    <row r="550" spans="1:7">
      <c r="A550" s="4" t="s">
        <v>1650</v>
      </c>
      <c r="B550" s="10"/>
      <c r="C550" s="47">
        <f>'Otex'!$C$137</f>
        <v>0</v>
      </c>
      <c r="D550" s="21">
        <f>0.01*'Input'!$F$58*(C550*$C$527)+10*(B550*$B$527)</f>
        <v>0</v>
      </c>
      <c r="E550" s="38">
        <f>IF($D$527&lt;&gt;0,0.1*D550/$D$527,"")</f>
        <v>0</v>
      </c>
      <c r="F550" s="46">
        <f>IF($C$527&lt;&gt;0,D550/$C$527,"")</f>
        <v>0</v>
      </c>
      <c r="G550" s="17"/>
    </row>
    <row r="551" spans="1:7">
      <c r="A551" s="4" t="s">
        <v>1651</v>
      </c>
      <c r="B551" s="39">
        <f>'Scaler'!$B$405</f>
        <v>0</v>
      </c>
      <c r="C551" s="47">
        <f>'Scaler'!$E$405</f>
        <v>0</v>
      </c>
      <c r="D551" s="21">
        <f>0.01*'Input'!$F$58*(C551*$C$527)+10*(B551*$B$527)</f>
        <v>0</v>
      </c>
      <c r="E551" s="38">
        <f>IF($D$527&lt;&gt;0,0.1*D551/$D$527,"")</f>
        <v>0</v>
      </c>
      <c r="F551" s="46">
        <f>IF($C$527&lt;&gt;0,D551/$C$527,"")</f>
        <v>0</v>
      </c>
      <c r="G551" s="17"/>
    </row>
    <row r="552" spans="1:7">
      <c r="A552" s="4" t="s">
        <v>1652</v>
      </c>
      <c r="B552" s="39">
        <f>'Adjust'!$B$85</f>
        <v>0</v>
      </c>
      <c r="C552" s="47">
        <f>'Adjust'!$E$85</f>
        <v>0</v>
      </c>
      <c r="D552" s="21">
        <f>0.01*'Input'!$F$58*(C552*$C$527)+10*(B552*$B$527)</f>
        <v>0</v>
      </c>
      <c r="E552" s="38">
        <f>IF($D$527&lt;&gt;0,0.1*D552/$D$527,"")</f>
        <v>0</v>
      </c>
      <c r="F552" s="46">
        <f>IF($C$527&lt;&gt;0,D552/$C$527,"")</f>
        <v>0</v>
      </c>
      <c r="G552" s="17"/>
    </row>
    <row r="554" spans="1:7">
      <c r="A554" s="4" t="s">
        <v>1653</v>
      </c>
      <c r="B554" s="38">
        <f>SUM($B$530:$B$552)</f>
        <v>0</v>
      </c>
      <c r="C554" s="46">
        <f>SUM($C$530:$C$552)</f>
        <v>0</v>
      </c>
      <c r="D554" s="21">
        <f>SUM($D$530:$D$552)</f>
        <v>0</v>
      </c>
      <c r="E554" s="38">
        <f>SUM($E$530:$E$552)</f>
        <v>0</v>
      </c>
      <c r="F554" s="46">
        <f>SUM($F$530:$F$552)</f>
        <v>0</v>
      </c>
    </row>
    <row r="556" spans="1:7" ht="21" customHeight="1">
      <c r="A556" s="1" t="s">
        <v>183</v>
      </c>
    </row>
    <row r="558" spans="1:7">
      <c r="B558" s="15" t="s">
        <v>222</v>
      </c>
      <c r="C558" s="15" t="s">
        <v>225</v>
      </c>
      <c r="D558" s="15" t="s">
        <v>1634</v>
      </c>
      <c r="E558" s="15" t="s">
        <v>1635</v>
      </c>
    </row>
    <row r="559" spans="1:7">
      <c r="A559" s="4" t="s">
        <v>183</v>
      </c>
      <c r="B559" s="44">
        <f>'Loads'!B$297</f>
        <v>0</v>
      </c>
      <c r="C559" s="44">
        <f>'Loads'!E$297</f>
        <v>0</v>
      </c>
      <c r="D559" s="44">
        <f>'Multi'!B$124</f>
        <v>0</v>
      </c>
      <c r="E559" s="38">
        <f>IF(C559,D559/C559,"")</f>
        <v>0</v>
      </c>
      <c r="F559" s="17"/>
    </row>
    <row r="561" spans="1:7">
      <c r="B561" s="15" t="s">
        <v>1466</v>
      </c>
      <c r="C561" s="15" t="s">
        <v>1469</v>
      </c>
      <c r="D561" s="15" t="s">
        <v>1636</v>
      </c>
      <c r="E561" s="15" t="s">
        <v>1606</v>
      </c>
      <c r="F561" s="15" t="s">
        <v>1637</v>
      </c>
    </row>
    <row r="562" spans="1:7">
      <c r="A562" s="4" t="s">
        <v>451</v>
      </c>
      <c r="B562" s="39">
        <f>'Yard'!$C$40</f>
        <v>0</v>
      </c>
      <c r="C562" s="10"/>
      <c r="D562" s="21">
        <f>0.01*'Input'!$F$58*(C562*$C$559)+10*(B562*$B$559)</f>
        <v>0</v>
      </c>
      <c r="E562" s="38">
        <f>IF($D$559&lt;&gt;0,0.1*D562/$D$559,"")</f>
        <v>0</v>
      </c>
      <c r="F562" s="46">
        <f>IF($C$559&lt;&gt;0,D562/$C$559,"")</f>
        <v>0</v>
      </c>
      <c r="G562" s="17"/>
    </row>
    <row r="563" spans="1:7">
      <c r="A563" s="4" t="s">
        <v>452</v>
      </c>
      <c r="B563" s="39">
        <f>'Yard'!$D$40</f>
        <v>0</v>
      </c>
      <c r="C563" s="10"/>
      <c r="D563" s="21">
        <f>0.01*'Input'!$F$58*(C563*$C$559)+10*(B563*$B$559)</f>
        <v>0</v>
      </c>
      <c r="E563" s="38">
        <f>IF($D$559&lt;&gt;0,0.1*D563/$D$559,"")</f>
        <v>0</v>
      </c>
      <c r="F563" s="46">
        <f>IF($C$559&lt;&gt;0,D563/$C$559,"")</f>
        <v>0</v>
      </c>
      <c r="G563" s="17"/>
    </row>
    <row r="564" spans="1:7">
      <c r="A564" s="4" t="s">
        <v>453</v>
      </c>
      <c r="B564" s="39">
        <f>'Yard'!$E$40</f>
        <v>0</v>
      </c>
      <c r="C564" s="10"/>
      <c r="D564" s="21">
        <f>0.01*'Input'!$F$58*(C564*$C$559)+10*(B564*$B$559)</f>
        <v>0</v>
      </c>
      <c r="E564" s="38">
        <f>IF($D$559&lt;&gt;0,0.1*D564/$D$559,"")</f>
        <v>0</v>
      </c>
      <c r="F564" s="46">
        <f>IF($C$559&lt;&gt;0,D564/$C$559,"")</f>
        <v>0</v>
      </c>
      <c r="G564" s="17"/>
    </row>
    <row r="565" spans="1:7">
      <c r="A565" s="4" t="s">
        <v>454</v>
      </c>
      <c r="B565" s="39">
        <f>'Yard'!$F$40</f>
        <v>0</v>
      </c>
      <c r="C565" s="10"/>
      <c r="D565" s="21">
        <f>0.01*'Input'!$F$58*(C565*$C$559)+10*(B565*$B$559)</f>
        <v>0</v>
      </c>
      <c r="E565" s="38">
        <f>IF($D$559&lt;&gt;0,0.1*D565/$D$559,"")</f>
        <v>0</v>
      </c>
      <c r="F565" s="46">
        <f>IF($C$559&lt;&gt;0,D565/$C$559,"")</f>
        <v>0</v>
      </c>
      <c r="G565" s="17"/>
    </row>
    <row r="566" spans="1:7">
      <c r="A566" s="4" t="s">
        <v>455</v>
      </c>
      <c r="B566" s="39">
        <f>'Yard'!$G$40</f>
        <v>0</v>
      </c>
      <c r="C566" s="10"/>
      <c r="D566" s="21">
        <f>0.01*'Input'!$F$58*(C566*$C$559)+10*(B566*$B$559)</f>
        <v>0</v>
      </c>
      <c r="E566" s="38">
        <f>IF($D$559&lt;&gt;0,0.1*D566/$D$559,"")</f>
        <v>0</v>
      </c>
      <c r="F566" s="46">
        <f>IF($C$559&lt;&gt;0,D566/$C$559,"")</f>
        <v>0</v>
      </c>
      <c r="G566" s="17"/>
    </row>
    <row r="567" spans="1:7">
      <c r="A567" s="4" t="s">
        <v>456</v>
      </c>
      <c r="B567" s="39">
        <f>'Yard'!$H$40</f>
        <v>0</v>
      </c>
      <c r="C567" s="10"/>
      <c r="D567" s="21">
        <f>0.01*'Input'!$F$58*(C567*$C$559)+10*(B567*$B$559)</f>
        <v>0</v>
      </c>
      <c r="E567" s="38">
        <f>IF($D$559&lt;&gt;0,0.1*D567/$D$559,"")</f>
        <v>0</v>
      </c>
      <c r="F567" s="46">
        <f>IF($C$559&lt;&gt;0,D567/$C$559,"")</f>
        <v>0</v>
      </c>
      <c r="G567" s="17"/>
    </row>
    <row r="568" spans="1:7">
      <c r="A568" s="4" t="s">
        <v>457</v>
      </c>
      <c r="B568" s="39">
        <f>'Yard'!$I$40</f>
        <v>0</v>
      </c>
      <c r="C568" s="10"/>
      <c r="D568" s="21">
        <f>0.01*'Input'!$F$58*(C568*$C$559)+10*(B568*$B$559)</f>
        <v>0</v>
      </c>
      <c r="E568" s="38">
        <f>IF($D$559&lt;&gt;0,0.1*D568/$D$559,"")</f>
        <v>0</v>
      </c>
      <c r="F568" s="46">
        <f>IF($C$559&lt;&gt;0,D568/$C$559,"")</f>
        <v>0</v>
      </c>
      <c r="G568" s="17"/>
    </row>
    <row r="569" spans="1:7">
      <c r="A569" s="4" t="s">
        <v>458</v>
      </c>
      <c r="B569" s="39">
        <f>'Yard'!$J$40</f>
        <v>0</v>
      </c>
      <c r="C569" s="10"/>
      <c r="D569" s="21">
        <f>0.01*'Input'!$F$58*(C569*$C$559)+10*(B569*$B$559)</f>
        <v>0</v>
      </c>
      <c r="E569" s="38">
        <f>IF($D$559&lt;&gt;0,0.1*D569/$D$559,"")</f>
        <v>0</v>
      </c>
      <c r="F569" s="46">
        <f>IF($C$559&lt;&gt;0,D569/$C$559,"")</f>
        <v>0</v>
      </c>
      <c r="G569" s="17"/>
    </row>
    <row r="570" spans="1:7">
      <c r="A570" s="4" t="s">
        <v>1638</v>
      </c>
      <c r="B570" s="10"/>
      <c r="C570" s="47">
        <f>'SM'!$B$117</f>
        <v>0</v>
      </c>
      <c r="D570" s="21">
        <f>0.01*'Input'!$F$58*(C570*$C$559)+10*(B570*$B$559)</f>
        <v>0</v>
      </c>
      <c r="E570" s="38">
        <f>IF($D$559&lt;&gt;0,0.1*D570/$D$559,"")</f>
        <v>0</v>
      </c>
      <c r="F570" s="46">
        <f>IF($C$559&lt;&gt;0,D570/$C$559,"")</f>
        <v>0</v>
      </c>
      <c r="G570" s="17"/>
    </row>
    <row r="571" spans="1:7">
      <c r="A571" s="4" t="s">
        <v>1639</v>
      </c>
      <c r="B571" s="10"/>
      <c r="C571" s="47">
        <f>'SM'!$C$117</f>
        <v>0</v>
      </c>
      <c r="D571" s="21">
        <f>0.01*'Input'!$F$58*(C571*$C$559)+10*(B571*$B$559)</f>
        <v>0</v>
      </c>
      <c r="E571" s="38">
        <f>IF($D$559&lt;&gt;0,0.1*D571/$D$559,"")</f>
        <v>0</v>
      </c>
      <c r="F571" s="46">
        <f>IF($C$559&lt;&gt;0,D571/$C$559,"")</f>
        <v>0</v>
      </c>
      <c r="G571" s="17"/>
    </row>
    <row r="572" spans="1:7">
      <c r="A572" s="4" t="s">
        <v>1640</v>
      </c>
      <c r="B572" s="39">
        <f>'Yard'!$K$40</f>
        <v>0</v>
      </c>
      <c r="C572" s="10"/>
      <c r="D572" s="21">
        <f>0.01*'Input'!$F$58*(C572*$C$559)+10*(B572*$B$559)</f>
        <v>0</v>
      </c>
      <c r="E572" s="38">
        <f>IF($D$559&lt;&gt;0,0.1*D572/$D$559,"")</f>
        <v>0</v>
      </c>
      <c r="F572" s="46">
        <f>IF($C$559&lt;&gt;0,D572/$C$559,"")</f>
        <v>0</v>
      </c>
      <c r="G572" s="17"/>
    </row>
    <row r="573" spans="1:7">
      <c r="A573" s="4" t="s">
        <v>1641</v>
      </c>
      <c r="B573" s="39">
        <f>'Yard'!$L$40</f>
        <v>0</v>
      </c>
      <c r="C573" s="10"/>
      <c r="D573" s="21">
        <f>0.01*'Input'!$F$58*(C573*$C$559)+10*(B573*$B$559)</f>
        <v>0</v>
      </c>
      <c r="E573" s="38">
        <f>IF($D$559&lt;&gt;0,0.1*D573/$D$559,"")</f>
        <v>0</v>
      </c>
      <c r="F573" s="46">
        <f>IF($C$559&lt;&gt;0,D573/$C$559,"")</f>
        <v>0</v>
      </c>
      <c r="G573" s="17"/>
    </row>
    <row r="574" spans="1:7">
      <c r="A574" s="4" t="s">
        <v>1642</v>
      </c>
      <c r="B574" s="39">
        <f>'Yard'!$M$40</f>
        <v>0</v>
      </c>
      <c r="C574" s="10"/>
      <c r="D574" s="21">
        <f>0.01*'Input'!$F$58*(C574*$C$559)+10*(B574*$B$559)</f>
        <v>0</v>
      </c>
      <c r="E574" s="38">
        <f>IF($D$559&lt;&gt;0,0.1*D574/$D$559,"")</f>
        <v>0</v>
      </c>
      <c r="F574" s="46">
        <f>IF($C$559&lt;&gt;0,D574/$C$559,"")</f>
        <v>0</v>
      </c>
      <c r="G574" s="17"/>
    </row>
    <row r="575" spans="1:7">
      <c r="A575" s="4" t="s">
        <v>1643</v>
      </c>
      <c r="B575" s="39">
        <f>'Yard'!$N$40</f>
        <v>0</v>
      </c>
      <c r="C575" s="10"/>
      <c r="D575" s="21">
        <f>0.01*'Input'!$F$58*(C575*$C$559)+10*(B575*$B$559)</f>
        <v>0</v>
      </c>
      <c r="E575" s="38">
        <f>IF($D$559&lt;&gt;0,0.1*D575/$D$559,"")</f>
        <v>0</v>
      </c>
      <c r="F575" s="46">
        <f>IF($C$559&lt;&gt;0,D575/$C$559,"")</f>
        <v>0</v>
      </c>
      <c r="G575" s="17"/>
    </row>
    <row r="576" spans="1:7">
      <c r="A576" s="4" t="s">
        <v>1644</v>
      </c>
      <c r="B576" s="39">
        <f>'Yard'!$O$40</f>
        <v>0</v>
      </c>
      <c r="C576" s="10"/>
      <c r="D576" s="21">
        <f>0.01*'Input'!$F$58*(C576*$C$559)+10*(B576*$B$559)</f>
        <v>0</v>
      </c>
      <c r="E576" s="38">
        <f>IF($D$559&lt;&gt;0,0.1*D576/$D$559,"")</f>
        <v>0</v>
      </c>
      <c r="F576" s="46">
        <f>IF($C$559&lt;&gt;0,D576/$C$559,"")</f>
        <v>0</v>
      </c>
      <c r="G576" s="17"/>
    </row>
    <row r="577" spans="1:7">
      <c r="A577" s="4" t="s">
        <v>1645</v>
      </c>
      <c r="B577" s="39">
        <f>'Yard'!$P$40</f>
        <v>0</v>
      </c>
      <c r="C577" s="10"/>
      <c r="D577" s="21">
        <f>0.01*'Input'!$F$58*(C577*$C$559)+10*(B577*$B$559)</f>
        <v>0</v>
      </c>
      <c r="E577" s="38">
        <f>IF($D$559&lt;&gt;0,0.1*D577/$D$559,"")</f>
        <v>0</v>
      </c>
      <c r="F577" s="46">
        <f>IF($C$559&lt;&gt;0,D577/$C$559,"")</f>
        <v>0</v>
      </c>
      <c r="G577" s="17"/>
    </row>
    <row r="578" spans="1:7">
      <c r="A578" s="4" t="s">
        <v>1646</v>
      </c>
      <c r="B578" s="39">
        <f>'Yard'!$Q$40</f>
        <v>0</v>
      </c>
      <c r="C578" s="10"/>
      <c r="D578" s="21">
        <f>0.01*'Input'!$F$58*(C578*$C$559)+10*(B578*$B$559)</f>
        <v>0</v>
      </c>
      <c r="E578" s="38">
        <f>IF($D$559&lt;&gt;0,0.1*D578/$D$559,"")</f>
        <v>0</v>
      </c>
      <c r="F578" s="46">
        <f>IF($C$559&lt;&gt;0,D578/$C$559,"")</f>
        <v>0</v>
      </c>
      <c r="G578" s="17"/>
    </row>
    <row r="579" spans="1:7">
      <c r="A579" s="4" t="s">
        <v>1647</v>
      </c>
      <c r="B579" s="39">
        <f>'Yard'!$R$40</f>
        <v>0</v>
      </c>
      <c r="C579" s="10"/>
      <c r="D579" s="21">
        <f>0.01*'Input'!$F$58*(C579*$C$559)+10*(B579*$B$559)</f>
        <v>0</v>
      </c>
      <c r="E579" s="38">
        <f>IF($D$559&lt;&gt;0,0.1*D579/$D$559,"")</f>
        <v>0</v>
      </c>
      <c r="F579" s="46">
        <f>IF($C$559&lt;&gt;0,D579/$C$559,"")</f>
        <v>0</v>
      </c>
      <c r="G579" s="17"/>
    </row>
    <row r="580" spans="1:7">
      <c r="A580" s="4" t="s">
        <v>1648</v>
      </c>
      <c r="B580" s="39">
        <f>'Yard'!$S$40</f>
        <v>0</v>
      </c>
      <c r="C580" s="10"/>
      <c r="D580" s="21">
        <f>0.01*'Input'!$F$58*(C580*$C$559)+10*(B580*$B$559)</f>
        <v>0</v>
      </c>
      <c r="E580" s="38">
        <f>IF($D$559&lt;&gt;0,0.1*D580/$D$559,"")</f>
        <v>0</v>
      </c>
      <c r="F580" s="46">
        <f>IF($C$559&lt;&gt;0,D580/$C$559,"")</f>
        <v>0</v>
      </c>
      <c r="G580" s="17"/>
    </row>
    <row r="581" spans="1:7">
      <c r="A581" s="4" t="s">
        <v>1649</v>
      </c>
      <c r="B581" s="10"/>
      <c r="C581" s="47">
        <f>'Otex'!$B$138</f>
        <v>0</v>
      </c>
      <c r="D581" s="21">
        <f>0.01*'Input'!$F$58*(C581*$C$559)+10*(B581*$B$559)</f>
        <v>0</v>
      </c>
      <c r="E581" s="38">
        <f>IF($D$559&lt;&gt;0,0.1*D581/$D$559,"")</f>
        <v>0</v>
      </c>
      <c r="F581" s="46">
        <f>IF($C$559&lt;&gt;0,D581/$C$559,"")</f>
        <v>0</v>
      </c>
      <c r="G581" s="17"/>
    </row>
    <row r="582" spans="1:7">
      <c r="A582" s="4" t="s">
        <v>1650</v>
      </c>
      <c r="B582" s="10"/>
      <c r="C582" s="47">
        <f>'Otex'!$C$138</f>
        <v>0</v>
      </c>
      <c r="D582" s="21">
        <f>0.01*'Input'!$F$58*(C582*$C$559)+10*(B582*$B$559)</f>
        <v>0</v>
      </c>
      <c r="E582" s="38">
        <f>IF($D$559&lt;&gt;0,0.1*D582/$D$559,"")</f>
        <v>0</v>
      </c>
      <c r="F582" s="46">
        <f>IF($C$559&lt;&gt;0,D582/$C$559,"")</f>
        <v>0</v>
      </c>
      <c r="G582" s="17"/>
    </row>
    <row r="583" spans="1:7">
      <c r="A583" s="4" t="s">
        <v>1651</v>
      </c>
      <c r="B583" s="39">
        <f>'Scaler'!$B$406</f>
        <v>0</v>
      </c>
      <c r="C583" s="47">
        <f>'Scaler'!$E$406</f>
        <v>0</v>
      </c>
      <c r="D583" s="21">
        <f>0.01*'Input'!$F$58*(C583*$C$559)+10*(B583*$B$559)</f>
        <v>0</v>
      </c>
      <c r="E583" s="38">
        <f>IF($D$559&lt;&gt;0,0.1*D583/$D$559,"")</f>
        <v>0</v>
      </c>
      <c r="F583" s="46">
        <f>IF($C$559&lt;&gt;0,D583/$C$559,"")</f>
        <v>0</v>
      </c>
      <c r="G583" s="17"/>
    </row>
    <row r="584" spans="1:7">
      <c r="A584" s="4" t="s">
        <v>1652</v>
      </c>
      <c r="B584" s="39">
        <f>'Adjust'!$B$86</f>
        <v>0</v>
      </c>
      <c r="C584" s="47">
        <f>'Adjust'!$E$86</f>
        <v>0</v>
      </c>
      <c r="D584" s="21">
        <f>0.01*'Input'!$F$58*(C584*$C$559)+10*(B584*$B$559)</f>
        <v>0</v>
      </c>
      <c r="E584" s="38">
        <f>IF($D$559&lt;&gt;0,0.1*D584/$D$559,"")</f>
        <v>0</v>
      </c>
      <c r="F584" s="46">
        <f>IF($C$559&lt;&gt;0,D584/$C$559,"")</f>
        <v>0</v>
      </c>
      <c r="G584" s="17"/>
    </row>
    <row r="586" spans="1:7">
      <c r="A586" s="4" t="s">
        <v>1653</v>
      </c>
      <c r="B586" s="38">
        <f>SUM($B$562:$B$584)</f>
        <v>0</v>
      </c>
      <c r="C586" s="46">
        <f>SUM($C$562:$C$584)</f>
        <v>0</v>
      </c>
      <c r="D586" s="21">
        <f>SUM($D$562:$D$584)</f>
        <v>0</v>
      </c>
      <c r="E586" s="38">
        <f>SUM($E$562:$E$584)</f>
        <v>0</v>
      </c>
      <c r="F586" s="46">
        <f>SUM($F$562:$F$584)</f>
        <v>0</v>
      </c>
    </row>
    <row r="588" spans="1:7" ht="21" customHeight="1">
      <c r="A588" s="1" t="s">
        <v>184</v>
      </c>
    </row>
    <row r="590" spans="1:7">
      <c r="B590" s="15" t="s">
        <v>222</v>
      </c>
      <c r="C590" s="15" t="s">
        <v>225</v>
      </c>
      <c r="D590" s="15" t="s">
        <v>227</v>
      </c>
      <c r="E590" s="15" t="s">
        <v>1634</v>
      </c>
      <c r="F590" s="15" t="s">
        <v>1635</v>
      </c>
    </row>
    <row r="591" spans="1:7">
      <c r="A591" s="4" t="s">
        <v>184</v>
      </c>
      <c r="B591" s="44">
        <f>'Loads'!B$298</f>
        <v>0</v>
      </c>
      <c r="C591" s="44">
        <f>'Loads'!E$298</f>
        <v>0</v>
      </c>
      <c r="D591" s="44">
        <f>'Loads'!G$298</f>
        <v>0</v>
      </c>
      <c r="E591" s="44">
        <f>'Multi'!B$125</f>
        <v>0</v>
      </c>
      <c r="F591" s="38">
        <f>IF(C591,E591/C591,"")</f>
        <v>0</v>
      </c>
      <c r="G591" s="17"/>
    </row>
    <row r="593" spans="1:8">
      <c r="B593" s="15" t="s">
        <v>1466</v>
      </c>
      <c r="C593" s="15" t="s">
        <v>1469</v>
      </c>
      <c r="D593" s="15" t="s">
        <v>1099</v>
      </c>
      <c r="E593" s="15" t="s">
        <v>1636</v>
      </c>
      <c r="F593" s="15" t="s">
        <v>1606</v>
      </c>
      <c r="G593" s="15" t="s">
        <v>1637</v>
      </c>
    </row>
    <row r="594" spans="1:8">
      <c r="A594" s="4" t="s">
        <v>451</v>
      </c>
      <c r="B594" s="39">
        <f>'Yard'!$C$41</f>
        <v>0</v>
      </c>
      <c r="C594" s="10"/>
      <c r="D594" s="39">
        <f>'Reactive'!$C$77</f>
        <v>0</v>
      </c>
      <c r="E594" s="21">
        <f>0.01*'Input'!$F$58*(C594*$C$591)+10*(B594*$B$591+D594*$D$591)</f>
        <v>0</v>
      </c>
      <c r="F594" s="38">
        <f>IF($E$591&lt;&gt;0,0.1*E594/$E$591,"")</f>
        <v>0</v>
      </c>
      <c r="G594" s="46">
        <f>IF($C$591&lt;&gt;0,E594/$C$591,"")</f>
        <v>0</v>
      </c>
      <c r="H594" s="17"/>
    </row>
    <row r="595" spans="1:8">
      <c r="A595" s="4" t="s">
        <v>452</v>
      </c>
      <c r="B595" s="39">
        <f>'Yard'!$D$41</f>
        <v>0</v>
      </c>
      <c r="C595" s="10"/>
      <c r="D595" s="39">
        <f>'Reactive'!$D$77</f>
        <v>0</v>
      </c>
      <c r="E595" s="21">
        <f>0.01*'Input'!$F$58*(C595*$C$591)+10*(B595*$B$591+D595*$D$591)</f>
        <v>0</v>
      </c>
      <c r="F595" s="38">
        <f>IF($E$591&lt;&gt;0,0.1*E595/$E$591,"")</f>
        <v>0</v>
      </c>
      <c r="G595" s="46">
        <f>IF($C$591&lt;&gt;0,E595/$C$591,"")</f>
        <v>0</v>
      </c>
      <c r="H595" s="17"/>
    </row>
    <row r="596" spans="1:8">
      <c r="A596" s="4" t="s">
        <v>453</v>
      </c>
      <c r="B596" s="39">
        <f>'Yard'!$E$41</f>
        <v>0</v>
      </c>
      <c r="C596" s="10"/>
      <c r="D596" s="39">
        <f>'Reactive'!$E$77</f>
        <v>0</v>
      </c>
      <c r="E596" s="21">
        <f>0.01*'Input'!$F$58*(C596*$C$591)+10*(B596*$B$591+D596*$D$591)</f>
        <v>0</v>
      </c>
      <c r="F596" s="38">
        <f>IF($E$591&lt;&gt;0,0.1*E596/$E$591,"")</f>
        <v>0</v>
      </c>
      <c r="G596" s="46">
        <f>IF($C$591&lt;&gt;0,E596/$C$591,"")</f>
        <v>0</v>
      </c>
      <c r="H596" s="17"/>
    </row>
    <row r="597" spans="1:8">
      <c r="A597" s="4" t="s">
        <v>454</v>
      </c>
      <c r="B597" s="39">
        <f>'Yard'!$F$41</f>
        <v>0</v>
      </c>
      <c r="C597" s="10"/>
      <c r="D597" s="39">
        <f>'Reactive'!$F$77</f>
        <v>0</v>
      </c>
      <c r="E597" s="21">
        <f>0.01*'Input'!$F$58*(C597*$C$591)+10*(B597*$B$591+D597*$D$591)</f>
        <v>0</v>
      </c>
      <c r="F597" s="38">
        <f>IF($E$591&lt;&gt;0,0.1*E597/$E$591,"")</f>
        <v>0</v>
      </c>
      <c r="G597" s="46">
        <f>IF($C$591&lt;&gt;0,E597/$C$591,"")</f>
        <v>0</v>
      </c>
      <c r="H597" s="17"/>
    </row>
    <row r="598" spans="1:8">
      <c r="A598" s="4" t="s">
        <v>455</v>
      </c>
      <c r="B598" s="39">
        <f>'Yard'!$G$41</f>
        <v>0</v>
      </c>
      <c r="C598" s="10"/>
      <c r="D598" s="39">
        <f>'Reactive'!$G$77</f>
        <v>0</v>
      </c>
      <c r="E598" s="21">
        <f>0.01*'Input'!$F$58*(C598*$C$591)+10*(B598*$B$591+D598*$D$591)</f>
        <v>0</v>
      </c>
      <c r="F598" s="38">
        <f>IF($E$591&lt;&gt;0,0.1*E598/$E$591,"")</f>
        <v>0</v>
      </c>
      <c r="G598" s="46">
        <f>IF($C$591&lt;&gt;0,E598/$C$591,"")</f>
        <v>0</v>
      </c>
      <c r="H598" s="17"/>
    </row>
    <row r="599" spans="1:8">
      <c r="A599" s="4" t="s">
        <v>456</v>
      </c>
      <c r="B599" s="39">
        <f>'Yard'!$H$41</f>
        <v>0</v>
      </c>
      <c r="C599" s="10"/>
      <c r="D599" s="39">
        <f>'Reactive'!$H$77</f>
        <v>0</v>
      </c>
      <c r="E599" s="21">
        <f>0.01*'Input'!$F$58*(C599*$C$591)+10*(B599*$B$591+D599*$D$591)</f>
        <v>0</v>
      </c>
      <c r="F599" s="38">
        <f>IF($E$591&lt;&gt;0,0.1*E599/$E$591,"")</f>
        <v>0</v>
      </c>
      <c r="G599" s="46">
        <f>IF($C$591&lt;&gt;0,E599/$C$591,"")</f>
        <v>0</v>
      </c>
      <c r="H599" s="17"/>
    </row>
    <row r="600" spans="1:8">
      <c r="A600" s="4" t="s">
        <v>457</v>
      </c>
      <c r="B600" s="39">
        <f>'Yard'!$I$41</f>
        <v>0</v>
      </c>
      <c r="C600" s="10"/>
      <c r="D600" s="39">
        <f>'Reactive'!$I$77</f>
        <v>0</v>
      </c>
      <c r="E600" s="21">
        <f>0.01*'Input'!$F$58*(C600*$C$591)+10*(B600*$B$591+D600*$D$591)</f>
        <v>0</v>
      </c>
      <c r="F600" s="38">
        <f>IF($E$591&lt;&gt;0,0.1*E600/$E$591,"")</f>
        <v>0</v>
      </c>
      <c r="G600" s="46">
        <f>IF($C$591&lt;&gt;0,E600/$C$591,"")</f>
        <v>0</v>
      </c>
      <c r="H600" s="17"/>
    </row>
    <row r="601" spans="1:8">
      <c r="A601" s="4" t="s">
        <v>458</v>
      </c>
      <c r="B601" s="39">
        <f>'Yard'!$J$41</f>
        <v>0</v>
      </c>
      <c r="C601" s="10"/>
      <c r="D601" s="39">
        <f>'Reactive'!$J$77</f>
        <v>0</v>
      </c>
      <c r="E601" s="21">
        <f>0.01*'Input'!$F$58*(C601*$C$591)+10*(B601*$B$591+D601*$D$591)</f>
        <v>0</v>
      </c>
      <c r="F601" s="38">
        <f>IF($E$591&lt;&gt;0,0.1*E601/$E$591,"")</f>
        <v>0</v>
      </c>
      <c r="G601" s="46">
        <f>IF($C$591&lt;&gt;0,E601/$C$591,"")</f>
        <v>0</v>
      </c>
      <c r="H601" s="17"/>
    </row>
    <row r="602" spans="1:8">
      <c r="A602" s="4" t="s">
        <v>1638</v>
      </c>
      <c r="B602" s="10"/>
      <c r="C602" s="47">
        <f>'SM'!$B$118</f>
        <v>0</v>
      </c>
      <c r="D602" s="10"/>
      <c r="E602" s="21">
        <f>0.01*'Input'!$F$58*(C602*$C$591)+10*(B602*$B$591+D602*$D$591)</f>
        <v>0</v>
      </c>
      <c r="F602" s="38">
        <f>IF($E$591&lt;&gt;0,0.1*E602/$E$591,"")</f>
        <v>0</v>
      </c>
      <c r="G602" s="46">
        <f>IF($C$591&lt;&gt;0,E602/$C$591,"")</f>
        <v>0</v>
      </c>
      <c r="H602" s="17"/>
    </row>
    <row r="603" spans="1:8">
      <c r="A603" s="4" t="s">
        <v>1639</v>
      </c>
      <c r="B603" s="10"/>
      <c r="C603" s="47">
        <f>'SM'!$C$118</f>
        <v>0</v>
      </c>
      <c r="D603" s="10"/>
      <c r="E603" s="21">
        <f>0.01*'Input'!$F$58*(C603*$C$591)+10*(B603*$B$591+D603*$D$591)</f>
        <v>0</v>
      </c>
      <c r="F603" s="38">
        <f>IF($E$591&lt;&gt;0,0.1*E603/$E$591,"")</f>
        <v>0</v>
      </c>
      <c r="G603" s="46">
        <f>IF($C$591&lt;&gt;0,E603/$C$591,"")</f>
        <v>0</v>
      </c>
      <c r="H603" s="17"/>
    </row>
    <row r="604" spans="1:8">
      <c r="A604" s="4" t="s">
        <v>1640</v>
      </c>
      <c r="B604" s="39">
        <f>'Yard'!$K$41</f>
        <v>0</v>
      </c>
      <c r="C604" s="10"/>
      <c r="D604" s="39">
        <f>'Reactive'!$K$77</f>
        <v>0</v>
      </c>
      <c r="E604" s="21">
        <f>0.01*'Input'!$F$58*(C604*$C$591)+10*(B604*$B$591+D604*$D$591)</f>
        <v>0</v>
      </c>
      <c r="F604" s="38">
        <f>IF($E$591&lt;&gt;0,0.1*E604/$E$591,"")</f>
        <v>0</v>
      </c>
      <c r="G604" s="46">
        <f>IF($C$591&lt;&gt;0,E604/$C$591,"")</f>
        <v>0</v>
      </c>
      <c r="H604" s="17"/>
    </row>
    <row r="605" spans="1:8">
      <c r="A605" s="4" t="s">
        <v>1641</v>
      </c>
      <c r="B605" s="39">
        <f>'Yard'!$L$41</f>
        <v>0</v>
      </c>
      <c r="C605" s="10"/>
      <c r="D605" s="39">
        <f>'Reactive'!$L$77</f>
        <v>0</v>
      </c>
      <c r="E605" s="21">
        <f>0.01*'Input'!$F$58*(C605*$C$591)+10*(B605*$B$591+D605*$D$591)</f>
        <v>0</v>
      </c>
      <c r="F605" s="38">
        <f>IF($E$591&lt;&gt;0,0.1*E605/$E$591,"")</f>
        <v>0</v>
      </c>
      <c r="G605" s="46">
        <f>IF($C$591&lt;&gt;0,E605/$C$591,"")</f>
        <v>0</v>
      </c>
      <c r="H605" s="17"/>
    </row>
    <row r="606" spans="1:8">
      <c r="A606" s="4" t="s">
        <v>1642</v>
      </c>
      <c r="B606" s="39">
        <f>'Yard'!$M$41</f>
        <v>0</v>
      </c>
      <c r="C606" s="10"/>
      <c r="D606" s="39">
        <f>'Reactive'!$M$77</f>
        <v>0</v>
      </c>
      <c r="E606" s="21">
        <f>0.01*'Input'!$F$58*(C606*$C$591)+10*(B606*$B$591+D606*$D$591)</f>
        <v>0</v>
      </c>
      <c r="F606" s="38">
        <f>IF($E$591&lt;&gt;0,0.1*E606/$E$591,"")</f>
        <v>0</v>
      </c>
      <c r="G606" s="46">
        <f>IF($C$591&lt;&gt;0,E606/$C$591,"")</f>
        <v>0</v>
      </c>
      <c r="H606" s="17"/>
    </row>
    <row r="607" spans="1:8">
      <c r="A607" s="4" t="s">
        <v>1643</v>
      </c>
      <c r="B607" s="39">
        <f>'Yard'!$N$41</f>
        <v>0</v>
      </c>
      <c r="C607" s="10"/>
      <c r="D607" s="39">
        <f>'Reactive'!$N$77</f>
        <v>0</v>
      </c>
      <c r="E607" s="21">
        <f>0.01*'Input'!$F$58*(C607*$C$591)+10*(B607*$B$591+D607*$D$591)</f>
        <v>0</v>
      </c>
      <c r="F607" s="38">
        <f>IF($E$591&lt;&gt;0,0.1*E607/$E$591,"")</f>
        <v>0</v>
      </c>
      <c r="G607" s="46">
        <f>IF($C$591&lt;&gt;0,E607/$C$591,"")</f>
        <v>0</v>
      </c>
      <c r="H607" s="17"/>
    </row>
    <row r="608" spans="1:8">
      <c r="A608" s="4" t="s">
        <v>1644</v>
      </c>
      <c r="B608" s="39">
        <f>'Yard'!$O$41</f>
        <v>0</v>
      </c>
      <c r="C608" s="10"/>
      <c r="D608" s="39">
        <f>'Reactive'!$O$77</f>
        <v>0</v>
      </c>
      <c r="E608" s="21">
        <f>0.01*'Input'!$F$58*(C608*$C$591)+10*(B608*$B$591+D608*$D$591)</f>
        <v>0</v>
      </c>
      <c r="F608" s="38">
        <f>IF($E$591&lt;&gt;0,0.1*E608/$E$591,"")</f>
        <v>0</v>
      </c>
      <c r="G608" s="46">
        <f>IF($C$591&lt;&gt;0,E608/$C$591,"")</f>
        <v>0</v>
      </c>
      <c r="H608" s="17"/>
    </row>
    <row r="609" spans="1:9">
      <c r="A609" s="4" t="s">
        <v>1645</v>
      </c>
      <c r="B609" s="39">
        <f>'Yard'!$P$41</f>
        <v>0</v>
      </c>
      <c r="C609" s="10"/>
      <c r="D609" s="39">
        <f>'Reactive'!$P$77</f>
        <v>0</v>
      </c>
      <c r="E609" s="21">
        <f>0.01*'Input'!$F$58*(C609*$C$591)+10*(B609*$B$591+D609*$D$591)</f>
        <v>0</v>
      </c>
      <c r="F609" s="38">
        <f>IF($E$591&lt;&gt;0,0.1*E609/$E$591,"")</f>
        <v>0</v>
      </c>
      <c r="G609" s="46">
        <f>IF($C$591&lt;&gt;0,E609/$C$591,"")</f>
        <v>0</v>
      </c>
      <c r="H609" s="17"/>
    </row>
    <row r="610" spans="1:9">
      <c r="A610" s="4" t="s">
        <v>1646</v>
      </c>
      <c r="B610" s="39">
        <f>'Yard'!$Q$41</f>
        <v>0</v>
      </c>
      <c r="C610" s="10"/>
      <c r="D610" s="39">
        <f>'Reactive'!$Q$77</f>
        <v>0</v>
      </c>
      <c r="E610" s="21">
        <f>0.01*'Input'!$F$58*(C610*$C$591)+10*(B610*$B$591+D610*$D$591)</f>
        <v>0</v>
      </c>
      <c r="F610" s="38">
        <f>IF($E$591&lt;&gt;0,0.1*E610/$E$591,"")</f>
        <v>0</v>
      </c>
      <c r="G610" s="46">
        <f>IF($C$591&lt;&gt;0,E610/$C$591,"")</f>
        <v>0</v>
      </c>
      <c r="H610" s="17"/>
    </row>
    <row r="611" spans="1:9">
      <c r="A611" s="4" t="s">
        <v>1647</v>
      </c>
      <c r="B611" s="39">
        <f>'Yard'!$R$41</f>
        <v>0</v>
      </c>
      <c r="C611" s="10"/>
      <c r="D611" s="39">
        <f>'Reactive'!$R$77</f>
        <v>0</v>
      </c>
      <c r="E611" s="21">
        <f>0.01*'Input'!$F$58*(C611*$C$591)+10*(B611*$B$591+D611*$D$591)</f>
        <v>0</v>
      </c>
      <c r="F611" s="38">
        <f>IF($E$591&lt;&gt;0,0.1*E611/$E$591,"")</f>
        <v>0</v>
      </c>
      <c r="G611" s="46">
        <f>IF($C$591&lt;&gt;0,E611/$C$591,"")</f>
        <v>0</v>
      </c>
      <c r="H611" s="17"/>
    </row>
    <row r="612" spans="1:9">
      <c r="A612" s="4" t="s">
        <v>1648</v>
      </c>
      <c r="B612" s="39">
        <f>'Yard'!$S$41</f>
        <v>0</v>
      </c>
      <c r="C612" s="10"/>
      <c r="D612" s="39">
        <f>'Reactive'!$S$77</f>
        <v>0</v>
      </c>
      <c r="E612" s="21">
        <f>0.01*'Input'!$F$58*(C612*$C$591)+10*(B612*$B$591+D612*$D$591)</f>
        <v>0</v>
      </c>
      <c r="F612" s="38">
        <f>IF($E$591&lt;&gt;0,0.1*E612/$E$591,"")</f>
        <v>0</v>
      </c>
      <c r="G612" s="46">
        <f>IF($C$591&lt;&gt;0,E612/$C$591,"")</f>
        <v>0</v>
      </c>
      <c r="H612" s="17"/>
    </row>
    <row r="613" spans="1:9">
      <c r="A613" s="4" t="s">
        <v>1649</v>
      </c>
      <c r="B613" s="10"/>
      <c r="C613" s="47">
        <f>'Otex'!$B$139</f>
        <v>0</v>
      </c>
      <c r="D613" s="10"/>
      <c r="E613" s="21">
        <f>0.01*'Input'!$F$58*(C613*$C$591)+10*(B613*$B$591+D613*$D$591)</f>
        <v>0</v>
      </c>
      <c r="F613" s="38">
        <f>IF($E$591&lt;&gt;0,0.1*E613/$E$591,"")</f>
        <v>0</v>
      </c>
      <c r="G613" s="46">
        <f>IF($C$591&lt;&gt;0,E613/$C$591,"")</f>
        <v>0</v>
      </c>
      <c r="H613" s="17"/>
    </row>
    <row r="614" spans="1:9">
      <c r="A614" s="4" t="s">
        <v>1650</v>
      </c>
      <c r="B614" s="10"/>
      <c r="C614" s="47">
        <f>'Otex'!$C$139</f>
        <v>0</v>
      </c>
      <c r="D614" s="10"/>
      <c r="E614" s="21">
        <f>0.01*'Input'!$F$58*(C614*$C$591)+10*(B614*$B$591+D614*$D$591)</f>
        <v>0</v>
      </c>
      <c r="F614" s="38">
        <f>IF($E$591&lt;&gt;0,0.1*E614/$E$591,"")</f>
        <v>0</v>
      </c>
      <c r="G614" s="46">
        <f>IF($C$591&lt;&gt;0,E614/$C$591,"")</f>
        <v>0</v>
      </c>
      <c r="H614" s="17"/>
    </row>
    <row r="615" spans="1:9">
      <c r="A615" s="4" t="s">
        <v>1651</v>
      </c>
      <c r="B615" s="39">
        <f>'Scaler'!$B$407</f>
        <v>0</v>
      </c>
      <c r="C615" s="47">
        <f>'Scaler'!$E$407</f>
        <v>0</v>
      </c>
      <c r="D615" s="39">
        <f>'Scaler'!$G$407</f>
        <v>0</v>
      </c>
      <c r="E615" s="21">
        <f>0.01*'Input'!$F$58*(C615*$C$591)+10*(B615*$B$591+D615*$D$591)</f>
        <v>0</v>
      </c>
      <c r="F615" s="38">
        <f>IF($E$591&lt;&gt;0,0.1*E615/$E$591,"")</f>
        <v>0</v>
      </c>
      <c r="G615" s="46">
        <f>IF($C$591&lt;&gt;0,E615/$C$591,"")</f>
        <v>0</v>
      </c>
      <c r="H615" s="17"/>
    </row>
    <row r="616" spans="1:9">
      <c r="A616" s="4" t="s">
        <v>1652</v>
      </c>
      <c r="B616" s="39">
        <f>'Adjust'!$B$87</f>
        <v>0</v>
      </c>
      <c r="C616" s="47">
        <f>'Adjust'!$E$87</f>
        <v>0</v>
      </c>
      <c r="D616" s="39">
        <f>'Adjust'!$G$87</f>
        <v>0</v>
      </c>
      <c r="E616" s="21">
        <f>0.01*'Input'!$F$58*(C616*$C$591)+10*(B616*$B$591+D616*$D$591)</f>
        <v>0</v>
      </c>
      <c r="F616" s="38">
        <f>IF($E$591&lt;&gt;0,0.1*E616/$E$591,"")</f>
        <v>0</v>
      </c>
      <c r="G616" s="46">
        <f>IF($C$591&lt;&gt;0,E616/$C$591,"")</f>
        <v>0</v>
      </c>
      <c r="H616" s="17"/>
    </row>
    <row r="618" spans="1:9">
      <c r="A618" s="4" t="s">
        <v>1653</v>
      </c>
      <c r="B618" s="38">
        <f>SUM($B$594:$B$616)</f>
        <v>0</v>
      </c>
      <c r="C618" s="46">
        <f>SUM($C$594:$C$616)</f>
        <v>0</v>
      </c>
      <c r="D618" s="38">
        <f>SUM($D$594:$D$616)</f>
        <v>0</v>
      </c>
      <c r="E618" s="21">
        <f>SUM($E$594:$E$616)</f>
        <v>0</v>
      </c>
      <c r="F618" s="38">
        <f>SUM($F$594:$F$616)</f>
        <v>0</v>
      </c>
      <c r="G618" s="46">
        <f>SUM($G$594:$G$616)</f>
        <v>0</v>
      </c>
    </row>
    <row r="620" spans="1:9" ht="21" customHeight="1">
      <c r="A620" s="1" t="s">
        <v>185</v>
      </c>
    </row>
    <row r="622" spans="1:9">
      <c r="B622" s="15" t="s">
        <v>222</v>
      </c>
      <c r="C622" s="15" t="s">
        <v>223</v>
      </c>
      <c r="D622" s="15" t="s">
        <v>224</v>
      </c>
      <c r="E622" s="15" t="s">
        <v>225</v>
      </c>
      <c r="F622" s="15" t="s">
        <v>227</v>
      </c>
      <c r="G622" s="15" t="s">
        <v>1634</v>
      </c>
      <c r="H622" s="15" t="s">
        <v>1635</v>
      </c>
    </row>
    <row r="623" spans="1:9">
      <c r="A623" s="4" t="s">
        <v>185</v>
      </c>
      <c r="B623" s="44">
        <f>'Loads'!B$299</f>
        <v>0</v>
      </c>
      <c r="C623" s="44">
        <f>'Loads'!C$299</f>
        <v>0</v>
      </c>
      <c r="D623" s="44">
        <f>'Loads'!D$299</f>
        <v>0</v>
      </c>
      <c r="E623" s="44">
        <f>'Loads'!E$299</f>
        <v>0</v>
      </c>
      <c r="F623" s="44">
        <f>'Loads'!G$299</f>
        <v>0</v>
      </c>
      <c r="G623" s="44">
        <f>'Multi'!B$126</f>
        <v>0</v>
      </c>
      <c r="H623" s="38">
        <f>IF(E623,G623/E623,"")</f>
        <v>0</v>
      </c>
      <c r="I623" s="17"/>
    </row>
    <row r="625" spans="1:11">
      <c r="B625" s="15" t="s">
        <v>1466</v>
      </c>
      <c r="C625" s="15" t="s">
        <v>1467</v>
      </c>
      <c r="D625" s="15" t="s">
        <v>1468</v>
      </c>
      <c r="E625" s="15" t="s">
        <v>1469</v>
      </c>
      <c r="F625" s="15" t="s">
        <v>1099</v>
      </c>
      <c r="G625" s="15" t="s">
        <v>1654</v>
      </c>
      <c r="H625" s="15" t="s">
        <v>1636</v>
      </c>
      <c r="I625" s="15" t="s">
        <v>1606</v>
      </c>
      <c r="J625" s="15" t="s">
        <v>1637</v>
      </c>
    </row>
    <row r="626" spans="1:11">
      <c r="A626" s="4" t="s">
        <v>451</v>
      </c>
      <c r="B626" s="39">
        <f>'Yard'!$C$74</f>
        <v>0</v>
      </c>
      <c r="C626" s="39">
        <f>'Yard'!$C$96</f>
        <v>0</v>
      </c>
      <c r="D626" s="39">
        <f>'Yard'!$C$116</f>
        <v>0</v>
      </c>
      <c r="E626" s="10"/>
      <c r="F626" s="39">
        <f>'Reactive'!$C$78</f>
        <v>0</v>
      </c>
      <c r="G626" s="38">
        <f>IF(G$623&lt;&gt;0,(($B626*B$623+$C626*C$623+$D626*D$623+$F626*F$623))/G$623,0)</f>
        <v>0</v>
      </c>
      <c r="H626" s="21">
        <f>0.01*'Input'!$F$58*(E626*$E$623)+10*(B626*$B$623+C626*$C$623+D626*$D$623+F626*$F$623)</f>
        <v>0</v>
      </c>
      <c r="I626" s="38">
        <f>IF($G$623&lt;&gt;0,0.1*H626/$G$623,"")</f>
        <v>0</v>
      </c>
      <c r="J626" s="46">
        <f>IF($E$623&lt;&gt;0,H626/$E$623,"")</f>
        <v>0</v>
      </c>
      <c r="K626" s="17"/>
    </row>
    <row r="627" spans="1:11">
      <c r="A627" s="4" t="s">
        <v>452</v>
      </c>
      <c r="B627" s="39">
        <f>'Yard'!$D$74</f>
        <v>0</v>
      </c>
      <c r="C627" s="39">
        <f>'Yard'!$D$96</f>
        <v>0</v>
      </c>
      <c r="D627" s="39">
        <f>'Yard'!$D$116</f>
        <v>0</v>
      </c>
      <c r="E627" s="10"/>
      <c r="F627" s="39">
        <f>'Reactive'!$D$78</f>
        <v>0</v>
      </c>
      <c r="G627" s="38">
        <f>IF(G$623&lt;&gt;0,(($B627*B$623+$C627*C$623+$D627*D$623+$F627*F$623))/G$623,0)</f>
        <v>0</v>
      </c>
      <c r="H627" s="21">
        <f>0.01*'Input'!$F$58*(E627*$E$623)+10*(B627*$B$623+C627*$C$623+D627*$D$623+F627*$F$623)</f>
        <v>0</v>
      </c>
      <c r="I627" s="38">
        <f>IF($G$623&lt;&gt;0,0.1*H627/$G$623,"")</f>
        <v>0</v>
      </c>
      <c r="J627" s="46">
        <f>IF($E$623&lt;&gt;0,H627/$E$623,"")</f>
        <v>0</v>
      </c>
      <c r="K627" s="17"/>
    </row>
    <row r="628" spans="1:11">
      <c r="A628" s="4" t="s">
        <v>453</v>
      </c>
      <c r="B628" s="39">
        <f>'Yard'!$E$74</f>
        <v>0</v>
      </c>
      <c r="C628" s="39">
        <f>'Yard'!$E$96</f>
        <v>0</v>
      </c>
      <c r="D628" s="39">
        <f>'Yard'!$E$116</f>
        <v>0</v>
      </c>
      <c r="E628" s="10"/>
      <c r="F628" s="39">
        <f>'Reactive'!$E$78</f>
        <v>0</v>
      </c>
      <c r="G628" s="38">
        <f>IF(G$623&lt;&gt;0,(($B628*B$623+$C628*C$623+$D628*D$623+$F628*F$623))/G$623,0)</f>
        <v>0</v>
      </c>
      <c r="H628" s="21">
        <f>0.01*'Input'!$F$58*(E628*$E$623)+10*(B628*$B$623+C628*$C$623+D628*$D$623+F628*$F$623)</f>
        <v>0</v>
      </c>
      <c r="I628" s="38">
        <f>IF($G$623&lt;&gt;0,0.1*H628/$G$623,"")</f>
        <v>0</v>
      </c>
      <c r="J628" s="46">
        <f>IF($E$623&lt;&gt;0,H628/$E$623,"")</f>
        <v>0</v>
      </c>
      <c r="K628" s="17"/>
    </row>
    <row r="629" spans="1:11">
      <c r="A629" s="4" t="s">
        <v>454</v>
      </c>
      <c r="B629" s="39">
        <f>'Yard'!$F$74</f>
        <v>0</v>
      </c>
      <c r="C629" s="39">
        <f>'Yard'!$F$96</f>
        <v>0</v>
      </c>
      <c r="D629" s="39">
        <f>'Yard'!$F$116</f>
        <v>0</v>
      </c>
      <c r="E629" s="10"/>
      <c r="F629" s="39">
        <f>'Reactive'!$F$78</f>
        <v>0</v>
      </c>
      <c r="G629" s="38">
        <f>IF(G$623&lt;&gt;0,(($B629*B$623+$C629*C$623+$D629*D$623+$F629*F$623))/G$623,0)</f>
        <v>0</v>
      </c>
      <c r="H629" s="21">
        <f>0.01*'Input'!$F$58*(E629*$E$623)+10*(B629*$B$623+C629*$C$623+D629*$D$623+F629*$F$623)</f>
        <v>0</v>
      </c>
      <c r="I629" s="38">
        <f>IF($G$623&lt;&gt;0,0.1*H629/$G$623,"")</f>
        <v>0</v>
      </c>
      <c r="J629" s="46">
        <f>IF($E$623&lt;&gt;0,H629/$E$623,"")</f>
        <v>0</v>
      </c>
      <c r="K629" s="17"/>
    </row>
    <row r="630" spans="1:11">
      <c r="A630" s="4" t="s">
        <v>455</v>
      </c>
      <c r="B630" s="39">
        <f>'Yard'!$G$74</f>
        <v>0</v>
      </c>
      <c r="C630" s="39">
        <f>'Yard'!$G$96</f>
        <v>0</v>
      </c>
      <c r="D630" s="39">
        <f>'Yard'!$G$116</f>
        <v>0</v>
      </c>
      <c r="E630" s="10"/>
      <c r="F630" s="39">
        <f>'Reactive'!$G$78</f>
        <v>0</v>
      </c>
      <c r="G630" s="38">
        <f>IF(G$623&lt;&gt;0,(($B630*B$623+$C630*C$623+$D630*D$623+$F630*F$623))/G$623,0)</f>
        <v>0</v>
      </c>
      <c r="H630" s="21">
        <f>0.01*'Input'!$F$58*(E630*$E$623)+10*(B630*$B$623+C630*$C$623+D630*$D$623+F630*$F$623)</f>
        <v>0</v>
      </c>
      <c r="I630" s="38">
        <f>IF($G$623&lt;&gt;0,0.1*H630/$G$623,"")</f>
        <v>0</v>
      </c>
      <c r="J630" s="46">
        <f>IF($E$623&lt;&gt;0,H630/$E$623,"")</f>
        <v>0</v>
      </c>
      <c r="K630" s="17"/>
    </row>
    <row r="631" spans="1:11">
      <c r="A631" s="4" t="s">
        <v>456</v>
      </c>
      <c r="B631" s="39">
        <f>'Yard'!$H$74</f>
        <v>0</v>
      </c>
      <c r="C631" s="39">
        <f>'Yard'!$H$96</f>
        <v>0</v>
      </c>
      <c r="D631" s="39">
        <f>'Yard'!$H$116</f>
        <v>0</v>
      </c>
      <c r="E631" s="10"/>
      <c r="F631" s="39">
        <f>'Reactive'!$H$78</f>
        <v>0</v>
      </c>
      <c r="G631" s="38">
        <f>IF(G$623&lt;&gt;0,(($B631*B$623+$C631*C$623+$D631*D$623+$F631*F$623))/G$623,0)</f>
        <v>0</v>
      </c>
      <c r="H631" s="21">
        <f>0.01*'Input'!$F$58*(E631*$E$623)+10*(B631*$B$623+C631*$C$623+D631*$D$623+F631*$F$623)</f>
        <v>0</v>
      </c>
      <c r="I631" s="38">
        <f>IF($G$623&lt;&gt;0,0.1*H631/$G$623,"")</f>
        <v>0</v>
      </c>
      <c r="J631" s="46">
        <f>IF($E$623&lt;&gt;0,H631/$E$623,"")</f>
        <v>0</v>
      </c>
      <c r="K631" s="17"/>
    </row>
    <row r="632" spans="1:11">
      <c r="A632" s="4" t="s">
        <v>457</v>
      </c>
      <c r="B632" s="39">
        <f>'Yard'!$I$74</f>
        <v>0</v>
      </c>
      <c r="C632" s="39">
        <f>'Yard'!$I$96</f>
        <v>0</v>
      </c>
      <c r="D632" s="39">
        <f>'Yard'!$I$116</f>
        <v>0</v>
      </c>
      <c r="E632" s="10"/>
      <c r="F632" s="39">
        <f>'Reactive'!$I$78</f>
        <v>0</v>
      </c>
      <c r="G632" s="38">
        <f>IF(G$623&lt;&gt;0,(($B632*B$623+$C632*C$623+$D632*D$623+$F632*F$623))/G$623,0)</f>
        <v>0</v>
      </c>
      <c r="H632" s="21">
        <f>0.01*'Input'!$F$58*(E632*$E$623)+10*(B632*$B$623+C632*$C$623+D632*$D$623+F632*$F$623)</f>
        <v>0</v>
      </c>
      <c r="I632" s="38">
        <f>IF($G$623&lt;&gt;0,0.1*H632/$G$623,"")</f>
        <v>0</v>
      </c>
      <c r="J632" s="46">
        <f>IF($E$623&lt;&gt;0,H632/$E$623,"")</f>
        <v>0</v>
      </c>
      <c r="K632" s="17"/>
    </row>
    <row r="633" spans="1:11">
      <c r="A633" s="4" t="s">
        <v>458</v>
      </c>
      <c r="B633" s="39">
        <f>'Yard'!$J$74</f>
        <v>0</v>
      </c>
      <c r="C633" s="39">
        <f>'Yard'!$J$96</f>
        <v>0</v>
      </c>
      <c r="D633" s="39">
        <f>'Yard'!$J$116</f>
        <v>0</v>
      </c>
      <c r="E633" s="10"/>
      <c r="F633" s="39">
        <f>'Reactive'!$J$78</f>
        <v>0</v>
      </c>
      <c r="G633" s="38">
        <f>IF(G$623&lt;&gt;0,(($B633*B$623+$C633*C$623+$D633*D$623+$F633*F$623))/G$623,0)</f>
        <v>0</v>
      </c>
      <c r="H633" s="21">
        <f>0.01*'Input'!$F$58*(E633*$E$623)+10*(B633*$B$623+C633*$C$623+D633*$D$623+F633*$F$623)</f>
        <v>0</v>
      </c>
      <c r="I633" s="38">
        <f>IF($G$623&lt;&gt;0,0.1*H633/$G$623,"")</f>
        <v>0</v>
      </c>
      <c r="J633" s="46">
        <f>IF($E$623&lt;&gt;0,H633/$E$623,"")</f>
        <v>0</v>
      </c>
      <c r="K633" s="17"/>
    </row>
    <row r="634" spans="1:11">
      <c r="A634" s="4" t="s">
        <v>1638</v>
      </c>
      <c r="B634" s="10"/>
      <c r="C634" s="10"/>
      <c r="D634" s="10"/>
      <c r="E634" s="47">
        <f>'SM'!$B$119</f>
        <v>0</v>
      </c>
      <c r="F634" s="10"/>
      <c r="G634" s="38">
        <f>IF(G$623&lt;&gt;0,(($B634*B$623+$C634*C$623+$D634*D$623+$F634*F$623))/G$623,0)</f>
        <v>0</v>
      </c>
      <c r="H634" s="21">
        <f>0.01*'Input'!$F$58*(E634*$E$623)+10*(B634*$B$623+C634*$C$623+D634*$D$623+F634*$F$623)</f>
        <v>0</v>
      </c>
      <c r="I634" s="38">
        <f>IF($G$623&lt;&gt;0,0.1*H634/$G$623,"")</f>
        <v>0</v>
      </c>
      <c r="J634" s="46">
        <f>IF($E$623&lt;&gt;0,H634/$E$623,"")</f>
        <v>0</v>
      </c>
      <c r="K634" s="17"/>
    </row>
    <row r="635" spans="1:11">
      <c r="A635" s="4" t="s">
        <v>1639</v>
      </c>
      <c r="B635" s="10"/>
      <c r="C635" s="10"/>
      <c r="D635" s="10"/>
      <c r="E635" s="47">
        <f>'SM'!$C$119</f>
        <v>0</v>
      </c>
      <c r="F635" s="10"/>
      <c r="G635" s="38">
        <f>IF(G$623&lt;&gt;0,(($B635*B$623+$C635*C$623+$D635*D$623+$F635*F$623))/G$623,0)</f>
        <v>0</v>
      </c>
      <c r="H635" s="21">
        <f>0.01*'Input'!$F$58*(E635*$E$623)+10*(B635*$B$623+C635*$C$623+D635*$D$623+F635*$F$623)</f>
        <v>0</v>
      </c>
      <c r="I635" s="38">
        <f>IF($G$623&lt;&gt;0,0.1*H635/$G$623,"")</f>
        <v>0</v>
      </c>
      <c r="J635" s="46">
        <f>IF($E$623&lt;&gt;0,H635/$E$623,"")</f>
        <v>0</v>
      </c>
      <c r="K635" s="17"/>
    </row>
    <row r="636" spans="1:11">
      <c r="A636" s="4" t="s">
        <v>1640</v>
      </c>
      <c r="B636" s="39">
        <f>'Yard'!$K$74</f>
        <v>0</v>
      </c>
      <c r="C636" s="39">
        <f>'Yard'!$K$96</f>
        <v>0</v>
      </c>
      <c r="D636" s="39">
        <f>'Yard'!$K$116</f>
        <v>0</v>
      </c>
      <c r="E636" s="10"/>
      <c r="F636" s="39">
        <f>'Reactive'!$K$78</f>
        <v>0</v>
      </c>
      <c r="G636" s="38">
        <f>IF(G$623&lt;&gt;0,(($B636*B$623+$C636*C$623+$D636*D$623+$F636*F$623))/G$623,0)</f>
        <v>0</v>
      </c>
      <c r="H636" s="21">
        <f>0.01*'Input'!$F$58*(E636*$E$623)+10*(B636*$B$623+C636*$C$623+D636*$D$623+F636*$F$623)</f>
        <v>0</v>
      </c>
      <c r="I636" s="38">
        <f>IF($G$623&lt;&gt;0,0.1*H636/$G$623,"")</f>
        <v>0</v>
      </c>
      <c r="J636" s="46">
        <f>IF($E$623&lt;&gt;0,H636/$E$623,"")</f>
        <v>0</v>
      </c>
      <c r="K636" s="17"/>
    </row>
    <row r="637" spans="1:11">
      <c r="A637" s="4" t="s">
        <v>1641</v>
      </c>
      <c r="B637" s="39">
        <f>'Yard'!$L$74</f>
        <v>0</v>
      </c>
      <c r="C637" s="39">
        <f>'Yard'!$L$96</f>
        <v>0</v>
      </c>
      <c r="D637" s="39">
        <f>'Yard'!$L$116</f>
        <v>0</v>
      </c>
      <c r="E637" s="10"/>
      <c r="F637" s="39">
        <f>'Reactive'!$L$78</f>
        <v>0</v>
      </c>
      <c r="G637" s="38">
        <f>IF(G$623&lt;&gt;0,(($B637*B$623+$C637*C$623+$D637*D$623+$F637*F$623))/G$623,0)</f>
        <v>0</v>
      </c>
      <c r="H637" s="21">
        <f>0.01*'Input'!$F$58*(E637*$E$623)+10*(B637*$B$623+C637*$C$623+D637*$D$623+F637*$F$623)</f>
        <v>0</v>
      </c>
      <c r="I637" s="38">
        <f>IF($G$623&lt;&gt;0,0.1*H637/$G$623,"")</f>
        <v>0</v>
      </c>
      <c r="J637" s="46">
        <f>IF($E$623&lt;&gt;0,H637/$E$623,"")</f>
        <v>0</v>
      </c>
      <c r="K637" s="17"/>
    </row>
    <row r="638" spans="1:11">
      <c r="A638" s="4" t="s">
        <v>1642</v>
      </c>
      <c r="B638" s="39">
        <f>'Yard'!$M$74</f>
        <v>0</v>
      </c>
      <c r="C638" s="39">
        <f>'Yard'!$M$96</f>
        <v>0</v>
      </c>
      <c r="D638" s="39">
        <f>'Yard'!$M$116</f>
        <v>0</v>
      </c>
      <c r="E638" s="10"/>
      <c r="F638" s="39">
        <f>'Reactive'!$M$78</f>
        <v>0</v>
      </c>
      <c r="G638" s="38">
        <f>IF(G$623&lt;&gt;0,(($B638*B$623+$C638*C$623+$D638*D$623+$F638*F$623))/G$623,0)</f>
        <v>0</v>
      </c>
      <c r="H638" s="21">
        <f>0.01*'Input'!$F$58*(E638*$E$623)+10*(B638*$B$623+C638*$C$623+D638*$D$623+F638*$F$623)</f>
        <v>0</v>
      </c>
      <c r="I638" s="38">
        <f>IF($G$623&lt;&gt;0,0.1*H638/$G$623,"")</f>
        <v>0</v>
      </c>
      <c r="J638" s="46">
        <f>IF($E$623&lt;&gt;0,H638/$E$623,"")</f>
        <v>0</v>
      </c>
      <c r="K638" s="17"/>
    </row>
    <row r="639" spans="1:11">
      <c r="A639" s="4" t="s">
        <v>1643</v>
      </c>
      <c r="B639" s="39">
        <f>'Yard'!$N$74</f>
        <v>0</v>
      </c>
      <c r="C639" s="39">
        <f>'Yard'!$N$96</f>
        <v>0</v>
      </c>
      <c r="D639" s="39">
        <f>'Yard'!$N$116</f>
        <v>0</v>
      </c>
      <c r="E639" s="10"/>
      <c r="F639" s="39">
        <f>'Reactive'!$N$78</f>
        <v>0</v>
      </c>
      <c r="G639" s="38">
        <f>IF(G$623&lt;&gt;0,(($B639*B$623+$C639*C$623+$D639*D$623+$F639*F$623))/G$623,0)</f>
        <v>0</v>
      </c>
      <c r="H639" s="21">
        <f>0.01*'Input'!$F$58*(E639*$E$623)+10*(B639*$B$623+C639*$C$623+D639*$D$623+F639*$F$623)</f>
        <v>0</v>
      </c>
      <c r="I639" s="38">
        <f>IF($G$623&lt;&gt;0,0.1*H639/$G$623,"")</f>
        <v>0</v>
      </c>
      <c r="J639" s="46">
        <f>IF($E$623&lt;&gt;0,H639/$E$623,"")</f>
        <v>0</v>
      </c>
      <c r="K639" s="17"/>
    </row>
    <row r="640" spans="1:11">
      <c r="A640" s="4" t="s">
        <v>1644</v>
      </c>
      <c r="B640" s="39">
        <f>'Yard'!$O$74</f>
        <v>0</v>
      </c>
      <c r="C640" s="39">
        <f>'Yard'!$O$96</f>
        <v>0</v>
      </c>
      <c r="D640" s="39">
        <f>'Yard'!$O$116</f>
        <v>0</v>
      </c>
      <c r="E640" s="10"/>
      <c r="F640" s="39">
        <f>'Reactive'!$O$78</f>
        <v>0</v>
      </c>
      <c r="G640" s="38">
        <f>IF(G$623&lt;&gt;0,(($B640*B$623+$C640*C$623+$D640*D$623+$F640*F$623))/G$623,0)</f>
        <v>0</v>
      </c>
      <c r="H640" s="21">
        <f>0.01*'Input'!$F$58*(E640*$E$623)+10*(B640*$B$623+C640*$C$623+D640*$D$623+F640*$F$623)</f>
        <v>0</v>
      </c>
      <c r="I640" s="38">
        <f>IF($G$623&lt;&gt;0,0.1*H640/$G$623,"")</f>
        <v>0</v>
      </c>
      <c r="J640" s="46">
        <f>IF($E$623&lt;&gt;0,H640/$E$623,"")</f>
        <v>0</v>
      </c>
      <c r="K640" s="17"/>
    </row>
    <row r="641" spans="1:11">
      <c r="A641" s="4" t="s">
        <v>1645</v>
      </c>
      <c r="B641" s="39">
        <f>'Yard'!$P$74</f>
        <v>0</v>
      </c>
      <c r="C641" s="39">
        <f>'Yard'!$P$96</f>
        <v>0</v>
      </c>
      <c r="D641" s="39">
        <f>'Yard'!$P$116</f>
        <v>0</v>
      </c>
      <c r="E641" s="10"/>
      <c r="F641" s="39">
        <f>'Reactive'!$P$78</f>
        <v>0</v>
      </c>
      <c r="G641" s="38">
        <f>IF(G$623&lt;&gt;0,(($B641*B$623+$C641*C$623+$D641*D$623+$F641*F$623))/G$623,0)</f>
        <v>0</v>
      </c>
      <c r="H641" s="21">
        <f>0.01*'Input'!$F$58*(E641*$E$623)+10*(B641*$B$623+C641*$C$623+D641*$D$623+F641*$F$623)</f>
        <v>0</v>
      </c>
      <c r="I641" s="38">
        <f>IF($G$623&lt;&gt;0,0.1*H641/$G$623,"")</f>
        <v>0</v>
      </c>
      <c r="J641" s="46">
        <f>IF($E$623&lt;&gt;0,H641/$E$623,"")</f>
        <v>0</v>
      </c>
      <c r="K641" s="17"/>
    </row>
    <row r="642" spans="1:11">
      <c r="A642" s="4" t="s">
        <v>1646</v>
      </c>
      <c r="B642" s="39">
        <f>'Yard'!$Q$74</f>
        <v>0</v>
      </c>
      <c r="C642" s="39">
        <f>'Yard'!$Q$96</f>
        <v>0</v>
      </c>
      <c r="D642" s="39">
        <f>'Yard'!$Q$116</f>
        <v>0</v>
      </c>
      <c r="E642" s="10"/>
      <c r="F642" s="39">
        <f>'Reactive'!$Q$78</f>
        <v>0</v>
      </c>
      <c r="G642" s="38">
        <f>IF(G$623&lt;&gt;0,(($B642*B$623+$C642*C$623+$D642*D$623+$F642*F$623))/G$623,0)</f>
        <v>0</v>
      </c>
      <c r="H642" s="21">
        <f>0.01*'Input'!$F$58*(E642*$E$623)+10*(B642*$B$623+C642*$C$623+D642*$D$623+F642*$F$623)</f>
        <v>0</v>
      </c>
      <c r="I642" s="38">
        <f>IF($G$623&lt;&gt;0,0.1*H642/$G$623,"")</f>
        <v>0</v>
      </c>
      <c r="J642" s="46">
        <f>IF($E$623&lt;&gt;0,H642/$E$623,"")</f>
        <v>0</v>
      </c>
      <c r="K642" s="17"/>
    </row>
    <row r="643" spans="1:11">
      <c r="A643" s="4" t="s">
        <v>1647</v>
      </c>
      <c r="B643" s="39">
        <f>'Yard'!$R$74</f>
        <v>0</v>
      </c>
      <c r="C643" s="39">
        <f>'Yard'!$R$96</f>
        <v>0</v>
      </c>
      <c r="D643" s="39">
        <f>'Yard'!$R$116</f>
        <v>0</v>
      </c>
      <c r="E643" s="10"/>
      <c r="F643" s="39">
        <f>'Reactive'!$R$78</f>
        <v>0</v>
      </c>
      <c r="G643" s="38">
        <f>IF(G$623&lt;&gt;0,(($B643*B$623+$C643*C$623+$D643*D$623+$F643*F$623))/G$623,0)</f>
        <v>0</v>
      </c>
      <c r="H643" s="21">
        <f>0.01*'Input'!$F$58*(E643*$E$623)+10*(B643*$B$623+C643*$C$623+D643*$D$623+F643*$F$623)</f>
        <v>0</v>
      </c>
      <c r="I643" s="38">
        <f>IF($G$623&lt;&gt;0,0.1*H643/$G$623,"")</f>
        <v>0</v>
      </c>
      <c r="J643" s="46">
        <f>IF($E$623&lt;&gt;0,H643/$E$623,"")</f>
        <v>0</v>
      </c>
      <c r="K643" s="17"/>
    </row>
    <row r="644" spans="1:11">
      <c r="A644" s="4" t="s">
        <v>1648</v>
      </c>
      <c r="B644" s="39">
        <f>'Yard'!$S$74</f>
        <v>0</v>
      </c>
      <c r="C644" s="39">
        <f>'Yard'!$S$96</f>
        <v>0</v>
      </c>
      <c r="D644" s="39">
        <f>'Yard'!$S$116</f>
        <v>0</v>
      </c>
      <c r="E644" s="10"/>
      <c r="F644" s="39">
        <f>'Reactive'!$S$78</f>
        <v>0</v>
      </c>
      <c r="G644" s="38">
        <f>IF(G$623&lt;&gt;0,(($B644*B$623+$C644*C$623+$D644*D$623+$F644*F$623))/G$623,0)</f>
        <v>0</v>
      </c>
      <c r="H644" s="21">
        <f>0.01*'Input'!$F$58*(E644*$E$623)+10*(B644*$B$623+C644*$C$623+D644*$D$623+F644*$F$623)</f>
        <v>0</v>
      </c>
      <c r="I644" s="38">
        <f>IF($G$623&lt;&gt;0,0.1*H644/$G$623,"")</f>
        <v>0</v>
      </c>
      <c r="J644" s="46">
        <f>IF($E$623&lt;&gt;0,H644/$E$623,"")</f>
        <v>0</v>
      </c>
      <c r="K644" s="17"/>
    </row>
    <row r="645" spans="1:11">
      <c r="A645" s="4" t="s">
        <v>1649</v>
      </c>
      <c r="B645" s="10"/>
      <c r="C645" s="10"/>
      <c r="D645" s="10"/>
      <c r="E645" s="47">
        <f>'Otex'!$B$140</f>
        <v>0</v>
      </c>
      <c r="F645" s="10"/>
      <c r="G645" s="38">
        <f>IF(G$623&lt;&gt;0,(($B645*B$623+$C645*C$623+$D645*D$623+$F645*F$623))/G$623,0)</f>
        <v>0</v>
      </c>
      <c r="H645" s="21">
        <f>0.01*'Input'!$F$58*(E645*$E$623)+10*(B645*$B$623+C645*$C$623+D645*$D$623+F645*$F$623)</f>
        <v>0</v>
      </c>
      <c r="I645" s="38">
        <f>IF($G$623&lt;&gt;0,0.1*H645/$G$623,"")</f>
        <v>0</v>
      </c>
      <c r="J645" s="46">
        <f>IF($E$623&lt;&gt;0,H645/$E$623,"")</f>
        <v>0</v>
      </c>
      <c r="K645" s="17"/>
    </row>
    <row r="646" spans="1:11">
      <c r="A646" s="4" t="s">
        <v>1650</v>
      </c>
      <c r="B646" s="10"/>
      <c r="C646" s="10"/>
      <c r="D646" s="10"/>
      <c r="E646" s="47">
        <f>'Otex'!$C$140</f>
        <v>0</v>
      </c>
      <c r="F646" s="10"/>
      <c r="G646" s="38">
        <f>IF(G$623&lt;&gt;0,(($B646*B$623+$C646*C$623+$D646*D$623+$F646*F$623))/G$623,0)</f>
        <v>0</v>
      </c>
      <c r="H646" s="21">
        <f>0.01*'Input'!$F$58*(E646*$E$623)+10*(B646*$B$623+C646*$C$623+D646*$D$623+F646*$F$623)</f>
        <v>0</v>
      </c>
      <c r="I646" s="38">
        <f>IF($G$623&lt;&gt;0,0.1*H646/$G$623,"")</f>
        <v>0</v>
      </c>
      <c r="J646" s="46">
        <f>IF($E$623&lt;&gt;0,H646/$E$623,"")</f>
        <v>0</v>
      </c>
      <c r="K646" s="17"/>
    </row>
    <row r="647" spans="1:11">
      <c r="A647" s="4" t="s">
        <v>1651</v>
      </c>
      <c r="B647" s="39">
        <f>'Scaler'!$B$408</f>
        <v>0</v>
      </c>
      <c r="C647" s="39">
        <f>'Scaler'!$C$408</f>
        <v>0</v>
      </c>
      <c r="D647" s="39">
        <f>'Scaler'!$D$408</f>
        <v>0</v>
      </c>
      <c r="E647" s="47">
        <f>'Scaler'!$E$408</f>
        <v>0</v>
      </c>
      <c r="F647" s="39">
        <f>'Scaler'!$G$408</f>
        <v>0</v>
      </c>
      <c r="G647" s="38">
        <f>IF(G$623&lt;&gt;0,(($B647*B$623+$C647*C$623+$D647*D$623+$F647*F$623))/G$623,0)</f>
        <v>0</v>
      </c>
      <c r="H647" s="21">
        <f>0.01*'Input'!$F$58*(E647*$E$623)+10*(B647*$B$623+C647*$C$623+D647*$D$623+F647*$F$623)</f>
        <v>0</v>
      </c>
      <c r="I647" s="38">
        <f>IF($G$623&lt;&gt;0,0.1*H647/$G$623,"")</f>
        <v>0</v>
      </c>
      <c r="J647" s="46">
        <f>IF($E$623&lt;&gt;0,H647/$E$623,"")</f>
        <v>0</v>
      </c>
      <c r="K647" s="17"/>
    </row>
    <row r="648" spans="1:11">
      <c r="A648" s="4" t="s">
        <v>1652</v>
      </c>
      <c r="B648" s="39">
        <f>'Adjust'!$B$88</f>
        <v>0</v>
      </c>
      <c r="C648" s="39">
        <f>'Adjust'!$C$88</f>
        <v>0</v>
      </c>
      <c r="D648" s="39">
        <f>'Adjust'!$D$88</f>
        <v>0</v>
      </c>
      <c r="E648" s="47">
        <f>'Adjust'!$E$88</f>
        <v>0</v>
      </c>
      <c r="F648" s="39">
        <f>'Adjust'!$G$88</f>
        <v>0</v>
      </c>
      <c r="G648" s="38">
        <f>IF(G$623&lt;&gt;0,(($B648*B$623+$C648*C$623+$D648*D$623+$F648*F$623))/G$623,0)</f>
        <v>0</v>
      </c>
      <c r="H648" s="21">
        <f>0.01*'Input'!$F$58*(E648*$E$623)+10*(B648*$B$623+C648*$C$623+D648*$D$623+F648*$F$623)</f>
        <v>0</v>
      </c>
      <c r="I648" s="38">
        <f>IF($G$623&lt;&gt;0,0.1*H648/$G$623,"")</f>
        <v>0</v>
      </c>
      <c r="J648" s="46">
        <f>IF($E$623&lt;&gt;0,H648/$E$623,"")</f>
        <v>0</v>
      </c>
      <c r="K648" s="17"/>
    </row>
    <row r="650" spans="1:11">
      <c r="A650" s="4" t="s">
        <v>1653</v>
      </c>
      <c r="B650" s="38">
        <f>SUM($B$626:$B$648)</f>
        <v>0</v>
      </c>
      <c r="C650" s="38">
        <f>SUM($C$626:$C$648)</f>
        <v>0</v>
      </c>
      <c r="D650" s="38">
        <f>SUM($D$626:$D$648)</f>
        <v>0</v>
      </c>
      <c r="E650" s="46">
        <f>SUM($E$626:$E$648)</f>
        <v>0</v>
      </c>
      <c r="F650" s="38">
        <f>SUM($F$626:$F$648)</f>
        <v>0</v>
      </c>
      <c r="G650" s="38">
        <f>SUM(G$626:G$648)</f>
        <v>0</v>
      </c>
      <c r="H650" s="21">
        <f>SUM($H$626:$H$648)</f>
        <v>0</v>
      </c>
      <c r="I650" s="38">
        <f>SUM($I$626:$I$648)</f>
        <v>0</v>
      </c>
      <c r="J650" s="46">
        <f>SUM($J$626:$J$648)</f>
        <v>0</v>
      </c>
    </row>
    <row r="652" spans="1:11" ht="21" customHeight="1">
      <c r="A652" s="1" t="s">
        <v>186</v>
      </c>
    </row>
    <row r="654" spans="1:11">
      <c r="B654" s="15" t="s">
        <v>222</v>
      </c>
      <c r="C654" s="15" t="s">
        <v>225</v>
      </c>
      <c r="D654" s="15" t="s">
        <v>227</v>
      </c>
      <c r="E654" s="15" t="s">
        <v>1634</v>
      </c>
      <c r="F654" s="15" t="s">
        <v>1635</v>
      </c>
    </row>
    <row r="655" spans="1:11">
      <c r="A655" s="4" t="s">
        <v>186</v>
      </c>
      <c r="B655" s="44">
        <f>'Loads'!B$300</f>
        <v>0</v>
      </c>
      <c r="C655" s="44">
        <f>'Loads'!E$300</f>
        <v>0</v>
      </c>
      <c r="D655" s="44">
        <f>'Loads'!G$300</f>
        <v>0</v>
      </c>
      <c r="E655" s="44">
        <f>'Multi'!B$127</f>
        <v>0</v>
      </c>
      <c r="F655" s="38">
        <f>IF(C655,E655/C655,"")</f>
        <v>0</v>
      </c>
      <c r="G655" s="17"/>
    </row>
    <row r="657" spans="1:8">
      <c r="B657" s="15" t="s">
        <v>1466</v>
      </c>
      <c r="C657" s="15" t="s">
        <v>1469</v>
      </c>
      <c r="D657" s="15" t="s">
        <v>1099</v>
      </c>
      <c r="E657" s="15" t="s">
        <v>1636</v>
      </c>
      <c r="F657" s="15" t="s">
        <v>1606</v>
      </c>
      <c r="G657" s="15" t="s">
        <v>1637</v>
      </c>
    </row>
    <row r="658" spans="1:8">
      <c r="A658" s="4" t="s">
        <v>451</v>
      </c>
      <c r="B658" s="39">
        <f>'Yard'!$C$43</f>
        <v>0</v>
      </c>
      <c r="C658" s="10"/>
      <c r="D658" s="39">
        <f>'Reactive'!$C$79</f>
        <v>0</v>
      </c>
      <c r="E658" s="21">
        <f>0.01*'Input'!$F$58*(C658*$C$655)+10*(B658*$B$655+D658*$D$655)</f>
        <v>0</v>
      </c>
      <c r="F658" s="38">
        <f>IF($E$655&lt;&gt;0,0.1*E658/$E$655,"")</f>
        <v>0</v>
      </c>
      <c r="G658" s="46">
        <f>IF($C$655&lt;&gt;0,E658/$C$655,"")</f>
        <v>0</v>
      </c>
      <c r="H658" s="17"/>
    </row>
    <row r="659" spans="1:8">
      <c r="A659" s="4" t="s">
        <v>452</v>
      </c>
      <c r="B659" s="39">
        <f>'Yard'!$D$43</f>
        <v>0</v>
      </c>
      <c r="C659" s="10"/>
      <c r="D659" s="39">
        <f>'Reactive'!$D$79</f>
        <v>0</v>
      </c>
      <c r="E659" s="21">
        <f>0.01*'Input'!$F$58*(C659*$C$655)+10*(B659*$B$655+D659*$D$655)</f>
        <v>0</v>
      </c>
      <c r="F659" s="38">
        <f>IF($E$655&lt;&gt;0,0.1*E659/$E$655,"")</f>
        <v>0</v>
      </c>
      <c r="G659" s="46">
        <f>IF($C$655&lt;&gt;0,E659/$C$655,"")</f>
        <v>0</v>
      </c>
      <c r="H659" s="17"/>
    </row>
    <row r="660" spans="1:8">
      <c r="A660" s="4" t="s">
        <v>453</v>
      </c>
      <c r="B660" s="39">
        <f>'Yard'!$E$43</f>
        <v>0</v>
      </c>
      <c r="C660" s="10"/>
      <c r="D660" s="39">
        <f>'Reactive'!$E$79</f>
        <v>0</v>
      </c>
      <c r="E660" s="21">
        <f>0.01*'Input'!$F$58*(C660*$C$655)+10*(B660*$B$655+D660*$D$655)</f>
        <v>0</v>
      </c>
      <c r="F660" s="38">
        <f>IF($E$655&lt;&gt;0,0.1*E660/$E$655,"")</f>
        <v>0</v>
      </c>
      <c r="G660" s="46">
        <f>IF($C$655&lt;&gt;0,E660/$C$655,"")</f>
        <v>0</v>
      </c>
      <c r="H660" s="17"/>
    </row>
    <row r="661" spans="1:8">
      <c r="A661" s="4" t="s">
        <v>454</v>
      </c>
      <c r="B661" s="39">
        <f>'Yard'!$F$43</f>
        <v>0</v>
      </c>
      <c r="C661" s="10"/>
      <c r="D661" s="39">
        <f>'Reactive'!$F$79</f>
        <v>0</v>
      </c>
      <c r="E661" s="21">
        <f>0.01*'Input'!$F$58*(C661*$C$655)+10*(B661*$B$655+D661*$D$655)</f>
        <v>0</v>
      </c>
      <c r="F661" s="38">
        <f>IF($E$655&lt;&gt;0,0.1*E661/$E$655,"")</f>
        <v>0</v>
      </c>
      <c r="G661" s="46">
        <f>IF($C$655&lt;&gt;0,E661/$C$655,"")</f>
        <v>0</v>
      </c>
      <c r="H661" s="17"/>
    </row>
    <row r="662" spans="1:8">
      <c r="A662" s="4" t="s">
        <v>455</v>
      </c>
      <c r="B662" s="39">
        <f>'Yard'!$G$43</f>
        <v>0</v>
      </c>
      <c r="C662" s="10"/>
      <c r="D662" s="39">
        <f>'Reactive'!$G$79</f>
        <v>0</v>
      </c>
      <c r="E662" s="21">
        <f>0.01*'Input'!$F$58*(C662*$C$655)+10*(B662*$B$655+D662*$D$655)</f>
        <v>0</v>
      </c>
      <c r="F662" s="38">
        <f>IF($E$655&lt;&gt;0,0.1*E662/$E$655,"")</f>
        <v>0</v>
      </c>
      <c r="G662" s="46">
        <f>IF($C$655&lt;&gt;0,E662/$C$655,"")</f>
        <v>0</v>
      </c>
      <c r="H662" s="17"/>
    </row>
    <row r="663" spans="1:8">
      <c r="A663" s="4" t="s">
        <v>456</v>
      </c>
      <c r="B663" s="39">
        <f>'Yard'!$H$43</f>
        <v>0</v>
      </c>
      <c r="C663" s="10"/>
      <c r="D663" s="39">
        <f>'Reactive'!$H$79</f>
        <v>0</v>
      </c>
      <c r="E663" s="21">
        <f>0.01*'Input'!$F$58*(C663*$C$655)+10*(B663*$B$655+D663*$D$655)</f>
        <v>0</v>
      </c>
      <c r="F663" s="38">
        <f>IF($E$655&lt;&gt;0,0.1*E663/$E$655,"")</f>
        <v>0</v>
      </c>
      <c r="G663" s="46">
        <f>IF($C$655&lt;&gt;0,E663/$C$655,"")</f>
        <v>0</v>
      </c>
      <c r="H663" s="17"/>
    </row>
    <row r="664" spans="1:8">
      <c r="A664" s="4" t="s">
        <v>457</v>
      </c>
      <c r="B664" s="39">
        <f>'Yard'!$I$43</f>
        <v>0</v>
      </c>
      <c r="C664" s="10"/>
      <c r="D664" s="39">
        <f>'Reactive'!$I$79</f>
        <v>0</v>
      </c>
      <c r="E664" s="21">
        <f>0.01*'Input'!$F$58*(C664*$C$655)+10*(B664*$B$655+D664*$D$655)</f>
        <v>0</v>
      </c>
      <c r="F664" s="38">
        <f>IF($E$655&lt;&gt;0,0.1*E664/$E$655,"")</f>
        <v>0</v>
      </c>
      <c r="G664" s="46">
        <f>IF($C$655&lt;&gt;0,E664/$C$655,"")</f>
        <v>0</v>
      </c>
      <c r="H664" s="17"/>
    </row>
    <row r="665" spans="1:8">
      <c r="A665" s="4" t="s">
        <v>458</v>
      </c>
      <c r="B665" s="39">
        <f>'Yard'!$J$43</f>
        <v>0</v>
      </c>
      <c r="C665" s="10"/>
      <c r="D665" s="39">
        <f>'Reactive'!$J$79</f>
        <v>0</v>
      </c>
      <c r="E665" s="21">
        <f>0.01*'Input'!$F$58*(C665*$C$655)+10*(B665*$B$655+D665*$D$655)</f>
        <v>0</v>
      </c>
      <c r="F665" s="38">
        <f>IF($E$655&lt;&gt;0,0.1*E665/$E$655,"")</f>
        <v>0</v>
      </c>
      <c r="G665" s="46">
        <f>IF($C$655&lt;&gt;0,E665/$C$655,"")</f>
        <v>0</v>
      </c>
      <c r="H665" s="17"/>
    </row>
    <row r="666" spans="1:8">
      <c r="A666" s="4" t="s">
        <v>1638</v>
      </c>
      <c r="B666" s="10"/>
      <c r="C666" s="47">
        <f>'SM'!$B$120</f>
        <v>0</v>
      </c>
      <c r="D666" s="10"/>
      <c r="E666" s="21">
        <f>0.01*'Input'!$F$58*(C666*$C$655)+10*(B666*$B$655+D666*$D$655)</f>
        <v>0</v>
      </c>
      <c r="F666" s="38">
        <f>IF($E$655&lt;&gt;0,0.1*E666/$E$655,"")</f>
        <v>0</v>
      </c>
      <c r="G666" s="46">
        <f>IF($C$655&lt;&gt;0,E666/$C$655,"")</f>
        <v>0</v>
      </c>
      <c r="H666" s="17"/>
    </row>
    <row r="667" spans="1:8">
      <c r="A667" s="4" t="s">
        <v>1639</v>
      </c>
      <c r="B667" s="10"/>
      <c r="C667" s="47">
        <f>'SM'!$C$120</f>
        <v>0</v>
      </c>
      <c r="D667" s="10"/>
      <c r="E667" s="21">
        <f>0.01*'Input'!$F$58*(C667*$C$655)+10*(B667*$B$655+D667*$D$655)</f>
        <v>0</v>
      </c>
      <c r="F667" s="38">
        <f>IF($E$655&lt;&gt;0,0.1*E667/$E$655,"")</f>
        <v>0</v>
      </c>
      <c r="G667" s="46">
        <f>IF($C$655&lt;&gt;0,E667/$C$655,"")</f>
        <v>0</v>
      </c>
      <c r="H667" s="17"/>
    </row>
    <row r="668" spans="1:8">
      <c r="A668" s="4" t="s">
        <v>1640</v>
      </c>
      <c r="B668" s="39">
        <f>'Yard'!$K$43</f>
        <v>0</v>
      </c>
      <c r="C668" s="10"/>
      <c r="D668" s="39">
        <f>'Reactive'!$K$79</f>
        <v>0</v>
      </c>
      <c r="E668" s="21">
        <f>0.01*'Input'!$F$58*(C668*$C$655)+10*(B668*$B$655+D668*$D$655)</f>
        <v>0</v>
      </c>
      <c r="F668" s="38">
        <f>IF($E$655&lt;&gt;0,0.1*E668/$E$655,"")</f>
        <v>0</v>
      </c>
      <c r="G668" s="46">
        <f>IF($C$655&lt;&gt;0,E668/$C$655,"")</f>
        <v>0</v>
      </c>
      <c r="H668" s="17"/>
    </row>
    <row r="669" spans="1:8">
      <c r="A669" s="4" t="s">
        <v>1641</v>
      </c>
      <c r="B669" s="39">
        <f>'Yard'!$L$43</f>
        <v>0</v>
      </c>
      <c r="C669" s="10"/>
      <c r="D669" s="39">
        <f>'Reactive'!$L$79</f>
        <v>0</v>
      </c>
      <c r="E669" s="21">
        <f>0.01*'Input'!$F$58*(C669*$C$655)+10*(B669*$B$655+D669*$D$655)</f>
        <v>0</v>
      </c>
      <c r="F669" s="38">
        <f>IF($E$655&lt;&gt;0,0.1*E669/$E$655,"")</f>
        <v>0</v>
      </c>
      <c r="G669" s="46">
        <f>IF($C$655&lt;&gt;0,E669/$C$655,"")</f>
        <v>0</v>
      </c>
      <c r="H669" s="17"/>
    </row>
    <row r="670" spans="1:8">
      <c r="A670" s="4" t="s">
        <v>1642</v>
      </c>
      <c r="B670" s="39">
        <f>'Yard'!$M$43</f>
        <v>0</v>
      </c>
      <c r="C670" s="10"/>
      <c r="D670" s="39">
        <f>'Reactive'!$M$79</f>
        <v>0</v>
      </c>
      <c r="E670" s="21">
        <f>0.01*'Input'!$F$58*(C670*$C$655)+10*(B670*$B$655+D670*$D$655)</f>
        <v>0</v>
      </c>
      <c r="F670" s="38">
        <f>IF($E$655&lt;&gt;0,0.1*E670/$E$655,"")</f>
        <v>0</v>
      </c>
      <c r="G670" s="46">
        <f>IF($C$655&lt;&gt;0,E670/$C$655,"")</f>
        <v>0</v>
      </c>
      <c r="H670" s="17"/>
    </row>
    <row r="671" spans="1:8">
      <c r="A671" s="4" t="s">
        <v>1643</v>
      </c>
      <c r="B671" s="39">
        <f>'Yard'!$N$43</f>
        <v>0</v>
      </c>
      <c r="C671" s="10"/>
      <c r="D671" s="39">
        <f>'Reactive'!$N$79</f>
        <v>0</v>
      </c>
      <c r="E671" s="21">
        <f>0.01*'Input'!$F$58*(C671*$C$655)+10*(B671*$B$655+D671*$D$655)</f>
        <v>0</v>
      </c>
      <c r="F671" s="38">
        <f>IF($E$655&lt;&gt;0,0.1*E671/$E$655,"")</f>
        <v>0</v>
      </c>
      <c r="G671" s="46">
        <f>IF($C$655&lt;&gt;0,E671/$C$655,"")</f>
        <v>0</v>
      </c>
      <c r="H671" s="17"/>
    </row>
    <row r="672" spans="1:8">
      <c r="A672" s="4" t="s">
        <v>1644</v>
      </c>
      <c r="B672" s="39">
        <f>'Yard'!$O$43</f>
        <v>0</v>
      </c>
      <c r="C672" s="10"/>
      <c r="D672" s="39">
        <f>'Reactive'!$O$79</f>
        <v>0</v>
      </c>
      <c r="E672" s="21">
        <f>0.01*'Input'!$F$58*(C672*$C$655)+10*(B672*$B$655+D672*$D$655)</f>
        <v>0</v>
      </c>
      <c r="F672" s="38">
        <f>IF($E$655&lt;&gt;0,0.1*E672/$E$655,"")</f>
        <v>0</v>
      </c>
      <c r="G672" s="46">
        <f>IF($C$655&lt;&gt;0,E672/$C$655,"")</f>
        <v>0</v>
      </c>
      <c r="H672" s="17"/>
    </row>
    <row r="673" spans="1:9">
      <c r="A673" s="4" t="s">
        <v>1645</v>
      </c>
      <c r="B673" s="39">
        <f>'Yard'!$P$43</f>
        <v>0</v>
      </c>
      <c r="C673" s="10"/>
      <c r="D673" s="39">
        <f>'Reactive'!$P$79</f>
        <v>0</v>
      </c>
      <c r="E673" s="21">
        <f>0.01*'Input'!$F$58*(C673*$C$655)+10*(B673*$B$655+D673*$D$655)</f>
        <v>0</v>
      </c>
      <c r="F673" s="38">
        <f>IF($E$655&lt;&gt;0,0.1*E673/$E$655,"")</f>
        <v>0</v>
      </c>
      <c r="G673" s="46">
        <f>IF($C$655&lt;&gt;0,E673/$C$655,"")</f>
        <v>0</v>
      </c>
      <c r="H673" s="17"/>
    </row>
    <row r="674" spans="1:9">
      <c r="A674" s="4" t="s">
        <v>1646</v>
      </c>
      <c r="B674" s="39">
        <f>'Yard'!$Q$43</f>
        <v>0</v>
      </c>
      <c r="C674" s="10"/>
      <c r="D674" s="39">
        <f>'Reactive'!$Q$79</f>
        <v>0</v>
      </c>
      <c r="E674" s="21">
        <f>0.01*'Input'!$F$58*(C674*$C$655)+10*(B674*$B$655+D674*$D$655)</f>
        <v>0</v>
      </c>
      <c r="F674" s="38">
        <f>IF($E$655&lt;&gt;0,0.1*E674/$E$655,"")</f>
        <v>0</v>
      </c>
      <c r="G674" s="46">
        <f>IF($C$655&lt;&gt;0,E674/$C$655,"")</f>
        <v>0</v>
      </c>
      <c r="H674" s="17"/>
    </row>
    <row r="675" spans="1:9">
      <c r="A675" s="4" t="s">
        <v>1647</v>
      </c>
      <c r="B675" s="39">
        <f>'Yard'!$R$43</f>
        <v>0</v>
      </c>
      <c r="C675" s="10"/>
      <c r="D675" s="39">
        <f>'Reactive'!$R$79</f>
        <v>0</v>
      </c>
      <c r="E675" s="21">
        <f>0.01*'Input'!$F$58*(C675*$C$655)+10*(B675*$B$655+D675*$D$655)</f>
        <v>0</v>
      </c>
      <c r="F675" s="38">
        <f>IF($E$655&lt;&gt;0,0.1*E675/$E$655,"")</f>
        <v>0</v>
      </c>
      <c r="G675" s="46">
        <f>IF($C$655&lt;&gt;0,E675/$C$655,"")</f>
        <v>0</v>
      </c>
      <c r="H675" s="17"/>
    </row>
    <row r="676" spans="1:9">
      <c r="A676" s="4" t="s">
        <v>1648</v>
      </c>
      <c r="B676" s="39">
        <f>'Yard'!$S$43</f>
        <v>0</v>
      </c>
      <c r="C676" s="10"/>
      <c r="D676" s="39">
        <f>'Reactive'!$S$79</f>
        <v>0</v>
      </c>
      <c r="E676" s="21">
        <f>0.01*'Input'!$F$58*(C676*$C$655)+10*(B676*$B$655+D676*$D$655)</f>
        <v>0</v>
      </c>
      <c r="F676" s="38">
        <f>IF($E$655&lt;&gt;0,0.1*E676/$E$655,"")</f>
        <v>0</v>
      </c>
      <c r="G676" s="46">
        <f>IF($C$655&lt;&gt;0,E676/$C$655,"")</f>
        <v>0</v>
      </c>
      <c r="H676" s="17"/>
    </row>
    <row r="677" spans="1:9">
      <c r="A677" s="4" t="s">
        <v>1649</v>
      </c>
      <c r="B677" s="10"/>
      <c r="C677" s="47">
        <f>'Otex'!$B$141</f>
        <v>0</v>
      </c>
      <c r="D677" s="10"/>
      <c r="E677" s="21">
        <f>0.01*'Input'!$F$58*(C677*$C$655)+10*(B677*$B$655+D677*$D$655)</f>
        <v>0</v>
      </c>
      <c r="F677" s="38">
        <f>IF($E$655&lt;&gt;0,0.1*E677/$E$655,"")</f>
        <v>0</v>
      </c>
      <c r="G677" s="46">
        <f>IF($C$655&lt;&gt;0,E677/$C$655,"")</f>
        <v>0</v>
      </c>
      <c r="H677" s="17"/>
    </row>
    <row r="678" spans="1:9">
      <c r="A678" s="4" t="s">
        <v>1650</v>
      </c>
      <c r="B678" s="10"/>
      <c r="C678" s="47">
        <f>'Otex'!$C$141</f>
        <v>0</v>
      </c>
      <c r="D678" s="10"/>
      <c r="E678" s="21">
        <f>0.01*'Input'!$F$58*(C678*$C$655)+10*(B678*$B$655+D678*$D$655)</f>
        <v>0</v>
      </c>
      <c r="F678" s="38">
        <f>IF($E$655&lt;&gt;0,0.1*E678/$E$655,"")</f>
        <v>0</v>
      </c>
      <c r="G678" s="46">
        <f>IF($C$655&lt;&gt;0,E678/$C$655,"")</f>
        <v>0</v>
      </c>
      <c r="H678" s="17"/>
    </row>
    <row r="679" spans="1:9">
      <c r="A679" s="4" t="s">
        <v>1651</v>
      </c>
      <c r="B679" s="39">
        <f>'Scaler'!$B$409</f>
        <v>0</v>
      </c>
      <c r="C679" s="47">
        <f>'Scaler'!$E$409</f>
        <v>0</v>
      </c>
      <c r="D679" s="39">
        <f>'Scaler'!$G$409</f>
        <v>0</v>
      </c>
      <c r="E679" s="21">
        <f>0.01*'Input'!$F$58*(C679*$C$655)+10*(B679*$B$655+D679*$D$655)</f>
        <v>0</v>
      </c>
      <c r="F679" s="38">
        <f>IF($E$655&lt;&gt;0,0.1*E679/$E$655,"")</f>
        <v>0</v>
      </c>
      <c r="G679" s="46">
        <f>IF($C$655&lt;&gt;0,E679/$C$655,"")</f>
        <v>0</v>
      </c>
      <c r="H679" s="17"/>
    </row>
    <row r="680" spans="1:9">
      <c r="A680" s="4" t="s">
        <v>1652</v>
      </c>
      <c r="B680" s="39">
        <f>'Adjust'!$B$89</f>
        <v>0</v>
      </c>
      <c r="C680" s="47">
        <f>'Adjust'!$E$89</f>
        <v>0</v>
      </c>
      <c r="D680" s="39">
        <f>'Adjust'!$G$89</f>
        <v>0</v>
      </c>
      <c r="E680" s="21">
        <f>0.01*'Input'!$F$58*(C680*$C$655)+10*(B680*$B$655+D680*$D$655)</f>
        <v>0</v>
      </c>
      <c r="F680" s="38">
        <f>IF($E$655&lt;&gt;0,0.1*E680/$E$655,"")</f>
        <v>0</v>
      </c>
      <c r="G680" s="46">
        <f>IF($C$655&lt;&gt;0,E680/$C$655,"")</f>
        <v>0</v>
      </c>
      <c r="H680" s="17"/>
    </row>
    <row r="682" spans="1:9">
      <c r="A682" s="4" t="s">
        <v>1653</v>
      </c>
      <c r="B682" s="38">
        <f>SUM($B$658:$B$680)</f>
        <v>0</v>
      </c>
      <c r="C682" s="46">
        <f>SUM($C$658:$C$680)</f>
        <v>0</v>
      </c>
      <c r="D682" s="38">
        <f>SUM($D$658:$D$680)</f>
        <v>0</v>
      </c>
      <c r="E682" s="21">
        <f>SUM($E$658:$E$680)</f>
        <v>0</v>
      </c>
      <c r="F682" s="38">
        <f>SUM($F$658:$F$680)</f>
        <v>0</v>
      </c>
      <c r="G682" s="46">
        <f>SUM($G$658:$G$680)</f>
        <v>0</v>
      </c>
    </row>
    <row r="684" spans="1:9" ht="21" customHeight="1">
      <c r="A684" s="1" t="s">
        <v>187</v>
      </c>
    </row>
    <row r="686" spans="1:9">
      <c r="B686" s="15" t="s">
        <v>222</v>
      </c>
      <c r="C686" s="15" t="s">
        <v>223</v>
      </c>
      <c r="D686" s="15" t="s">
        <v>224</v>
      </c>
      <c r="E686" s="15" t="s">
        <v>225</v>
      </c>
      <c r="F686" s="15" t="s">
        <v>227</v>
      </c>
      <c r="G686" s="15" t="s">
        <v>1634</v>
      </c>
      <c r="H686" s="15" t="s">
        <v>1635</v>
      </c>
    </row>
    <row r="687" spans="1:9">
      <c r="A687" s="4" t="s">
        <v>187</v>
      </c>
      <c r="B687" s="44">
        <f>'Loads'!B$301</f>
        <v>0</v>
      </c>
      <c r="C687" s="44">
        <f>'Loads'!C$301</f>
        <v>0</v>
      </c>
      <c r="D687" s="44">
        <f>'Loads'!D$301</f>
        <v>0</v>
      </c>
      <c r="E687" s="44">
        <f>'Loads'!E$301</f>
        <v>0</v>
      </c>
      <c r="F687" s="44">
        <f>'Loads'!G$301</f>
        <v>0</v>
      </c>
      <c r="G687" s="44">
        <f>'Multi'!B$128</f>
        <v>0</v>
      </c>
      <c r="H687" s="38">
        <f>IF(E687,G687/E687,"")</f>
        <v>0</v>
      </c>
      <c r="I687" s="17"/>
    </row>
    <row r="689" spans="1:11">
      <c r="B689" s="15" t="s">
        <v>1466</v>
      </c>
      <c r="C689" s="15" t="s">
        <v>1467</v>
      </c>
      <c r="D689" s="15" t="s">
        <v>1468</v>
      </c>
      <c r="E689" s="15" t="s">
        <v>1469</v>
      </c>
      <c r="F689" s="15" t="s">
        <v>1099</v>
      </c>
      <c r="G689" s="15" t="s">
        <v>1654</v>
      </c>
      <c r="H689" s="15" t="s">
        <v>1636</v>
      </c>
      <c r="I689" s="15" t="s">
        <v>1606</v>
      </c>
      <c r="J689" s="15" t="s">
        <v>1637</v>
      </c>
    </row>
    <row r="690" spans="1:11">
      <c r="A690" s="4" t="s">
        <v>451</v>
      </c>
      <c r="B690" s="39">
        <f>'Yard'!$C$75</f>
        <v>0</v>
      </c>
      <c r="C690" s="39">
        <f>'Yard'!$C$97</f>
        <v>0</v>
      </c>
      <c r="D690" s="39">
        <f>'Yard'!$C$117</f>
        <v>0</v>
      </c>
      <c r="E690" s="10"/>
      <c r="F690" s="39">
        <f>'Reactive'!$C$80</f>
        <v>0</v>
      </c>
      <c r="G690" s="38">
        <f>IF(G$687&lt;&gt;0,(($B690*B$687+$C690*C$687+$D690*D$687+$F690*F$687))/G$687,0)</f>
        <v>0</v>
      </c>
      <c r="H690" s="21">
        <f>0.01*'Input'!$F$58*(E690*$E$687)+10*(B690*$B$687+C690*$C$687+D690*$D$687+F690*$F$687)</f>
        <v>0</v>
      </c>
      <c r="I690" s="38">
        <f>IF($G$687&lt;&gt;0,0.1*H690/$G$687,"")</f>
        <v>0</v>
      </c>
      <c r="J690" s="46">
        <f>IF($E$687&lt;&gt;0,H690/$E$687,"")</f>
        <v>0</v>
      </c>
      <c r="K690" s="17"/>
    </row>
    <row r="691" spans="1:11">
      <c r="A691" s="4" t="s">
        <v>452</v>
      </c>
      <c r="B691" s="39">
        <f>'Yard'!$D$75</f>
        <v>0</v>
      </c>
      <c r="C691" s="39">
        <f>'Yard'!$D$97</f>
        <v>0</v>
      </c>
      <c r="D691" s="39">
        <f>'Yard'!$D$117</f>
        <v>0</v>
      </c>
      <c r="E691" s="10"/>
      <c r="F691" s="39">
        <f>'Reactive'!$D$80</f>
        <v>0</v>
      </c>
      <c r="G691" s="38">
        <f>IF(G$687&lt;&gt;0,(($B691*B$687+$C691*C$687+$D691*D$687+$F691*F$687))/G$687,0)</f>
        <v>0</v>
      </c>
      <c r="H691" s="21">
        <f>0.01*'Input'!$F$58*(E691*$E$687)+10*(B691*$B$687+C691*$C$687+D691*$D$687+F691*$F$687)</f>
        <v>0</v>
      </c>
      <c r="I691" s="38">
        <f>IF($G$687&lt;&gt;0,0.1*H691/$G$687,"")</f>
        <v>0</v>
      </c>
      <c r="J691" s="46">
        <f>IF($E$687&lt;&gt;0,H691/$E$687,"")</f>
        <v>0</v>
      </c>
      <c r="K691" s="17"/>
    </row>
    <row r="692" spans="1:11">
      <c r="A692" s="4" t="s">
        <v>453</v>
      </c>
      <c r="B692" s="39">
        <f>'Yard'!$E$75</f>
        <v>0</v>
      </c>
      <c r="C692" s="39">
        <f>'Yard'!$E$97</f>
        <v>0</v>
      </c>
      <c r="D692" s="39">
        <f>'Yard'!$E$117</f>
        <v>0</v>
      </c>
      <c r="E692" s="10"/>
      <c r="F692" s="39">
        <f>'Reactive'!$E$80</f>
        <v>0</v>
      </c>
      <c r="G692" s="38">
        <f>IF(G$687&lt;&gt;0,(($B692*B$687+$C692*C$687+$D692*D$687+$F692*F$687))/G$687,0)</f>
        <v>0</v>
      </c>
      <c r="H692" s="21">
        <f>0.01*'Input'!$F$58*(E692*$E$687)+10*(B692*$B$687+C692*$C$687+D692*$D$687+F692*$F$687)</f>
        <v>0</v>
      </c>
      <c r="I692" s="38">
        <f>IF($G$687&lt;&gt;0,0.1*H692/$G$687,"")</f>
        <v>0</v>
      </c>
      <c r="J692" s="46">
        <f>IF($E$687&lt;&gt;0,H692/$E$687,"")</f>
        <v>0</v>
      </c>
      <c r="K692" s="17"/>
    </row>
    <row r="693" spans="1:11">
      <c r="A693" s="4" t="s">
        <v>454</v>
      </c>
      <c r="B693" s="39">
        <f>'Yard'!$F$75</f>
        <v>0</v>
      </c>
      <c r="C693" s="39">
        <f>'Yard'!$F$97</f>
        <v>0</v>
      </c>
      <c r="D693" s="39">
        <f>'Yard'!$F$117</f>
        <v>0</v>
      </c>
      <c r="E693" s="10"/>
      <c r="F693" s="39">
        <f>'Reactive'!$F$80</f>
        <v>0</v>
      </c>
      <c r="G693" s="38">
        <f>IF(G$687&lt;&gt;0,(($B693*B$687+$C693*C$687+$D693*D$687+$F693*F$687))/G$687,0)</f>
        <v>0</v>
      </c>
      <c r="H693" s="21">
        <f>0.01*'Input'!$F$58*(E693*$E$687)+10*(B693*$B$687+C693*$C$687+D693*$D$687+F693*$F$687)</f>
        <v>0</v>
      </c>
      <c r="I693" s="38">
        <f>IF($G$687&lt;&gt;0,0.1*H693/$G$687,"")</f>
        <v>0</v>
      </c>
      <c r="J693" s="46">
        <f>IF($E$687&lt;&gt;0,H693/$E$687,"")</f>
        <v>0</v>
      </c>
      <c r="K693" s="17"/>
    </row>
    <row r="694" spans="1:11">
      <c r="A694" s="4" t="s">
        <v>455</v>
      </c>
      <c r="B694" s="39">
        <f>'Yard'!$G$75</f>
        <v>0</v>
      </c>
      <c r="C694" s="39">
        <f>'Yard'!$G$97</f>
        <v>0</v>
      </c>
      <c r="D694" s="39">
        <f>'Yard'!$G$117</f>
        <v>0</v>
      </c>
      <c r="E694" s="10"/>
      <c r="F694" s="39">
        <f>'Reactive'!$G$80</f>
        <v>0</v>
      </c>
      <c r="G694" s="38">
        <f>IF(G$687&lt;&gt;0,(($B694*B$687+$C694*C$687+$D694*D$687+$F694*F$687))/G$687,0)</f>
        <v>0</v>
      </c>
      <c r="H694" s="21">
        <f>0.01*'Input'!$F$58*(E694*$E$687)+10*(B694*$B$687+C694*$C$687+D694*$D$687+F694*$F$687)</f>
        <v>0</v>
      </c>
      <c r="I694" s="38">
        <f>IF($G$687&lt;&gt;0,0.1*H694/$G$687,"")</f>
        <v>0</v>
      </c>
      <c r="J694" s="46">
        <f>IF($E$687&lt;&gt;0,H694/$E$687,"")</f>
        <v>0</v>
      </c>
      <c r="K694" s="17"/>
    </row>
    <row r="695" spans="1:11">
      <c r="A695" s="4" t="s">
        <v>456</v>
      </c>
      <c r="B695" s="39">
        <f>'Yard'!$H$75</f>
        <v>0</v>
      </c>
      <c r="C695" s="39">
        <f>'Yard'!$H$97</f>
        <v>0</v>
      </c>
      <c r="D695" s="39">
        <f>'Yard'!$H$117</f>
        <v>0</v>
      </c>
      <c r="E695" s="10"/>
      <c r="F695" s="39">
        <f>'Reactive'!$H$80</f>
        <v>0</v>
      </c>
      <c r="G695" s="38">
        <f>IF(G$687&lt;&gt;0,(($B695*B$687+$C695*C$687+$D695*D$687+$F695*F$687))/G$687,0)</f>
        <v>0</v>
      </c>
      <c r="H695" s="21">
        <f>0.01*'Input'!$F$58*(E695*$E$687)+10*(B695*$B$687+C695*$C$687+D695*$D$687+F695*$F$687)</f>
        <v>0</v>
      </c>
      <c r="I695" s="38">
        <f>IF($G$687&lt;&gt;0,0.1*H695/$G$687,"")</f>
        <v>0</v>
      </c>
      <c r="J695" s="46">
        <f>IF($E$687&lt;&gt;0,H695/$E$687,"")</f>
        <v>0</v>
      </c>
      <c r="K695" s="17"/>
    </row>
    <row r="696" spans="1:11">
      <c r="A696" s="4" t="s">
        <v>457</v>
      </c>
      <c r="B696" s="39">
        <f>'Yard'!$I$75</f>
        <v>0</v>
      </c>
      <c r="C696" s="39">
        <f>'Yard'!$I$97</f>
        <v>0</v>
      </c>
      <c r="D696" s="39">
        <f>'Yard'!$I$117</f>
        <v>0</v>
      </c>
      <c r="E696" s="10"/>
      <c r="F696" s="39">
        <f>'Reactive'!$I$80</f>
        <v>0</v>
      </c>
      <c r="G696" s="38">
        <f>IF(G$687&lt;&gt;0,(($B696*B$687+$C696*C$687+$D696*D$687+$F696*F$687))/G$687,0)</f>
        <v>0</v>
      </c>
      <c r="H696" s="21">
        <f>0.01*'Input'!$F$58*(E696*$E$687)+10*(B696*$B$687+C696*$C$687+D696*$D$687+F696*$F$687)</f>
        <v>0</v>
      </c>
      <c r="I696" s="38">
        <f>IF($G$687&lt;&gt;0,0.1*H696/$G$687,"")</f>
        <v>0</v>
      </c>
      <c r="J696" s="46">
        <f>IF($E$687&lt;&gt;0,H696/$E$687,"")</f>
        <v>0</v>
      </c>
      <c r="K696" s="17"/>
    </row>
    <row r="697" spans="1:11">
      <c r="A697" s="4" t="s">
        <v>458</v>
      </c>
      <c r="B697" s="39">
        <f>'Yard'!$J$75</f>
        <v>0</v>
      </c>
      <c r="C697" s="39">
        <f>'Yard'!$J$97</f>
        <v>0</v>
      </c>
      <c r="D697" s="39">
        <f>'Yard'!$J$117</f>
        <v>0</v>
      </c>
      <c r="E697" s="10"/>
      <c r="F697" s="39">
        <f>'Reactive'!$J$80</f>
        <v>0</v>
      </c>
      <c r="G697" s="38">
        <f>IF(G$687&lt;&gt;0,(($B697*B$687+$C697*C$687+$D697*D$687+$F697*F$687))/G$687,0)</f>
        <v>0</v>
      </c>
      <c r="H697" s="21">
        <f>0.01*'Input'!$F$58*(E697*$E$687)+10*(B697*$B$687+C697*$C$687+D697*$D$687+F697*$F$687)</f>
        <v>0</v>
      </c>
      <c r="I697" s="38">
        <f>IF($G$687&lt;&gt;0,0.1*H697/$G$687,"")</f>
        <v>0</v>
      </c>
      <c r="J697" s="46">
        <f>IF($E$687&lt;&gt;0,H697/$E$687,"")</f>
        <v>0</v>
      </c>
      <c r="K697" s="17"/>
    </row>
    <row r="698" spans="1:11">
      <c r="A698" s="4" t="s">
        <v>1638</v>
      </c>
      <c r="B698" s="10"/>
      <c r="C698" s="10"/>
      <c r="D698" s="10"/>
      <c r="E698" s="47">
        <f>'SM'!$B$121</f>
        <v>0</v>
      </c>
      <c r="F698" s="10"/>
      <c r="G698" s="38">
        <f>IF(G$687&lt;&gt;0,(($B698*B$687+$C698*C$687+$D698*D$687+$F698*F$687))/G$687,0)</f>
        <v>0</v>
      </c>
      <c r="H698" s="21">
        <f>0.01*'Input'!$F$58*(E698*$E$687)+10*(B698*$B$687+C698*$C$687+D698*$D$687+F698*$F$687)</f>
        <v>0</v>
      </c>
      <c r="I698" s="38">
        <f>IF($G$687&lt;&gt;0,0.1*H698/$G$687,"")</f>
        <v>0</v>
      </c>
      <c r="J698" s="46">
        <f>IF($E$687&lt;&gt;0,H698/$E$687,"")</f>
        <v>0</v>
      </c>
      <c r="K698" s="17"/>
    </row>
    <row r="699" spans="1:11">
      <c r="A699" s="4" t="s">
        <v>1639</v>
      </c>
      <c r="B699" s="10"/>
      <c r="C699" s="10"/>
      <c r="D699" s="10"/>
      <c r="E699" s="47">
        <f>'SM'!$C$121</f>
        <v>0</v>
      </c>
      <c r="F699" s="10"/>
      <c r="G699" s="38">
        <f>IF(G$687&lt;&gt;0,(($B699*B$687+$C699*C$687+$D699*D$687+$F699*F$687))/G$687,0)</f>
        <v>0</v>
      </c>
      <c r="H699" s="21">
        <f>0.01*'Input'!$F$58*(E699*$E$687)+10*(B699*$B$687+C699*$C$687+D699*$D$687+F699*$F$687)</f>
        <v>0</v>
      </c>
      <c r="I699" s="38">
        <f>IF($G$687&lt;&gt;0,0.1*H699/$G$687,"")</f>
        <v>0</v>
      </c>
      <c r="J699" s="46">
        <f>IF($E$687&lt;&gt;0,H699/$E$687,"")</f>
        <v>0</v>
      </c>
      <c r="K699" s="17"/>
    </row>
    <row r="700" spans="1:11">
      <c r="A700" s="4" t="s">
        <v>1640</v>
      </c>
      <c r="B700" s="39">
        <f>'Yard'!$K$75</f>
        <v>0</v>
      </c>
      <c r="C700" s="39">
        <f>'Yard'!$K$97</f>
        <v>0</v>
      </c>
      <c r="D700" s="39">
        <f>'Yard'!$K$117</f>
        <v>0</v>
      </c>
      <c r="E700" s="10"/>
      <c r="F700" s="39">
        <f>'Reactive'!$K$80</f>
        <v>0</v>
      </c>
      <c r="G700" s="38">
        <f>IF(G$687&lt;&gt;0,(($B700*B$687+$C700*C$687+$D700*D$687+$F700*F$687))/G$687,0)</f>
        <v>0</v>
      </c>
      <c r="H700" s="21">
        <f>0.01*'Input'!$F$58*(E700*$E$687)+10*(B700*$B$687+C700*$C$687+D700*$D$687+F700*$F$687)</f>
        <v>0</v>
      </c>
      <c r="I700" s="38">
        <f>IF($G$687&lt;&gt;0,0.1*H700/$G$687,"")</f>
        <v>0</v>
      </c>
      <c r="J700" s="46">
        <f>IF($E$687&lt;&gt;0,H700/$E$687,"")</f>
        <v>0</v>
      </c>
      <c r="K700" s="17"/>
    </row>
    <row r="701" spans="1:11">
      <c r="A701" s="4" t="s">
        <v>1641</v>
      </c>
      <c r="B701" s="39">
        <f>'Yard'!$L$75</f>
        <v>0</v>
      </c>
      <c r="C701" s="39">
        <f>'Yard'!$L$97</f>
        <v>0</v>
      </c>
      <c r="D701" s="39">
        <f>'Yard'!$L$117</f>
        <v>0</v>
      </c>
      <c r="E701" s="10"/>
      <c r="F701" s="39">
        <f>'Reactive'!$L$80</f>
        <v>0</v>
      </c>
      <c r="G701" s="38">
        <f>IF(G$687&lt;&gt;0,(($B701*B$687+$C701*C$687+$D701*D$687+$F701*F$687))/G$687,0)</f>
        <v>0</v>
      </c>
      <c r="H701" s="21">
        <f>0.01*'Input'!$F$58*(E701*$E$687)+10*(B701*$B$687+C701*$C$687+D701*$D$687+F701*$F$687)</f>
        <v>0</v>
      </c>
      <c r="I701" s="38">
        <f>IF($G$687&lt;&gt;0,0.1*H701/$G$687,"")</f>
        <v>0</v>
      </c>
      <c r="J701" s="46">
        <f>IF($E$687&lt;&gt;0,H701/$E$687,"")</f>
        <v>0</v>
      </c>
      <c r="K701" s="17"/>
    </row>
    <row r="702" spans="1:11">
      <c r="A702" s="4" t="s">
        <v>1642</v>
      </c>
      <c r="B702" s="39">
        <f>'Yard'!$M$75</f>
        <v>0</v>
      </c>
      <c r="C702" s="39">
        <f>'Yard'!$M$97</f>
        <v>0</v>
      </c>
      <c r="D702" s="39">
        <f>'Yard'!$M$117</f>
        <v>0</v>
      </c>
      <c r="E702" s="10"/>
      <c r="F702" s="39">
        <f>'Reactive'!$M$80</f>
        <v>0</v>
      </c>
      <c r="G702" s="38">
        <f>IF(G$687&lt;&gt;0,(($B702*B$687+$C702*C$687+$D702*D$687+$F702*F$687))/G$687,0)</f>
        <v>0</v>
      </c>
      <c r="H702" s="21">
        <f>0.01*'Input'!$F$58*(E702*$E$687)+10*(B702*$B$687+C702*$C$687+D702*$D$687+F702*$F$687)</f>
        <v>0</v>
      </c>
      <c r="I702" s="38">
        <f>IF($G$687&lt;&gt;0,0.1*H702/$G$687,"")</f>
        <v>0</v>
      </c>
      <c r="J702" s="46">
        <f>IF($E$687&lt;&gt;0,H702/$E$687,"")</f>
        <v>0</v>
      </c>
      <c r="K702" s="17"/>
    </row>
    <row r="703" spans="1:11">
      <c r="A703" s="4" t="s">
        <v>1643</v>
      </c>
      <c r="B703" s="39">
        <f>'Yard'!$N$75</f>
        <v>0</v>
      </c>
      <c r="C703" s="39">
        <f>'Yard'!$N$97</f>
        <v>0</v>
      </c>
      <c r="D703" s="39">
        <f>'Yard'!$N$117</f>
        <v>0</v>
      </c>
      <c r="E703" s="10"/>
      <c r="F703" s="39">
        <f>'Reactive'!$N$80</f>
        <v>0</v>
      </c>
      <c r="G703" s="38">
        <f>IF(G$687&lt;&gt;0,(($B703*B$687+$C703*C$687+$D703*D$687+$F703*F$687))/G$687,0)</f>
        <v>0</v>
      </c>
      <c r="H703" s="21">
        <f>0.01*'Input'!$F$58*(E703*$E$687)+10*(B703*$B$687+C703*$C$687+D703*$D$687+F703*$F$687)</f>
        <v>0</v>
      </c>
      <c r="I703" s="38">
        <f>IF($G$687&lt;&gt;0,0.1*H703/$G$687,"")</f>
        <v>0</v>
      </c>
      <c r="J703" s="46">
        <f>IF($E$687&lt;&gt;0,H703/$E$687,"")</f>
        <v>0</v>
      </c>
      <c r="K703" s="17"/>
    </row>
    <row r="704" spans="1:11">
      <c r="A704" s="4" t="s">
        <v>1644</v>
      </c>
      <c r="B704" s="39">
        <f>'Yard'!$O$75</f>
        <v>0</v>
      </c>
      <c r="C704" s="39">
        <f>'Yard'!$O$97</f>
        <v>0</v>
      </c>
      <c r="D704" s="39">
        <f>'Yard'!$O$117</f>
        <v>0</v>
      </c>
      <c r="E704" s="10"/>
      <c r="F704" s="39">
        <f>'Reactive'!$O$80</f>
        <v>0</v>
      </c>
      <c r="G704" s="38">
        <f>IF(G$687&lt;&gt;0,(($B704*B$687+$C704*C$687+$D704*D$687+$F704*F$687))/G$687,0)</f>
        <v>0</v>
      </c>
      <c r="H704" s="21">
        <f>0.01*'Input'!$F$58*(E704*$E$687)+10*(B704*$B$687+C704*$C$687+D704*$D$687+F704*$F$687)</f>
        <v>0</v>
      </c>
      <c r="I704" s="38">
        <f>IF($G$687&lt;&gt;0,0.1*H704/$G$687,"")</f>
        <v>0</v>
      </c>
      <c r="J704" s="46">
        <f>IF($E$687&lt;&gt;0,H704/$E$687,"")</f>
        <v>0</v>
      </c>
      <c r="K704" s="17"/>
    </row>
    <row r="705" spans="1:11">
      <c r="A705" s="4" t="s">
        <v>1645</v>
      </c>
      <c r="B705" s="39">
        <f>'Yard'!$P$75</f>
        <v>0</v>
      </c>
      <c r="C705" s="39">
        <f>'Yard'!$P$97</f>
        <v>0</v>
      </c>
      <c r="D705" s="39">
        <f>'Yard'!$P$117</f>
        <v>0</v>
      </c>
      <c r="E705" s="10"/>
      <c r="F705" s="39">
        <f>'Reactive'!$P$80</f>
        <v>0</v>
      </c>
      <c r="G705" s="38">
        <f>IF(G$687&lt;&gt;0,(($B705*B$687+$C705*C$687+$D705*D$687+$F705*F$687))/G$687,0)</f>
        <v>0</v>
      </c>
      <c r="H705" s="21">
        <f>0.01*'Input'!$F$58*(E705*$E$687)+10*(B705*$B$687+C705*$C$687+D705*$D$687+F705*$F$687)</f>
        <v>0</v>
      </c>
      <c r="I705" s="38">
        <f>IF($G$687&lt;&gt;0,0.1*H705/$G$687,"")</f>
        <v>0</v>
      </c>
      <c r="J705" s="46">
        <f>IF($E$687&lt;&gt;0,H705/$E$687,"")</f>
        <v>0</v>
      </c>
      <c r="K705" s="17"/>
    </row>
    <row r="706" spans="1:11">
      <c r="A706" s="4" t="s">
        <v>1646</v>
      </c>
      <c r="B706" s="39">
        <f>'Yard'!$Q$75</f>
        <v>0</v>
      </c>
      <c r="C706" s="39">
        <f>'Yard'!$Q$97</f>
        <v>0</v>
      </c>
      <c r="D706" s="39">
        <f>'Yard'!$Q$117</f>
        <v>0</v>
      </c>
      <c r="E706" s="10"/>
      <c r="F706" s="39">
        <f>'Reactive'!$Q$80</f>
        <v>0</v>
      </c>
      <c r="G706" s="38">
        <f>IF(G$687&lt;&gt;0,(($B706*B$687+$C706*C$687+$D706*D$687+$F706*F$687))/G$687,0)</f>
        <v>0</v>
      </c>
      <c r="H706" s="21">
        <f>0.01*'Input'!$F$58*(E706*$E$687)+10*(B706*$B$687+C706*$C$687+D706*$D$687+F706*$F$687)</f>
        <v>0</v>
      </c>
      <c r="I706" s="38">
        <f>IF($G$687&lt;&gt;0,0.1*H706/$G$687,"")</f>
        <v>0</v>
      </c>
      <c r="J706" s="46">
        <f>IF($E$687&lt;&gt;0,H706/$E$687,"")</f>
        <v>0</v>
      </c>
      <c r="K706" s="17"/>
    </row>
    <row r="707" spans="1:11">
      <c r="A707" s="4" t="s">
        <v>1647</v>
      </c>
      <c r="B707" s="39">
        <f>'Yard'!$R$75</f>
        <v>0</v>
      </c>
      <c r="C707" s="39">
        <f>'Yard'!$R$97</f>
        <v>0</v>
      </c>
      <c r="D707" s="39">
        <f>'Yard'!$R$117</f>
        <v>0</v>
      </c>
      <c r="E707" s="10"/>
      <c r="F707" s="39">
        <f>'Reactive'!$R$80</f>
        <v>0</v>
      </c>
      <c r="G707" s="38">
        <f>IF(G$687&lt;&gt;0,(($B707*B$687+$C707*C$687+$D707*D$687+$F707*F$687))/G$687,0)</f>
        <v>0</v>
      </c>
      <c r="H707" s="21">
        <f>0.01*'Input'!$F$58*(E707*$E$687)+10*(B707*$B$687+C707*$C$687+D707*$D$687+F707*$F$687)</f>
        <v>0</v>
      </c>
      <c r="I707" s="38">
        <f>IF($G$687&lt;&gt;0,0.1*H707/$G$687,"")</f>
        <v>0</v>
      </c>
      <c r="J707" s="46">
        <f>IF($E$687&lt;&gt;0,H707/$E$687,"")</f>
        <v>0</v>
      </c>
      <c r="K707" s="17"/>
    </row>
    <row r="708" spans="1:11">
      <c r="A708" s="4" t="s">
        <v>1648</v>
      </c>
      <c r="B708" s="39">
        <f>'Yard'!$S$75</f>
        <v>0</v>
      </c>
      <c r="C708" s="39">
        <f>'Yard'!$S$97</f>
        <v>0</v>
      </c>
      <c r="D708" s="39">
        <f>'Yard'!$S$117</f>
        <v>0</v>
      </c>
      <c r="E708" s="10"/>
      <c r="F708" s="39">
        <f>'Reactive'!$S$80</f>
        <v>0</v>
      </c>
      <c r="G708" s="38">
        <f>IF(G$687&lt;&gt;0,(($B708*B$687+$C708*C$687+$D708*D$687+$F708*F$687))/G$687,0)</f>
        <v>0</v>
      </c>
      <c r="H708" s="21">
        <f>0.01*'Input'!$F$58*(E708*$E$687)+10*(B708*$B$687+C708*$C$687+D708*$D$687+F708*$F$687)</f>
        <v>0</v>
      </c>
      <c r="I708" s="38">
        <f>IF($G$687&lt;&gt;0,0.1*H708/$G$687,"")</f>
        <v>0</v>
      </c>
      <c r="J708" s="46">
        <f>IF($E$687&lt;&gt;0,H708/$E$687,"")</f>
        <v>0</v>
      </c>
      <c r="K708" s="17"/>
    </row>
    <row r="709" spans="1:11">
      <c r="A709" s="4" t="s">
        <v>1649</v>
      </c>
      <c r="B709" s="10"/>
      <c r="C709" s="10"/>
      <c r="D709" s="10"/>
      <c r="E709" s="47">
        <f>'Otex'!$B$142</f>
        <v>0</v>
      </c>
      <c r="F709" s="10"/>
      <c r="G709" s="38">
        <f>IF(G$687&lt;&gt;0,(($B709*B$687+$C709*C$687+$D709*D$687+$F709*F$687))/G$687,0)</f>
        <v>0</v>
      </c>
      <c r="H709" s="21">
        <f>0.01*'Input'!$F$58*(E709*$E$687)+10*(B709*$B$687+C709*$C$687+D709*$D$687+F709*$F$687)</f>
        <v>0</v>
      </c>
      <c r="I709" s="38">
        <f>IF($G$687&lt;&gt;0,0.1*H709/$G$687,"")</f>
        <v>0</v>
      </c>
      <c r="J709" s="46">
        <f>IF($E$687&lt;&gt;0,H709/$E$687,"")</f>
        <v>0</v>
      </c>
      <c r="K709" s="17"/>
    </row>
    <row r="710" spans="1:11">
      <c r="A710" s="4" t="s">
        <v>1650</v>
      </c>
      <c r="B710" s="10"/>
      <c r="C710" s="10"/>
      <c r="D710" s="10"/>
      <c r="E710" s="47">
        <f>'Otex'!$C$142</f>
        <v>0</v>
      </c>
      <c r="F710" s="10"/>
      <c r="G710" s="38">
        <f>IF(G$687&lt;&gt;0,(($B710*B$687+$C710*C$687+$D710*D$687+$F710*F$687))/G$687,0)</f>
        <v>0</v>
      </c>
      <c r="H710" s="21">
        <f>0.01*'Input'!$F$58*(E710*$E$687)+10*(B710*$B$687+C710*$C$687+D710*$D$687+F710*$F$687)</f>
        <v>0</v>
      </c>
      <c r="I710" s="38">
        <f>IF($G$687&lt;&gt;0,0.1*H710/$G$687,"")</f>
        <v>0</v>
      </c>
      <c r="J710" s="46">
        <f>IF($E$687&lt;&gt;0,H710/$E$687,"")</f>
        <v>0</v>
      </c>
      <c r="K710" s="17"/>
    </row>
    <row r="711" spans="1:11">
      <c r="A711" s="4" t="s">
        <v>1651</v>
      </c>
      <c r="B711" s="39">
        <f>'Scaler'!$B$410</f>
        <v>0</v>
      </c>
      <c r="C711" s="39">
        <f>'Scaler'!$C$410</f>
        <v>0</v>
      </c>
      <c r="D711" s="39">
        <f>'Scaler'!$D$410</f>
        <v>0</v>
      </c>
      <c r="E711" s="47">
        <f>'Scaler'!$E$410</f>
        <v>0</v>
      </c>
      <c r="F711" s="39">
        <f>'Scaler'!$G$410</f>
        <v>0</v>
      </c>
      <c r="G711" s="38">
        <f>IF(G$687&lt;&gt;0,(($B711*B$687+$C711*C$687+$D711*D$687+$F711*F$687))/G$687,0)</f>
        <v>0</v>
      </c>
      <c r="H711" s="21">
        <f>0.01*'Input'!$F$58*(E711*$E$687)+10*(B711*$B$687+C711*$C$687+D711*$D$687+F711*$F$687)</f>
        <v>0</v>
      </c>
      <c r="I711" s="38">
        <f>IF($G$687&lt;&gt;0,0.1*H711/$G$687,"")</f>
        <v>0</v>
      </c>
      <c r="J711" s="46">
        <f>IF($E$687&lt;&gt;0,H711/$E$687,"")</f>
        <v>0</v>
      </c>
      <c r="K711" s="17"/>
    </row>
    <row r="712" spans="1:11">
      <c r="A712" s="4" t="s">
        <v>1652</v>
      </c>
      <c r="B712" s="39">
        <f>'Adjust'!$B$90</f>
        <v>0</v>
      </c>
      <c r="C712" s="39">
        <f>'Adjust'!$C$90</f>
        <v>0</v>
      </c>
      <c r="D712" s="39">
        <f>'Adjust'!$D$90</f>
        <v>0</v>
      </c>
      <c r="E712" s="47">
        <f>'Adjust'!$E$90</f>
        <v>0</v>
      </c>
      <c r="F712" s="39">
        <f>'Adjust'!$G$90</f>
        <v>0</v>
      </c>
      <c r="G712" s="38">
        <f>IF(G$687&lt;&gt;0,(($B712*B$687+$C712*C$687+$D712*D$687+$F712*F$687))/G$687,0)</f>
        <v>0</v>
      </c>
      <c r="H712" s="21">
        <f>0.01*'Input'!$F$58*(E712*$E$687)+10*(B712*$B$687+C712*$C$687+D712*$D$687+F712*$F$687)</f>
        <v>0</v>
      </c>
      <c r="I712" s="38">
        <f>IF($G$687&lt;&gt;0,0.1*H712/$G$687,"")</f>
        <v>0</v>
      </c>
      <c r="J712" s="46">
        <f>IF($E$687&lt;&gt;0,H712/$E$687,"")</f>
        <v>0</v>
      </c>
      <c r="K712" s="17"/>
    </row>
    <row r="714" spans="1:11">
      <c r="A714" s="4" t="s">
        <v>1653</v>
      </c>
      <c r="B714" s="38">
        <f>SUM($B$690:$B$712)</f>
        <v>0</v>
      </c>
      <c r="C714" s="38">
        <f>SUM($C$690:$C$712)</f>
        <v>0</v>
      </c>
      <c r="D714" s="38">
        <f>SUM($D$690:$D$712)</f>
        <v>0</v>
      </c>
      <c r="E714" s="46">
        <f>SUM($E$690:$E$712)</f>
        <v>0</v>
      </c>
      <c r="F714" s="38">
        <f>SUM($F$690:$F$712)</f>
        <v>0</v>
      </c>
      <c r="G714" s="38">
        <f>SUM(G$690:G$712)</f>
        <v>0</v>
      </c>
      <c r="H714" s="21">
        <f>SUM($H$690:$H$712)</f>
        <v>0</v>
      </c>
      <c r="I714" s="38">
        <f>SUM($I$690:$I$712)</f>
        <v>0</v>
      </c>
      <c r="J714" s="46">
        <f>SUM($J$690:$J$712)</f>
        <v>0</v>
      </c>
    </row>
    <row r="716" spans="1:11" ht="21" customHeight="1">
      <c r="A716" s="1" t="s">
        <v>194</v>
      </c>
    </row>
    <row r="718" spans="1:11">
      <c r="B718" s="15" t="s">
        <v>222</v>
      </c>
      <c r="C718" s="15" t="s">
        <v>225</v>
      </c>
      <c r="D718" s="15" t="s">
        <v>227</v>
      </c>
      <c r="E718" s="15" t="s">
        <v>1634</v>
      </c>
      <c r="F718" s="15" t="s">
        <v>1635</v>
      </c>
    </row>
    <row r="719" spans="1:11">
      <c r="A719" s="4" t="s">
        <v>194</v>
      </c>
      <c r="B719" s="44">
        <f>'Loads'!B$302</f>
        <v>0</v>
      </c>
      <c r="C719" s="44">
        <f>'Loads'!E$302</f>
        <v>0</v>
      </c>
      <c r="D719" s="44">
        <f>'Loads'!G$302</f>
        <v>0</v>
      </c>
      <c r="E719" s="44">
        <f>'Multi'!B$129</f>
        <v>0</v>
      </c>
      <c r="F719" s="38">
        <f>IF(C719,E719/C719,"")</f>
        <v>0</v>
      </c>
      <c r="G719" s="17"/>
    </row>
    <row r="721" spans="1:8">
      <c r="B721" s="15" t="s">
        <v>1466</v>
      </c>
      <c r="C721" s="15" t="s">
        <v>1469</v>
      </c>
      <c r="D721" s="15" t="s">
        <v>1099</v>
      </c>
      <c r="E721" s="15" t="s">
        <v>1636</v>
      </c>
      <c r="F721" s="15" t="s">
        <v>1606</v>
      </c>
      <c r="G721" s="15" t="s">
        <v>1637</v>
      </c>
    </row>
    <row r="722" spans="1:8">
      <c r="A722" s="4" t="s">
        <v>451</v>
      </c>
      <c r="B722" s="39">
        <f>'Yard'!$C$45</f>
        <v>0</v>
      </c>
      <c r="C722" s="10"/>
      <c r="D722" s="39">
        <f>'Reactive'!$C$81</f>
        <v>0</v>
      </c>
      <c r="E722" s="21">
        <f>0.01*'Input'!$F$58*(C722*$C$719)+10*(B722*$B$719+D722*$D$719)</f>
        <v>0</v>
      </c>
      <c r="F722" s="38">
        <f>IF($E$719&lt;&gt;0,0.1*E722/$E$719,"")</f>
        <v>0</v>
      </c>
      <c r="G722" s="46">
        <f>IF($C$719&lt;&gt;0,E722/$C$719,"")</f>
        <v>0</v>
      </c>
      <c r="H722" s="17"/>
    </row>
    <row r="723" spans="1:8">
      <c r="A723" s="4" t="s">
        <v>452</v>
      </c>
      <c r="B723" s="39">
        <f>'Yard'!$D$45</f>
        <v>0</v>
      </c>
      <c r="C723" s="10"/>
      <c r="D723" s="39">
        <f>'Reactive'!$D$81</f>
        <v>0</v>
      </c>
      <c r="E723" s="21">
        <f>0.01*'Input'!$F$58*(C723*$C$719)+10*(B723*$B$719+D723*$D$719)</f>
        <v>0</v>
      </c>
      <c r="F723" s="38">
        <f>IF($E$719&lt;&gt;0,0.1*E723/$E$719,"")</f>
        <v>0</v>
      </c>
      <c r="G723" s="46">
        <f>IF($C$719&lt;&gt;0,E723/$C$719,"")</f>
        <v>0</v>
      </c>
      <c r="H723" s="17"/>
    </row>
    <row r="724" spans="1:8">
      <c r="A724" s="4" t="s">
        <v>453</v>
      </c>
      <c r="B724" s="39">
        <f>'Yard'!$E$45</f>
        <v>0</v>
      </c>
      <c r="C724" s="10"/>
      <c r="D724" s="39">
        <f>'Reactive'!$E$81</f>
        <v>0</v>
      </c>
      <c r="E724" s="21">
        <f>0.01*'Input'!$F$58*(C724*$C$719)+10*(B724*$B$719+D724*$D$719)</f>
        <v>0</v>
      </c>
      <c r="F724" s="38">
        <f>IF($E$719&lt;&gt;0,0.1*E724/$E$719,"")</f>
        <v>0</v>
      </c>
      <c r="G724" s="46">
        <f>IF($C$719&lt;&gt;0,E724/$C$719,"")</f>
        <v>0</v>
      </c>
      <c r="H724" s="17"/>
    </row>
    <row r="725" spans="1:8">
      <c r="A725" s="4" t="s">
        <v>454</v>
      </c>
      <c r="B725" s="39">
        <f>'Yard'!$F$45</f>
        <v>0</v>
      </c>
      <c r="C725" s="10"/>
      <c r="D725" s="39">
        <f>'Reactive'!$F$81</f>
        <v>0</v>
      </c>
      <c r="E725" s="21">
        <f>0.01*'Input'!$F$58*(C725*$C$719)+10*(B725*$B$719+D725*$D$719)</f>
        <v>0</v>
      </c>
      <c r="F725" s="38">
        <f>IF($E$719&lt;&gt;0,0.1*E725/$E$719,"")</f>
        <v>0</v>
      </c>
      <c r="G725" s="46">
        <f>IF($C$719&lt;&gt;0,E725/$C$719,"")</f>
        <v>0</v>
      </c>
      <c r="H725" s="17"/>
    </row>
    <row r="726" spans="1:8">
      <c r="A726" s="4" t="s">
        <v>455</v>
      </c>
      <c r="B726" s="39">
        <f>'Yard'!$G$45</f>
        <v>0</v>
      </c>
      <c r="C726" s="10"/>
      <c r="D726" s="39">
        <f>'Reactive'!$G$81</f>
        <v>0</v>
      </c>
      <c r="E726" s="21">
        <f>0.01*'Input'!$F$58*(C726*$C$719)+10*(B726*$B$719+D726*$D$719)</f>
        <v>0</v>
      </c>
      <c r="F726" s="38">
        <f>IF($E$719&lt;&gt;0,0.1*E726/$E$719,"")</f>
        <v>0</v>
      </c>
      <c r="G726" s="46">
        <f>IF($C$719&lt;&gt;0,E726/$C$719,"")</f>
        <v>0</v>
      </c>
      <c r="H726" s="17"/>
    </row>
    <row r="727" spans="1:8">
      <c r="A727" s="4" t="s">
        <v>456</v>
      </c>
      <c r="B727" s="39">
        <f>'Yard'!$H$45</f>
        <v>0</v>
      </c>
      <c r="C727" s="10"/>
      <c r="D727" s="39">
        <f>'Reactive'!$H$81</f>
        <v>0</v>
      </c>
      <c r="E727" s="21">
        <f>0.01*'Input'!$F$58*(C727*$C$719)+10*(B727*$B$719+D727*$D$719)</f>
        <v>0</v>
      </c>
      <c r="F727" s="38">
        <f>IF($E$719&lt;&gt;0,0.1*E727/$E$719,"")</f>
        <v>0</v>
      </c>
      <c r="G727" s="46">
        <f>IF($C$719&lt;&gt;0,E727/$C$719,"")</f>
        <v>0</v>
      </c>
      <c r="H727" s="17"/>
    </row>
    <row r="728" spans="1:8">
      <c r="A728" s="4" t="s">
        <v>457</v>
      </c>
      <c r="B728" s="39">
        <f>'Yard'!$I$45</f>
        <v>0</v>
      </c>
      <c r="C728" s="10"/>
      <c r="D728" s="39">
        <f>'Reactive'!$I$81</f>
        <v>0</v>
      </c>
      <c r="E728" s="21">
        <f>0.01*'Input'!$F$58*(C728*$C$719)+10*(B728*$B$719+D728*$D$719)</f>
        <v>0</v>
      </c>
      <c r="F728" s="38">
        <f>IF($E$719&lt;&gt;0,0.1*E728/$E$719,"")</f>
        <v>0</v>
      </c>
      <c r="G728" s="46">
        <f>IF($C$719&lt;&gt;0,E728/$C$719,"")</f>
        <v>0</v>
      </c>
      <c r="H728" s="17"/>
    </row>
    <row r="729" spans="1:8">
      <c r="A729" s="4" t="s">
        <v>458</v>
      </c>
      <c r="B729" s="39">
        <f>'Yard'!$J$45</f>
        <v>0</v>
      </c>
      <c r="C729" s="10"/>
      <c r="D729" s="39">
        <f>'Reactive'!$J$81</f>
        <v>0</v>
      </c>
      <c r="E729" s="21">
        <f>0.01*'Input'!$F$58*(C729*$C$719)+10*(B729*$B$719+D729*$D$719)</f>
        <v>0</v>
      </c>
      <c r="F729" s="38">
        <f>IF($E$719&lt;&gt;0,0.1*E729/$E$719,"")</f>
        <v>0</v>
      </c>
      <c r="G729" s="46">
        <f>IF($C$719&lt;&gt;0,E729/$C$719,"")</f>
        <v>0</v>
      </c>
      <c r="H729" s="17"/>
    </row>
    <row r="730" spans="1:8">
      <c r="A730" s="4" t="s">
        <v>1638</v>
      </c>
      <c r="B730" s="10"/>
      <c r="C730" s="47">
        <f>'SM'!$B$122</f>
        <v>0</v>
      </c>
      <c r="D730" s="10"/>
      <c r="E730" s="21">
        <f>0.01*'Input'!$F$58*(C730*$C$719)+10*(B730*$B$719+D730*$D$719)</f>
        <v>0</v>
      </c>
      <c r="F730" s="38">
        <f>IF($E$719&lt;&gt;0,0.1*E730/$E$719,"")</f>
        <v>0</v>
      </c>
      <c r="G730" s="46">
        <f>IF($C$719&lt;&gt;0,E730/$C$719,"")</f>
        <v>0</v>
      </c>
      <c r="H730" s="17"/>
    </row>
    <row r="731" spans="1:8">
      <c r="A731" s="4" t="s">
        <v>1639</v>
      </c>
      <c r="B731" s="10"/>
      <c r="C731" s="47">
        <f>'SM'!$C$122</f>
        <v>0</v>
      </c>
      <c r="D731" s="10"/>
      <c r="E731" s="21">
        <f>0.01*'Input'!$F$58*(C731*$C$719)+10*(B731*$B$719+D731*$D$719)</f>
        <v>0</v>
      </c>
      <c r="F731" s="38">
        <f>IF($E$719&lt;&gt;0,0.1*E731/$E$719,"")</f>
        <v>0</v>
      </c>
      <c r="G731" s="46">
        <f>IF($C$719&lt;&gt;0,E731/$C$719,"")</f>
        <v>0</v>
      </c>
      <c r="H731" s="17"/>
    </row>
    <row r="732" spans="1:8">
      <c r="A732" s="4" t="s">
        <v>1640</v>
      </c>
      <c r="B732" s="39">
        <f>'Yard'!$K$45</f>
        <v>0</v>
      </c>
      <c r="C732" s="10"/>
      <c r="D732" s="39">
        <f>'Reactive'!$K$81</f>
        <v>0</v>
      </c>
      <c r="E732" s="21">
        <f>0.01*'Input'!$F$58*(C732*$C$719)+10*(B732*$B$719+D732*$D$719)</f>
        <v>0</v>
      </c>
      <c r="F732" s="38">
        <f>IF($E$719&lt;&gt;0,0.1*E732/$E$719,"")</f>
        <v>0</v>
      </c>
      <c r="G732" s="46">
        <f>IF($C$719&lt;&gt;0,E732/$C$719,"")</f>
        <v>0</v>
      </c>
      <c r="H732" s="17"/>
    </row>
    <row r="733" spans="1:8">
      <c r="A733" s="4" t="s">
        <v>1641</v>
      </c>
      <c r="B733" s="39">
        <f>'Yard'!$L$45</f>
        <v>0</v>
      </c>
      <c r="C733" s="10"/>
      <c r="D733" s="39">
        <f>'Reactive'!$L$81</f>
        <v>0</v>
      </c>
      <c r="E733" s="21">
        <f>0.01*'Input'!$F$58*(C733*$C$719)+10*(B733*$B$719+D733*$D$719)</f>
        <v>0</v>
      </c>
      <c r="F733" s="38">
        <f>IF($E$719&lt;&gt;0,0.1*E733/$E$719,"")</f>
        <v>0</v>
      </c>
      <c r="G733" s="46">
        <f>IF($C$719&lt;&gt;0,E733/$C$719,"")</f>
        <v>0</v>
      </c>
      <c r="H733" s="17"/>
    </row>
    <row r="734" spans="1:8">
      <c r="A734" s="4" t="s">
        <v>1642</v>
      </c>
      <c r="B734" s="39">
        <f>'Yard'!$M$45</f>
        <v>0</v>
      </c>
      <c r="C734" s="10"/>
      <c r="D734" s="39">
        <f>'Reactive'!$M$81</f>
        <v>0</v>
      </c>
      <c r="E734" s="21">
        <f>0.01*'Input'!$F$58*(C734*$C$719)+10*(B734*$B$719+D734*$D$719)</f>
        <v>0</v>
      </c>
      <c r="F734" s="38">
        <f>IF($E$719&lt;&gt;0,0.1*E734/$E$719,"")</f>
        <v>0</v>
      </c>
      <c r="G734" s="46">
        <f>IF($C$719&lt;&gt;0,E734/$C$719,"")</f>
        <v>0</v>
      </c>
      <c r="H734" s="17"/>
    </row>
    <row r="735" spans="1:8">
      <c r="A735" s="4" t="s">
        <v>1643</v>
      </c>
      <c r="B735" s="39">
        <f>'Yard'!$N$45</f>
        <v>0</v>
      </c>
      <c r="C735" s="10"/>
      <c r="D735" s="39">
        <f>'Reactive'!$N$81</f>
        <v>0</v>
      </c>
      <c r="E735" s="21">
        <f>0.01*'Input'!$F$58*(C735*$C$719)+10*(B735*$B$719+D735*$D$719)</f>
        <v>0</v>
      </c>
      <c r="F735" s="38">
        <f>IF($E$719&lt;&gt;0,0.1*E735/$E$719,"")</f>
        <v>0</v>
      </c>
      <c r="G735" s="46">
        <f>IF($C$719&lt;&gt;0,E735/$C$719,"")</f>
        <v>0</v>
      </c>
      <c r="H735" s="17"/>
    </row>
    <row r="736" spans="1:8">
      <c r="A736" s="4" t="s">
        <v>1644</v>
      </c>
      <c r="B736" s="39">
        <f>'Yard'!$O$45</f>
        <v>0</v>
      </c>
      <c r="C736" s="10"/>
      <c r="D736" s="39">
        <f>'Reactive'!$O$81</f>
        <v>0</v>
      </c>
      <c r="E736" s="21">
        <f>0.01*'Input'!$F$58*(C736*$C$719)+10*(B736*$B$719+D736*$D$719)</f>
        <v>0</v>
      </c>
      <c r="F736" s="38">
        <f>IF($E$719&lt;&gt;0,0.1*E736/$E$719,"")</f>
        <v>0</v>
      </c>
      <c r="G736" s="46">
        <f>IF($C$719&lt;&gt;0,E736/$C$719,"")</f>
        <v>0</v>
      </c>
      <c r="H736" s="17"/>
    </row>
    <row r="737" spans="1:9">
      <c r="A737" s="4" t="s">
        <v>1645</v>
      </c>
      <c r="B737" s="39">
        <f>'Yard'!$P$45</f>
        <v>0</v>
      </c>
      <c r="C737" s="10"/>
      <c r="D737" s="39">
        <f>'Reactive'!$P$81</f>
        <v>0</v>
      </c>
      <c r="E737" s="21">
        <f>0.01*'Input'!$F$58*(C737*$C$719)+10*(B737*$B$719+D737*$D$719)</f>
        <v>0</v>
      </c>
      <c r="F737" s="38">
        <f>IF($E$719&lt;&gt;0,0.1*E737/$E$719,"")</f>
        <v>0</v>
      </c>
      <c r="G737" s="46">
        <f>IF($C$719&lt;&gt;0,E737/$C$719,"")</f>
        <v>0</v>
      </c>
      <c r="H737" s="17"/>
    </row>
    <row r="738" spans="1:9">
      <c r="A738" s="4" t="s">
        <v>1646</v>
      </c>
      <c r="B738" s="39">
        <f>'Yard'!$Q$45</f>
        <v>0</v>
      </c>
      <c r="C738" s="10"/>
      <c r="D738" s="39">
        <f>'Reactive'!$Q$81</f>
        <v>0</v>
      </c>
      <c r="E738" s="21">
        <f>0.01*'Input'!$F$58*(C738*$C$719)+10*(B738*$B$719+D738*$D$719)</f>
        <v>0</v>
      </c>
      <c r="F738" s="38">
        <f>IF($E$719&lt;&gt;0,0.1*E738/$E$719,"")</f>
        <v>0</v>
      </c>
      <c r="G738" s="46">
        <f>IF($C$719&lt;&gt;0,E738/$C$719,"")</f>
        <v>0</v>
      </c>
      <c r="H738" s="17"/>
    </row>
    <row r="739" spans="1:9">
      <c r="A739" s="4" t="s">
        <v>1647</v>
      </c>
      <c r="B739" s="39">
        <f>'Yard'!$R$45</f>
        <v>0</v>
      </c>
      <c r="C739" s="10"/>
      <c r="D739" s="39">
        <f>'Reactive'!$R$81</f>
        <v>0</v>
      </c>
      <c r="E739" s="21">
        <f>0.01*'Input'!$F$58*(C739*$C$719)+10*(B739*$B$719+D739*$D$719)</f>
        <v>0</v>
      </c>
      <c r="F739" s="38">
        <f>IF($E$719&lt;&gt;0,0.1*E739/$E$719,"")</f>
        <v>0</v>
      </c>
      <c r="G739" s="46">
        <f>IF($C$719&lt;&gt;0,E739/$C$719,"")</f>
        <v>0</v>
      </c>
      <c r="H739" s="17"/>
    </row>
    <row r="740" spans="1:9">
      <c r="A740" s="4" t="s">
        <v>1648</v>
      </c>
      <c r="B740" s="39">
        <f>'Yard'!$S$45</f>
        <v>0</v>
      </c>
      <c r="C740" s="10"/>
      <c r="D740" s="39">
        <f>'Reactive'!$S$81</f>
        <v>0</v>
      </c>
      <c r="E740" s="21">
        <f>0.01*'Input'!$F$58*(C740*$C$719)+10*(B740*$B$719+D740*$D$719)</f>
        <v>0</v>
      </c>
      <c r="F740" s="38">
        <f>IF($E$719&lt;&gt;0,0.1*E740/$E$719,"")</f>
        <v>0</v>
      </c>
      <c r="G740" s="46">
        <f>IF($C$719&lt;&gt;0,E740/$C$719,"")</f>
        <v>0</v>
      </c>
      <c r="H740" s="17"/>
    </row>
    <row r="741" spans="1:9">
      <c r="A741" s="4" t="s">
        <v>1649</v>
      </c>
      <c r="B741" s="10"/>
      <c r="C741" s="47">
        <f>'Otex'!$B$143</f>
        <v>0</v>
      </c>
      <c r="D741" s="10"/>
      <c r="E741" s="21">
        <f>0.01*'Input'!$F$58*(C741*$C$719)+10*(B741*$B$719+D741*$D$719)</f>
        <v>0</v>
      </c>
      <c r="F741" s="38">
        <f>IF($E$719&lt;&gt;0,0.1*E741/$E$719,"")</f>
        <v>0</v>
      </c>
      <c r="G741" s="46">
        <f>IF($C$719&lt;&gt;0,E741/$C$719,"")</f>
        <v>0</v>
      </c>
      <c r="H741" s="17"/>
    </row>
    <row r="742" spans="1:9">
      <c r="A742" s="4" t="s">
        <v>1650</v>
      </c>
      <c r="B742" s="10"/>
      <c r="C742" s="47">
        <f>'Otex'!$C$143</f>
        <v>0</v>
      </c>
      <c r="D742" s="10"/>
      <c r="E742" s="21">
        <f>0.01*'Input'!$F$58*(C742*$C$719)+10*(B742*$B$719+D742*$D$719)</f>
        <v>0</v>
      </c>
      <c r="F742" s="38">
        <f>IF($E$719&lt;&gt;0,0.1*E742/$E$719,"")</f>
        <v>0</v>
      </c>
      <c r="G742" s="46">
        <f>IF($C$719&lt;&gt;0,E742/$C$719,"")</f>
        <v>0</v>
      </c>
      <c r="H742" s="17"/>
    </row>
    <row r="743" spans="1:9">
      <c r="A743" s="4" t="s">
        <v>1651</v>
      </c>
      <c r="B743" s="39">
        <f>'Scaler'!$B$411</f>
        <v>0</v>
      </c>
      <c r="C743" s="47">
        <f>'Scaler'!$E$411</f>
        <v>0</v>
      </c>
      <c r="D743" s="39">
        <f>'Scaler'!$G$411</f>
        <v>0</v>
      </c>
      <c r="E743" s="21">
        <f>0.01*'Input'!$F$58*(C743*$C$719)+10*(B743*$B$719+D743*$D$719)</f>
        <v>0</v>
      </c>
      <c r="F743" s="38">
        <f>IF($E$719&lt;&gt;0,0.1*E743/$E$719,"")</f>
        <v>0</v>
      </c>
      <c r="G743" s="46">
        <f>IF($C$719&lt;&gt;0,E743/$C$719,"")</f>
        <v>0</v>
      </c>
      <c r="H743" s="17"/>
    </row>
    <row r="744" spans="1:9">
      <c r="A744" s="4" t="s">
        <v>1652</v>
      </c>
      <c r="B744" s="39">
        <f>'Adjust'!$B$91</f>
        <v>0</v>
      </c>
      <c r="C744" s="47">
        <f>'Adjust'!$E$91</f>
        <v>0</v>
      </c>
      <c r="D744" s="39">
        <f>'Adjust'!$G$91</f>
        <v>0</v>
      </c>
      <c r="E744" s="21">
        <f>0.01*'Input'!$F$58*(C744*$C$719)+10*(B744*$B$719+D744*$D$719)</f>
        <v>0</v>
      </c>
      <c r="F744" s="38">
        <f>IF($E$719&lt;&gt;0,0.1*E744/$E$719,"")</f>
        <v>0</v>
      </c>
      <c r="G744" s="46">
        <f>IF($C$719&lt;&gt;0,E744/$C$719,"")</f>
        <v>0</v>
      </c>
      <c r="H744" s="17"/>
    </row>
    <row r="746" spans="1:9">
      <c r="A746" s="4" t="s">
        <v>1653</v>
      </c>
      <c r="B746" s="38">
        <f>SUM($B$722:$B$744)</f>
        <v>0</v>
      </c>
      <c r="C746" s="46">
        <f>SUM($C$722:$C$744)</f>
        <v>0</v>
      </c>
      <c r="D746" s="38">
        <f>SUM($D$722:$D$744)</f>
        <v>0</v>
      </c>
      <c r="E746" s="21">
        <f>SUM($E$722:$E$744)</f>
        <v>0</v>
      </c>
      <c r="F746" s="38">
        <f>SUM($F$722:$F$744)</f>
        <v>0</v>
      </c>
      <c r="G746" s="46">
        <f>SUM($G$722:$G$744)</f>
        <v>0</v>
      </c>
    </row>
    <row r="748" spans="1:9" ht="21" customHeight="1">
      <c r="A748" s="1" t="s">
        <v>195</v>
      </c>
    </row>
    <row r="750" spans="1:9">
      <c r="B750" s="15" t="s">
        <v>222</v>
      </c>
      <c r="C750" s="15" t="s">
        <v>223</v>
      </c>
      <c r="D750" s="15" t="s">
        <v>224</v>
      </c>
      <c r="E750" s="15" t="s">
        <v>225</v>
      </c>
      <c r="F750" s="15" t="s">
        <v>227</v>
      </c>
      <c r="G750" s="15" t="s">
        <v>1634</v>
      </c>
      <c r="H750" s="15" t="s">
        <v>1635</v>
      </c>
    </row>
    <row r="751" spans="1:9">
      <c r="A751" s="4" t="s">
        <v>195</v>
      </c>
      <c r="B751" s="44">
        <f>'Loads'!B$303</f>
        <v>0</v>
      </c>
      <c r="C751" s="44">
        <f>'Loads'!C$303</f>
        <v>0</v>
      </c>
      <c r="D751" s="44">
        <f>'Loads'!D$303</f>
        <v>0</v>
      </c>
      <c r="E751" s="44">
        <f>'Loads'!E$303</f>
        <v>0</v>
      </c>
      <c r="F751" s="44">
        <f>'Loads'!G$303</f>
        <v>0</v>
      </c>
      <c r="G751" s="44">
        <f>'Multi'!B$130</f>
        <v>0</v>
      </c>
      <c r="H751" s="38">
        <f>IF(E751,G751/E751,"")</f>
        <v>0</v>
      </c>
      <c r="I751" s="17"/>
    </row>
    <row r="753" spans="1:11">
      <c r="B753" s="15" t="s">
        <v>1466</v>
      </c>
      <c r="C753" s="15" t="s">
        <v>1467</v>
      </c>
      <c r="D753" s="15" t="s">
        <v>1468</v>
      </c>
      <c r="E753" s="15" t="s">
        <v>1469</v>
      </c>
      <c r="F753" s="15" t="s">
        <v>1099</v>
      </c>
      <c r="G753" s="15" t="s">
        <v>1654</v>
      </c>
      <c r="H753" s="15" t="s">
        <v>1636</v>
      </c>
      <c r="I753" s="15" t="s">
        <v>1606</v>
      </c>
      <c r="J753" s="15" t="s">
        <v>1637</v>
      </c>
    </row>
    <row r="754" spans="1:11">
      <c r="A754" s="4" t="s">
        <v>451</v>
      </c>
      <c r="B754" s="39">
        <f>'Yard'!$C$76</f>
        <v>0</v>
      </c>
      <c r="C754" s="39">
        <f>'Yard'!$C$98</f>
        <v>0</v>
      </c>
      <c r="D754" s="39">
        <f>'Yard'!$C$118</f>
        <v>0</v>
      </c>
      <c r="E754" s="10"/>
      <c r="F754" s="39">
        <f>'Reactive'!$C$82</f>
        <v>0</v>
      </c>
      <c r="G754" s="38">
        <f>IF(G$751&lt;&gt;0,(($B754*B$751+$C754*C$751+$D754*D$751+$F754*F$751))/G$751,0)</f>
        <v>0</v>
      </c>
      <c r="H754" s="21">
        <f>0.01*'Input'!$F$58*(E754*$E$751)+10*(B754*$B$751+C754*$C$751+D754*$D$751+F754*$F$751)</f>
        <v>0</v>
      </c>
      <c r="I754" s="38">
        <f>IF($G$751&lt;&gt;0,0.1*H754/$G$751,"")</f>
        <v>0</v>
      </c>
      <c r="J754" s="46">
        <f>IF($E$751&lt;&gt;0,H754/$E$751,"")</f>
        <v>0</v>
      </c>
      <c r="K754" s="17"/>
    </row>
    <row r="755" spans="1:11">
      <c r="A755" s="4" t="s">
        <v>452</v>
      </c>
      <c r="B755" s="39">
        <f>'Yard'!$D$76</f>
        <v>0</v>
      </c>
      <c r="C755" s="39">
        <f>'Yard'!$D$98</f>
        <v>0</v>
      </c>
      <c r="D755" s="39">
        <f>'Yard'!$D$118</f>
        <v>0</v>
      </c>
      <c r="E755" s="10"/>
      <c r="F755" s="39">
        <f>'Reactive'!$D$82</f>
        <v>0</v>
      </c>
      <c r="G755" s="38">
        <f>IF(G$751&lt;&gt;0,(($B755*B$751+$C755*C$751+$D755*D$751+$F755*F$751))/G$751,0)</f>
        <v>0</v>
      </c>
      <c r="H755" s="21">
        <f>0.01*'Input'!$F$58*(E755*$E$751)+10*(B755*$B$751+C755*$C$751+D755*$D$751+F755*$F$751)</f>
        <v>0</v>
      </c>
      <c r="I755" s="38">
        <f>IF($G$751&lt;&gt;0,0.1*H755/$G$751,"")</f>
        <v>0</v>
      </c>
      <c r="J755" s="46">
        <f>IF($E$751&lt;&gt;0,H755/$E$751,"")</f>
        <v>0</v>
      </c>
      <c r="K755" s="17"/>
    </row>
    <row r="756" spans="1:11">
      <c r="A756" s="4" t="s">
        <v>453</v>
      </c>
      <c r="B756" s="39">
        <f>'Yard'!$E$76</f>
        <v>0</v>
      </c>
      <c r="C756" s="39">
        <f>'Yard'!$E$98</f>
        <v>0</v>
      </c>
      <c r="D756" s="39">
        <f>'Yard'!$E$118</f>
        <v>0</v>
      </c>
      <c r="E756" s="10"/>
      <c r="F756" s="39">
        <f>'Reactive'!$E$82</f>
        <v>0</v>
      </c>
      <c r="G756" s="38">
        <f>IF(G$751&lt;&gt;0,(($B756*B$751+$C756*C$751+$D756*D$751+$F756*F$751))/G$751,0)</f>
        <v>0</v>
      </c>
      <c r="H756" s="21">
        <f>0.01*'Input'!$F$58*(E756*$E$751)+10*(B756*$B$751+C756*$C$751+D756*$D$751+F756*$F$751)</f>
        <v>0</v>
      </c>
      <c r="I756" s="38">
        <f>IF($G$751&lt;&gt;0,0.1*H756/$G$751,"")</f>
        <v>0</v>
      </c>
      <c r="J756" s="46">
        <f>IF($E$751&lt;&gt;0,H756/$E$751,"")</f>
        <v>0</v>
      </c>
      <c r="K756" s="17"/>
    </row>
    <row r="757" spans="1:11">
      <c r="A757" s="4" t="s">
        <v>454</v>
      </c>
      <c r="B757" s="39">
        <f>'Yard'!$F$76</f>
        <v>0</v>
      </c>
      <c r="C757" s="39">
        <f>'Yard'!$F$98</f>
        <v>0</v>
      </c>
      <c r="D757" s="39">
        <f>'Yard'!$F$118</f>
        <v>0</v>
      </c>
      <c r="E757" s="10"/>
      <c r="F757" s="39">
        <f>'Reactive'!$F$82</f>
        <v>0</v>
      </c>
      <c r="G757" s="38">
        <f>IF(G$751&lt;&gt;0,(($B757*B$751+$C757*C$751+$D757*D$751+$F757*F$751))/G$751,0)</f>
        <v>0</v>
      </c>
      <c r="H757" s="21">
        <f>0.01*'Input'!$F$58*(E757*$E$751)+10*(B757*$B$751+C757*$C$751+D757*$D$751+F757*$F$751)</f>
        <v>0</v>
      </c>
      <c r="I757" s="38">
        <f>IF($G$751&lt;&gt;0,0.1*H757/$G$751,"")</f>
        <v>0</v>
      </c>
      <c r="J757" s="46">
        <f>IF($E$751&lt;&gt;0,H757/$E$751,"")</f>
        <v>0</v>
      </c>
      <c r="K757" s="17"/>
    </row>
    <row r="758" spans="1:11">
      <c r="A758" s="4" t="s">
        <v>455</v>
      </c>
      <c r="B758" s="39">
        <f>'Yard'!$G$76</f>
        <v>0</v>
      </c>
      <c r="C758" s="39">
        <f>'Yard'!$G$98</f>
        <v>0</v>
      </c>
      <c r="D758" s="39">
        <f>'Yard'!$G$118</f>
        <v>0</v>
      </c>
      <c r="E758" s="10"/>
      <c r="F758" s="39">
        <f>'Reactive'!$G$82</f>
        <v>0</v>
      </c>
      <c r="G758" s="38">
        <f>IF(G$751&lt;&gt;0,(($B758*B$751+$C758*C$751+$D758*D$751+$F758*F$751))/G$751,0)</f>
        <v>0</v>
      </c>
      <c r="H758" s="21">
        <f>0.01*'Input'!$F$58*(E758*$E$751)+10*(B758*$B$751+C758*$C$751+D758*$D$751+F758*$F$751)</f>
        <v>0</v>
      </c>
      <c r="I758" s="38">
        <f>IF($G$751&lt;&gt;0,0.1*H758/$G$751,"")</f>
        <v>0</v>
      </c>
      <c r="J758" s="46">
        <f>IF($E$751&lt;&gt;0,H758/$E$751,"")</f>
        <v>0</v>
      </c>
      <c r="K758" s="17"/>
    </row>
    <row r="759" spans="1:11">
      <c r="A759" s="4" t="s">
        <v>456</v>
      </c>
      <c r="B759" s="39">
        <f>'Yard'!$H$76</f>
        <v>0</v>
      </c>
      <c r="C759" s="39">
        <f>'Yard'!$H$98</f>
        <v>0</v>
      </c>
      <c r="D759" s="39">
        <f>'Yard'!$H$118</f>
        <v>0</v>
      </c>
      <c r="E759" s="10"/>
      <c r="F759" s="39">
        <f>'Reactive'!$H$82</f>
        <v>0</v>
      </c>
      <c r="G759" s="38">
        <f>IF(G$751&lt;&gt;0,(($B759*B$751+$C759*C$751+$D759*D$751+$F759*F$751))/G$751,0)</f>
        <v>0</v>
      </c>
      <c r="H759" s="21">
        <f>0.01*'Input'!$F$58*(E759*$E$751)+10*(B759*$B$751+C759*$C$751+D759*$D$751+F759*$F$751)</f>
        <v>0</v>
      </c>
      <c r="I759" s="38">
        <f>IF($G$751&lt;&gt;0,0.1*H759/$G$751,"")</f>
        <v>0</v>
      </c>
      <c r="J759" s="46">
        <f>IF($E$751&lt;&gt;0,H759/$E$751,"")</f>
        <v>0</v>
      </c>
      <c r="K759" s="17"/>
    </row>
    <row r="760" spans="1:11">
      <c r="A760" s="4" t="s">
        <v>457</v>
      </c>
      <c r="B760" s="39">
        <f>'Yard'!$I$76</f>
        <v>0</v>
      </c>
      <c r="C760" s="39">
        <f>'Yard'!$I$98</f>
        <v>0</v>
      </c>
      <c r="D760" s="39">
        <f>'Yard'!$I$118</f>
        <v>0</v>
      </c>
      <c r="E760" s="10"/>
      <c r="F760" s="39">
        <f>'Reactive'!$I$82</f>
        <v>0</v>
      </c>
      <c r="G760" s="38">
        <f>IF(G$751&lt;&gt;0,(($B760*B$751+$C760*C$751+$D760*D$751+$F760*F$751))/G$751,0)</f>
        <v>0</v>
      </c>
      <c r="H760" s="21">
        <f>0.01*'Input'!$F$58*(E760*$E$751)+10*(B760*$B$751+C760*$C$751+D760*$D$751+F760*$F$751)</f>
        <v>0</v>
      </c>
      <c r="I760" s="38">
        <f>IF($G$751&lt;&gt;0,0.1*H760/$G$751,"")</f>
        <v>0</v>
      </c>
      <c r="J760" s="46">
        <f>IF($E$751&lt;&gt;0,H760/$E$751,"")</f>
        <v>0</v>
      </c>
      <c r="K760" s="17"/>
    </row>
    <row r="761" spans="1:11">
      <c r="A761" s="4" t="s">
        <v>458</v>
      </c>
      <c r="B761" s="39">
        <f>'Yard'!$J$76</f>
        <v>0</v>
      </c>
      <c r="C761" s="39">
        <f>'Yard'!$J$98</f>
        <v>0</v>
      </c>
      <c r="D761" s="39">
        <f>'Yard'!$J$118</f>
        <v>0</v>
      </c>
      <c r="E761" s="10"/>
      <c r="F761" s="39">
        <f>'Reactive'!$J$82</f>
        <v>0</v>
      </c>
      <c r="G761" s="38">
        <f>IF(G$751&lt;&gt;0,(($B761*B$751+$C761*C$751+$D761*D$751+$F761*F$751))/G$751,0)</f>
        <v>0</v>
      </c>
      <c r="H761" s="21">
        <f>0.01*'Input'!$F$58*(E761*$E$751)+10*(B761*$B$751+C761*$C$751+D761*$D$751+F761*$F$751)</f>
        <v>0</v>
      </c>
      <c r="I761" s="38">
        <f>IF($G$751&lt;&gt;0,0.1*H761/$G$751,"")</f>
        <v>0</v>
      </c>
      <c r="J761" s="46">
        <f>IF($E$751&lt;&gt;0,H761/$E$751,"")</f>
        <v>0</v>
      </c>
      <c r="K761" s="17"/>
    </row>
    <row r="762" spans="1:11">
      <c r="A762" s="4" t="s">
        <v>1638</v>
      </c>
      <c r="B762" s="10"/>
      <c r="C762" s="10"/>
      <c r="D762" s="10"/>
      <c r="E762" s="47">
        <f>'SM'!$B$123</f>
        <v>0</v>
      </c>
      <c r="F762" s="10"/>
      <c r="G762" s="38">
        <f>IF(G$751&lt;&gt;0,(($B762*B$751+$C762*C$751+$D762*D$751+$F762*F$751))/G$751,0)</f>
        <v>0</v>
      </c>
      <c r="H762" s="21">
        <f>0.01*'Input'!$F$58*(E762*$E$751)+10*(B762*$B$751+C762*$C$751+D762*$D$751+F762*$F$751)</f>
        <v>0</v>
      </c>
      <c r="I762" s="38">
        <f>IF($G$751&lt;&gt;0,0.1*H762/$G$751,"")</f>
        <v>0</v>
      </c>
      <c r="J762" s="46">
        <f>IF($E$751&lt;&gt;0,H762/$E$751,"")</f>
        <v>0</v>
      </c>
      <c r="K762" s="17"/>
    </row>
    <row r="763" spans="1:11">
      <c r="A763" s="4" t="s">
        <v>1639</v>
      </c>
      <c r="B763" s="10"/>
      <c r="C763" s="10"/>
      <c r="D763" s="10"/>
      <c r="E763" s="47">
        <f>'SM'!$C$123</f>
        <v>0</v>
      </c>
      <c r="F763" s="10"/>
      <c r="G763" s="38">
        <f>IF(G$751&lt;&gt;0,(($B763*B$751+$C763*C$751+$D763*D$751+$F763*F$751))/G$751,0)</f>
        <v>0</v>
      </c>
      <c r="H763" s="21">
        <f>0.01*'Input'!$F$58*(E763*$E$751)+10*(B763*$B$751+C763*$C$751+D763*$D$751+F763*$F$751)</f>
        <v>0</v>
      </c>
      <c r="I763" s="38">
        <f>IF($G$751&lt;&gt;0,0.1*H763/$G$751,"")</f>
        <v>0</v>
      </c>
      <c r="J763" s="46">
        <f>IF($E$751&lt;&gt;0,H763/$E$751,"")</f>
        <v>0</v>
      </c>
      <c r="K763" s="17"/>
    </row>
    <row r="764" spans="1:11">
      <c r="A764" s="4" t="s">
        <v>1640</v>
      </c>
      <c r="B764" s="39">
        <f>'Yard'!$K$76</f>
        <v>0</v>
      </c>
      <c r="C764" s="39">
        <f>'Yard'!$K$98</f>
        <v>0</v>
      </c>
      <c r="D764" s="39">
        <f>'Yard'!$K$118</f>
        <v>0</v>
      </c>
      <c r="E764" s="10"/>
      <c r="F764" s="39">
        <f>'Reactive'!$K$82</f>
        <v>0</v>
      </c>
      <c r="G764" s="38">
        <f>IF(G$751&lt;&gt;0,(($B764*B$751+$C764*C$751+$D764*D$751+$F764*F$751))/G$751,0)</f>
        <v>0</v>
      </c>
      <c r="H764" s="21">
        <f>0.01*'Input'!$F$58*(E764*$E$751)+10*(B764*$B$751+C764*$C$751+D764*$D$751+F764*$F$751)</f>
        <v>0</v>
      </c>
      <c r="I764" s="38">
        <f>IF($G$751&lt;&gt;0,0.1*H764/$G$751,"")</f>
        <v>0</v>
      </c>
      <c r="J764" s="46">
        <f>IF($E$751&lt;&gt;0,H764/$E$751,"")</f>
        <v>0</v>
      </c>
      <c r="K764" s="17"/>
    </row>
    <row r="765" spans="1:11">
      <c r="A765" s="4" t="s">
        <v>1641</v>
      </c>
      <c r="B765" s="39">
        <f>'Yard'!$L$76</f>
        <v>0</v>
      </c>
      <c r="C765" s="39">
        <f>'Yard'!$L$98</f>
        <v>0</v>
      </c>
      <c r="D765" s="39">
        <f>'Yard'!$L$118</f>
        <v>0</v>
      </c>
      <c r="E765" s="10"/>
      <c r="F765" s="39">
        <f>'Reactive'!$L$82</f>
        <v>0</v>
      </c>
      <c r="G765" s="38">
        <f>IF(G$751&lt;&gt;0,(($B765*B$751+$C765*C$751+$D765*D$751+$F765*F$751))/G$751,0)</f>
        <v>0</v>
      </c>
      <c r="H765" s="21">
        <f>0.01*'Input'!$F$58*(E765*$E$751)+10*(B765*$B$751+C765*$C$751+D765*$D$751+F765*$F$751)</f>
        <v>0</v>
      </c>
      <c r="I765" s="38">
        <f>IF($G$751&lt;&gt;0,0.1*H765/$G$751,"")</f>
        <v>0</v>
      </c>
      <c r="J765" s="46">
        <f>IF($E$751&lt;&gt;0,H765/$E$751,"")</f>
        <v>0</v>
      </c>
      <c r="K765" s="17"/>
    </row>
    <row r="766" spans="1:11">
      <c r="A766" s="4" t="s">
        <v>1642</v>
      </c>
      <c r="B766" s="39">
        <f>'Yard'!$M$76</f>
        <v>0</v>
      </c>
      <c r="C766" s="39">
        <f>'Yard'!$M$98</f>
        <v>0</v>
      </c>
      <c r="D766" s="39">
        <f>'Yard'!$M$118</f>
        <v>0</v>
      </c>
      <c r="E766" s="10"/>
      <c r="F766" s="39">
        <f>'Reactive'!$M$82</f>
        <v>0</v>
      </c>
      <c r="G766" s="38">
        <f>IF(G$751&lt;&gt;0,(($B766*B$751+$C766*C$751+$D766*D$751+$F766*F$751))/G$751,0)</f>
        <v>0</v>
      </c>
      <c r="H766" s="21">
        <f>0.01*'Input'!$F$58*(E766*$E$751)+10*(B766*$B$751+C766*$C$751+D766*$D$751+F766*$F$751)</f>
        <v>0</v>
      </c>
      <c r="I766" s="38">
        <f>IF($G$751&lt;&gt;0,0.1*H766/$G$751,"")</f>
        <v>0</v>
      </c>
      <c r="J766" s="46">
        <f>IF($E$751&lt;&gt;0,H766/$E$751,"")</f>
        <v>0</v>
      </c>
      <c r="K766" s="17"/>
    </row>
    <row r="767" spans="1:11">
      <c r="A767" s="4" t="s">
        <v>1643</v>
      </c>
      <c r="B767" s="39">
        <f>'Yard'!$N$76</f>
        <v>0</v>
      </c>
      <c r="C767" s="39">
        <f>'Yard'!$N$98</f>
        <v>0</v>
      </c>
      <c r="D767" s="39">
        <f>'Yard'!$N$118</f>
        <v>0</v>
      </c>
      <c r="E767" s="10"/>
      <c r="F767" s="39">
        <f>'Reactive'!$N$82</f>
        <v>0</v>
      </c>
      <c r="G767" s="38">
        <f>IF(G$751&lt;&gt;0,(($B767*B$751+$C767*C$751+$D767*D$751+$F767*F$751))/G$751,0)</f>
        <v>0</v>
      </c>
      <c r="H767" s="21">
        <f>0.01*'Input'!$F$58*(E767*$E$751)+10*(B767*$B$751+C767*$C$751+D767*$D$751+F767*$F$751)</f>
        <v>0</v>
      </c>
      <c r="I767" s="38">
        <f>IF($G$751&lt;&gt;0,0.1*H767/$G$751,"")</f>
        <v>0</v>
      </c>
      <c r="J767" s="46">
        <f>IF($E$751&lt;&gt;0,H767/$E$751,"")</f>
        <v>0</v>
      </c>
      <c r="K767" s="17"/>
    </row>
    <row r="768" spans="1:11">
      <c r="A768" s="4" t="s">
        <v>1644</v>
      </c>
      <c r="B768" s="39">
        <f>'Yard'!$O$76</f>
        <v>0</v>
      </c>
      <c r="C768" s="39">
        <f>'Yard'!$O$98</f>
        <v>0</v>
      </c>
      <c r="D768" s="39">
        <f>'Yard'!$O$118</f>
        <v>0</v>
      </c>
      <c r="E768" s="10"/>
      <c r="F768" s="39">
        <f>'Reactive'!$O$82</f>
        <v>0</v>
      </c>
      <c r="G768" s="38">
        <f>IF(G$751&lt;&gt;0,(($B768*B$751+$C768*C$751+$D768*D$751+$F768*F$751))/G$751,0)</f>
        <v>0</v>
      </c>
      <c r="H768" s="21">
        <f>0.01*'Input'!$F$58*(E768*$E$751)+10*(B768*$B$751+C768*$C$751+D768*$D$751+F768*$F$751)</f>
        <v>0</v>
      </c>
      <c r="I768" s="38">
        <f>IF($G$751&lt;&gt;0,0.1*H768/$G$751,"")</f>
        <v>0</v>
      </c>
      <c r="J768" s="46">
        <f>IF($E$751&lt;&gt;0,H768/$E$751,"")</f>
        <v>0</v>
      </c>
      <c r="K768" s="17"/>
    </row>
    <row r="769" spans="1:11">
      <c r="A769" s="4" t="s">
        <v>1645</v>
      </c>
      <c r="B769" s="39">
        <f>'Yard'!$P$76</f>
        <v>0</v>
      </c>
      <c r="C769" s="39">
        <f>'Yard'!$P$98</f>
        <v>0</v>
      </c>
      <c r="D769" s="39">
        <f>'Yard'!$P$118</f>
        <v>0</v>
      </c>
      <c r="E769" s="10"/>
      <c r="F769" s="39">
        <f>'Reactive'!$P$82</f>
        <v>0</v>
      </c>
      <c r="G769" s="38">
        <f>IF(G$751&lt;&gt;0,(($B769*B$751+$C769*C$751+$D769*D$751+$F769*F$751))/G$751,0)</f>
        <v>0</v>
      </c>
      <c r="H769" s="21">
        <f>0.01*'Input'!$F$58*(E769*$E$751)+10*(B769*$B$751+C769*$C$751+D769*$D$751+F769*$F$751)</f>
        <v>0</v>
      </c>
      <c r="I769" s="38">
        <f>IF($G$751&lt;&gt;0,0.1*H769/$G$751,"")</f>
        <v>0</v>
      </c>
      <c r="J769" s="46">
        <f>IF($E$751&lt;&gt;0,H769/$E$751,"")</f>
        <v>0</v>
      </c>
      <c r="K769" s="17"/>
    </row>
    <row r="770" spans="1:11">
      <c r="A770" s="4" t="s">
        <v>1646</v>
      </c>
      <c r="B770" s="39">
        <f>'Yard'!$Q$76</f>
        <v>0</v>
      </c>
      <c r="C770" s="39">
        <f>'Yard'!$Q$98</f>
        <v>0</v>
      </c>
      <c r="D770" s="39">
        <f>'Yard'!$Q$118</f>
        <v>0</v>
      </c>
      <c r="E770" s="10"/>
      <c r="F770" s="39">
        <f>'Reactive'!$Q$82</f>
        <v>0</v>
      </c>
      <c r="G770" s="38">
        <f>IF(G$751&lt;&gt;0,(($B770*B$751+$C770*C$751+$D770*D$751+$F770*F$751))/G$751,0)</f>
        <v>0</v>
      </c>
      <c r="H770" s="21">
        <f>0.01*'Input'!$F$58*(E770*$E$751)+10*(B770*$B$751+C770*$C$751+D770*$D$751+F770*$F$751)</f>
        <v>0</v>
      </c>
      <c r="I770" s="38">
        <f>IF($G$751&lt;&gt;0,0.1*H770/$G$751,"")</f>
        <v>0</v>
      </c>
      <c r="J770" s="46">
        <f>IF($E$751&lt;&gt;0,H770/$E$751,"")</f>
        <v>0</v>
      </c>
      <c r="K770" s="17"/>
    </row>
    <row r="771" spans="1:11">
      <c r="A771" s="4" t="s">
        <v>1647</v>
      </c>
      <c r="B771" s="39">
        <f>'Yard'!$R$76</f>
        <v>0</v>
      </c>
      <c r="C771" s="39">
        <f>'Yard'!$R$98</f>
        <v>0</v>
      </c>
      <c r="D771" s="39">
        <f>'Yard'!$R$118</f>
        <v>0</v>
      </c>
      <c r="E771" s="10"/>
      <c r="F771" s="39">
        <f>'Reactive'!$R$82</f>
        <v>0</v>
      </c>
      <c r="G771" s="38">
        <f>IF(G$751&lt;&gt;0,(($B771*B$751+$C771*C$751+$D771*D$751+$F771*F$751))/G$751,0)</f>
        <v>0</v>
      </c>
      <c r="H771" s="21">
        <f>0.01*'Input'!$F$58*(E771*$E$751)+10*(B771*$B$751+C771*$C$751+D771*$D$751+F771*$F$751)</f>
        <v>0</v>
      </c>
      <c r="I771" s="38">
        <f>IF($G$751&lt;&gt;0,0.1*H771/$G$751,"")</f>
        <v>0</v>
      </c>
      <c r="J771" s="46">
        <f>IF($E$751&lt;&gt;0,H771/$E$751,"")</f>
        <v>0</v>
      </c>
      <c r="K771" s="17"/>
    </row>
    <row r="772" spans="1:11">
      <c r="A772" s="4" t="s">
        <v>1648</v>
      </c>
      <c r="B772" s="39">
        <f>'Yard'!$S$76</f>
        <v>0</v>
      </c>
      <c r="C772" s="39">
        <f>'Yard'!$S$98</f>
        <v>0</v>
      </c>
      <c r="D772" s="39">
        <f>'Yard'!$S$118</f>
        <v>0</v>
      </c>
      <c r="E772" s="10"/>
      <c r="F772" s="39">
        <f>'Reactive'!$S$82</f>
        <v>0</v>
      </c>
      <c r="G772" s="38">
        <f>IF(G$751&lt;&gt;0,(($B772*B$751+$C772*C$751+$D772*D$751+$F772*F$751))/G$751,0)</f>
        <v>0</v>
      </c>
      <c r="H772" s="21">
        <f>0.01*'Input'!$F$58*(E772*$E$751)+10*(B772*$B$751+C772*$C$751+D772*$D$751+F772*$F$751)</f>
        <v>0</v>
      </c>
      <c r="I772" s="38">
        <f>IF($G$751&lt;&gt;0,0.1*H772/$G$751,"")</f>
        <v>0</v>
      </c>
      <c r="J772" s="46">
        <f>IF($E$751&lt;&gt;0,H772/$E$751,"")</f>
        <v>0</v>
      </c>
      <c r="K772" s="17"/>
    </row>
    <row r="773" spans="1:11">
      <c r="A773" s="4" t="s">
        <v>1649</v>
      </c>
      <c r="B773" s="10"/>
      <c r="C773" s="10"/>
      <c r="D773" s="10"/>
      <c r="E773" s="47">
        <f>'Otex'!$B$144</f>
        <v>0</v>
      </c>
      <c r="F773" s="10"/>
      <c r="G773" s="38">
        <f>IF(G$751&lt;&gt;0,(($B773*B$751+$C773*C$751+$D773*D$751+$F773*F$751))/G$751,0)</f>
        <v>0</v>
      </c>
      <c r="H773" s="21">
        <f>0.01*'Input'!$F$58*(E773*$E$751)+10*(B773*$B$751+C773*$C$751+D773*$D$751+F773*$F$751)</f>
        <v>0</v>
      </c>
      <c r="I773" s="38">
        <f>IF($G$751&lt;&gt;0,0.1*H773/$G$751,"")</f>
        <v>0</v>
      </c>
      <c r="J773" s="46">
        <f>IF($E$751&lt;&gt;0,H773/$E$751,"")</f>
        <v>0</v>
      </c>
      <c r="K773" s="17"/>
    </row>
    <row r="774" spans="1:11">
      <c r="A774" s="4" t="s">
        <v>1650</v>
      </c>
      <c r="B774" s="10"/>
      <c r="C774" s="10"/>
      <c r="D774" s="10"/>
      <c r="E774" s="47">
        <f>'Otex'!$C$144</f>
        <v>0</v>
      </c>
      <c r="F774" s="10"/>
      <c r="G774" s="38">
        <f>IF(G$751&lt;&gt;0,(($B774*B$751+$C774*C$751+$D774*D$751+$F774*F$751))/G$751,0)</f>
        <v>0</v>
      </c>
      <c r="H774" s="21">
        <f>0.01*'Input'!$F$58*(E774*$E$751)+10*(B774*$B$751+C774*$C$751+D774*$D$751+F774*$F$751)</f>
        <v>0</v>
      </c>
      <c r="I774" s="38">
        <f>IF($G$751&lt;&gt;0,0.1*H774/$G$751,"")</f>
        <v>0</v>
      </c>
      <c r="J774" s="46">
        <f>IF($E$751&lt;&gt;0,H774/$E$751,"")</f>
        <v>0</v>
      </c>
      <c r="K774" s="17"/>
    </row>
    <row r="775" spans="1:11">
      <c r="A775" s="4" t="s">
        <v>1651</v>
      </c>
      <c r="B775" s="39">
        <f>'Scaler'!$B$412</f>
        <v>0</v>
      </c>
      <c r="C775" s="39">
        <f>'Scaler'!$C$412</f>
        <v>0</v>
      </c>
      <c r="D775" s="39">
        <f>'Scaler'!$D$412</f>
        <v>0</v>
      </c>
      <c r="E775" s="47">
        <f>'Scaler'!$E$412</f>
        <v>0</v>
      </c>
      <c r="F775" s="39">
        <f>'Scaler'!$G$412</f>
        <v>0</v>
      </c>
      <c r="G775" s="38">
        <f>IF(G$751&lt;&gt;0,(($B775*B$751+$C775*C$751+$D775*D$751+$F775*F$751))/G$751,0)</f>
        <v>0</v>
      </c>
      <c r="H775" s="21">
        <f>0.01*'Input'!$F$58*(E775*$E$751)+10*(B775*$B$751+C775*$C$751+D775*$D$751+F775*$F$751)</f>
        <v>0</v>
      </c>
      <c r="I775" s="38">
        <f>IF($G$751&lt;&gt;0,0.1*H775/$G$751,"")</f>
        <v>0</v>
      </c>
      <c r="J775" s="46">
        <f>IF($E$751&lt;&gt;0,H775/$E$751,"")</f>
        <v>0</v>
      </c>
      <c r="K775" s="17"/>
    </row>
    <row r="776" spans="1:11">
      <c r="A776" s="4" t="s">
        <v>1652</v>
      </c>
      <c r="B776" s="39">
        <f>'Adjust'!$B$92</f>
        <v>0</v>
      </c>
      <c r="C776" s="39">
        <f>'Adjust'!$C$92</f>
        <v>0</v>
      </c>
      <c r="D776" s="39">
        <f>'Adjust'!$D$92</f>
        <v>0</v>
      </c>
      <c r="E776" s="47">
        <f>'Adjust'!$E$92</f>
        <v>0</v>
      </c>
      <c r="F776" s="39">
        <f>'Adjust'!$G$92</f>
        <v>0</v>
      </c>
      <c r="G776" s="38">
        <f>IF(G$751&lt;&gt;0,(($B776*B$751+$C776*C$751+$D776*D$751+$F776*F$751))/G$751,0)</f>
        <v>0</v>
      </c>
      <c r="H776" s="21">
        <f>0.01*'Input'!$F$58*(E776*$E$751)+10*(B776*$B$751+C776*$C$751+D776*$D$751+F776*$F$751)</f>
        <v>0</v>
      </c>
      <c r="I776" s="38">
        <f>IF($G$751&lt;&gt;0,0.1*H776/$G$751,"")</f>
        <v>0</v>
      </c>
      <c r="J776" s="46">
        <f>IF($E$751&lt;&gt;0,H776/$E$751,"")</f>
        <v>0</v>
      </c>
      <c r="K776" s="17"/>
    </row>
    <row r="778" spans="1:11">
      <c r="A778" s="4" t="s">
        <v>1653</v>
      </c>
      <c r="B778" s="38">
        <f>SUM($B$754:$B$776)</f>
        <v>0</v>
      </c>
      <c r="C778" s="38">
        <f>SUM($C$754:$C$776)</f>
        <v>0</v>
      </c>
      <c r="D778" s="38">
        <f>SUM($D$754:$D$776)</f>
        <v>0</v>
      </c>
      <c r="E778" s="46">
        <f>SUM($E$754:$E$776)</f>
        <v>0</v>
      </c>
      <c r="F778" s="38">
        <f>SUM($F$754:$F$776)</f>
        <v>0</v>
      </c>
      <c r="G778" s="38">
        <f>SUM(G$754:G$776)</f>
        <v>0</v>
      </c>
      <c r="H778" s="21">
        <f>SUM($H$754:$H$776)</f>
        <v>0</v>
      </c>
      <c r="I778" s="38">
        <f>SUM($I$754:$I$776)</f>
        <v>0</v>
      </c>
      <c r="J778" s="46">
        <f>SUM($J$754:$J$776)</f>
        <v>0</v>
      </c>
    </row>
  </sheetData>
  <sheetProtection sheet="1" objects="1" scenarios="1"/>
  <hyperlinks>
    <hyperlink ref="A4" location="'M-ATW'!B32" display="Domestic Unrestricted"/>
    <hyperlink ref="A5" location="'M-ATW'!B64" display="Domestic Two Rate"/>
    <hyperlink ref="A6" location="'M-ATW'!B96" display="Domestic Off Peak (related MPAN)"/>
    <hyperlink ref="A7" location="'M-ATW'!B124" display="Small Non Domestic Unrestricted"/>
    <hyperlink ref="A8" location="'M-ATW'!B156" display="Small Non Domestic Two Rate"/>
    <hyperlink ref="A9" location="'M-ATW'!B188" display="Small Non Domestic Off Peak (related MPAN)"/>
    <hyperlink ref="A10" location="'M-ATW'!B216" display="LV Network Domestic"/>
    <hyperlink ref="A11" location="'M-ATW'!B248" display="LV Network Non-Domestic Non-CT"/>
    <hyperlink ref="A12" location="'M-ATW'!B280" display="LV HH Metered"/>
    <hyperlink ref="A13" location="'M-ATW'!B312" display="LV Sub HH Metered"/>
    <hyperlink ref="A14" location="'M-ATW'!B344" display="HV HH Metered"/>
    <hyperlink ref="A15" location="'M-ATW'!B376" display="NHH UMS category A"/>
    <hyperlink ref="A16" location="'M-ATW'!B406" display="NHH UMS category B"/>
    <hyperlink ref="A17" location="'M-ATW'!B436" display="NHH UMS category C"/>
    <hyperlink ref="A18" location="'M-ATW'!B466" display="NHH UMS category D"/>
    <hyperlink ref="A19" location="'M-ATW'!B496" display="LV UMS (Pseudo HH Metered)"/>
    <hyperlink ref="A20" location="'M-ATW'!B526" display="LV Generation NHH or Aggregate HH"/>
    <hyperlink ref="A21" location="'M-ATW'!B558" display="LV Sub Generation NHH"/>
    <hyperlink ref="A22" location="'M-ATW'!B590" display="LV Generation Intermittent"/>
    <hyperlink ref="A23" location="'M-ATW'!B622" display="LV Generation Non-Intermittent"/>
    <hyperlink ref="A24" location="'M-ATW'!B654" display="LV Sub Generation Intermittent"/>
    <hyperlink ref="A25" location="'M-ATW'!B686" display="LV Sub Generation Non-Intermittent"/>
    <hyperlink ref="A26" location="'M-ATW'!B718" display="HV Generation Intermittent"/>
    <hyperlink ref="A27" location="'M-ATW'!B750" display="HV Generation Non-Intermittent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  <rowBreaks count="24" manualBreakCount="24">
    <brk id="28" max="16383" man="1"/>
    <brk id="60" max="16383" man="1"/>
    <brk id="92" max="16383" man="1"/>
    <brk id="120" max="16383" man="1"/>
    <brk id="152" max="16383" man="1"/>
    <brk id="184" max="16383" man="1"/>
    <brk id="212" max="16383" man="1"/>
    <brk id="244" max="16383" man="1"/>
    <brk id="276" max="16383" man="1"/>
    <brk id="308" max="16383" man="1"/>
    <brk id="340" max="16383" man="1"/>
    <brk id="372" max="16383" man="1"/>
    <brk id="402" max="16383" man="1"/>
    <brk id="432" max="16383" man="1"/>
    <brk id="462" max="16383" man="1"/>
    <brk id="492" max="16383" man="1"/>
    <brk id="522" max="16383" man="1"/>
    <brk id="554" max="16383" man="1"/>
    <brk id="586" max="16383" man="1"/>
    <brk id="618" max="16383" man="1"/>
    <brk id="650" max="16383" man="1"/>
    <brk id="682" max="16383" man="1"/>
    <brk id="714" max="16383" man="1"/>
    <brk id="746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26" ht="21" customHeight="1">
      <c r="A1" s="1">
        <f>"Revenue matrix for "&amp;'Input'!B7&amp;" in "&amp;'Input'!C7&amp;" ("&amp;'Input'!D7&amp;")"</f>
        <v>0</v>
      </c>
    </row>
    <row r="2" spans="1:26">
      <c r="A2" s="2" t="s">
        <v>1552</v>
      </c>
    </row>
    <row r="4" spans="1:26" ht="21" customHeight="1">
      <c r="A4" s="1" t="s">
        <v>1657</v>
      </c>
    </row>
    <row r="6" spans="1:26">
      <c r="B6" s="36" t="s">
        <v>1658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1:26">
      <c r="B7" s="15" t="s">
        <v>306</v>
      </c>
      <c r="C7" s="15" t="s">
        <v>307</v>
      </c>
      <c r="D7" s="15" t="s">
        <v>308</v>
      </c>
      <c r="E7" s="15" t="s">
        <v>309</v>
      </c>
      <c r="F7" s="15" t="s">
        <v>310</v>
      </c>
      <c r="G7" s="15" t="s">
        <v>311</v>
      </c>
      <c r="H7" s="15" t="s">
        <v>312</v>
      </c>
      <c r="I7" s="15" t="s">
        <v>313</v>
      </c>
      <c r="J7" s="15" t="s">
        <v>463</v>
      </c>
      <c r="K7" s="15" t="s">
        <v>475</v>
      </c>
      <c r="L7" s="15" t="s">
        <v>294</v>
      </c>
      <c r="M7" s="15" t="s">
        <v>877</v>
      </c>
      <c r="N7" s="15" t="s">
        <v>878</v>
      </c>
      <c r="O7" s="15" t="s">
        <v>879</v>
      </c>
      <c r="P7" s="15" t="s">
        <v>880</v>
      </c>
      <c r="Q7" s="15" t="s">
        <v>881</v>
      </c>
      <c r="R7" s="15" t="s">
        <v>882</v>
      </c>
      <c r="S7" s="15" t="s">
        <v>883</v>
      </c>
      <c r="T7" s="15" t="s">
        <v>884</v>
      </c>
      <c r="U7" s="15" t="s">
        <v>885</v>
      </c>
      <c r="V7" s="15" t="s">
        <v>886</v>
      </c>
      <c r="W7" s="15" t="s">
        <v>1651</v>
      </c>
      <c r="X7" s="15" t="s">
        <v>1652</v>
      </c>
      <c r="Y7" s="15" t="s">
        <v>1659</v>
      </c>
    </row>
    <row r="8" spans="1:26">
      <c r="A8" s="4" t="s">
        <v>174</v>
      </c>
      <c r="B8" s="44">
        <f>'M-ATW'!$D$36</f>
        <v>0</v>
      </c>
      <c r="C8" s="44">
        <f>'M-ATW'!$D$37</f>
        <v>0</v>
      </c>
      <c r="D8" s="44">
        <f>'M-ATW'!$D$38</f>
        <v>0</v>
      </c>
      <c r="E8" s="44">
        <f>'M-ATW'!$D$39</f>
        <v>0</v>
      </c>
      <c r="F8" s="44">
        <f>'M-ATW'!$D$40</f>
        <v>0</v>
      </c>
      <c r="G8" s="44">
        <f>'M-ATW'!$D$41</f>
        <v>0</v>
      </c>
      <c r="H8" s="44">
        <f>'M-ATW'!$D$42</f>
        <v>0</v>
      </c>
      <c r="I8" s="44">
        <f>'M-ATW'!$D$43</f>
        <v>0</v>
      </c>
      <c r="J8" s="44">
        <f>'M-ATW'!$D$44</f>
        <v>0</v>
      </c>
      <c r="K8" s="44">
        <f>'M-ATW'!$D$45</f>
        <v>0</v>
      </c>
      <c r="L8" s="44">
        <f>'M-ATW'!$D$46</f>
        <v>0</v>
      </c>
      <c r="M8" s="44">
        <f>'M-ATW'!$D$47</f>
        <v>0</v>
      </c>
      <c r="N8" s="44">
        <f>'M-ATW'!$D$48</f>
        <v>0</v>
      </c>
      <c r="O8" s="44">
        <f>'M-ATW'!$D$49</f>
        <v>0</v>
      </c>
      <c r="P8" s="44">
        <f>'M-ATW'!$D$50</f>
        <v>0</v>
      </c>
      <c r="Q8" s="44">
        <f>'M-ATW'!$D$51</f>
        <v>0</v>
      </c>
      <c r="R8" s="44">
        <f>'M-ATW'!$D$52</f>
        <v>0</v>
      </c>
      <c r="S8" s="44">
        <f>'M-ATW'!$D$53</f>
        <v>0</v>
      </c>
      <c r="T8" s="44">
        <f>'M-ATW'!$D$54</f>
        <v>0</v>
      </c>
      <c r="U8" s="44">
        <f>'M-ATW'!$D$55</f>
        <v>0</v>
      </c>
      <c r="V8" s="44">
        <f>'M-ATW'!$D$56</f>
        <v>0</v>
      </c>
      <c r="W8" s="44">
        <f>'M-ATW'!$D$57</f>
        <v>0</v>
      </c>
      <c r="X8" s="44">
        <f>'M-ATW'!$D$58</f>
        <v>0</v>
      </c>
      <c r="Y8" s="21">
        <f>SUM($B8:$X8)</f>
        <v>0</v>
      </c>
      <c r="Z8" s="17"/>
    </row>
    <row r="9" spans="1:26">
      <c r="A9" s="4" t="s">
        <v>175</v>
      </c>
      <c r="B9" s="44">
        <f>'M-ATW'!$F$68</f>
        <v>0</v>
      </c>
      <c r="C9" s="44">
        <f>'M-ATW'!$F$69</f>
        <v>0</v>
      </c>
      <c r="D9" s="44">
        <f>'M-ATW'!$F$70</f>
        <v>0</v>
      </c>
      <c r="E9" s="44">
        <f>'M-ATW'!$F$71</f>
        <v>0</v>
      </c>
      <c r="F9" s="44">
        <f>'M-ATW'!$F$72</f>
        <v>0</v>
      </c>
      <c r="G9" s="44">
        <f>'M-ATW'!$F$73</f>
        <v>0</v>
      </c>
      <c r="H9" s="44">
        <f>'M-ATW'!$F$74</f>
        <v>0</v>
      </c>
      <c r="I9" s="44">
        <f>'M-ATW'!$F$75</f>
        <v>0</v>
      </c>
      <c r="J9" s="44">
        <f>'M-ATW'!$F$76</f>
        <v>0</v>
      </c>
      <c r="K9" s="44">
        <f>'M-ATW'!$F$77</f>
        <v>0</v>
      </c>
      <c r="L9" s="44">
        <f>'M-ATW'!$F$78</f>
        <v>0</v>
      </c>
      <c r="M9" s="44">
        <f>'M-ATW'!$F$79</f>
        <v>0</v>
      </c>
      <c r="N9" s="44">
        <f>'M-ATW'!$F$80</f>
        <v>0</v>
      </c>
      <c r="O9" s="44">
        <f>'M-ATW'!$F$81</f>
        <v>0</v>
      </c>
      <c r="P9" s="44">
        <f>'M-ATW'!$F$82</f>
        <v>0</v>
      </c>
      <c r="Q9" s="44">
        <f>'M-ATW'!$F$83</f>
        <v>0</v>
      </c>
      <c r="R9" s="44">
        <f>'M-ATW'!$F$84</f>
        <v>0</v>
      </c>
      <c r="S9" s="44">
        <f>'M-ATW'!$F$85</f>
        <v>0</v>
      </c>
      <c r="T9" s="44">
        <f>'M-ATW'!$F$86</f>
        <v>0</v>
      </c>
      <c r="U9" s="44">
        <f>'M-ATW'!$F$87</f>
        <v>0</v>
      </c>
      <c r="V9" s="44">
        <f>'M-ATW'!$F$88</f>
        <v>0</v>
      </c>
      <c r="W9" s="44">
        <f>'M-ATW'!$F$89</f>
        <v>0</v>
      </c>
      <c r="X9" s="44">
        <f>'M-ATW'!$F$90</f>
        <v>0</v>
      </c>
      <c r="Y9" s="21">
        <f>SUM($B9:$X9)</f>
        <v>0</v>
      </c>
      <c r="Z9" s="17"/>
    </row>
    <row r="10" spans="1:26">
      <c r="A10" s="4" t="s">
        <v>211</v>
      </c>
      <c r="B10" s="44">
        <f>'M-ATW'!$C$100</f>
        <v>0</v>
      </c>
      <c r="C10" s="44">
        <f>'M-ATW'!$C$101</f>
        <v>0</v>
      </c>
      <c r="D10" s="44">
        <f>'M-ATW'!$C$102</f>
        <v>0</v>
      </c>
      <c r="E10" s="44">
        <f>'M-ATW'!$C$103</f>
        <v>0</v>
      </c>
      <c r="F10" s="44">
        <f>'M-ATW'!$C$104</f>
        <v>0</v>
      </c>
      <c r="G10" s="44">
        <f>'M-ATW'!$C$105</f>
        <v>0</v>
      </c>
      <c r="H10" s="44">
        <f>'M-ATW'!$C$106</f>
        <v>0</v>
      </c>
      <c r="I10" s="44">
        <f>'M-ATW'!$C$107</f>
        <v>0</v>
      </c>
      <c r="J10" s="10"/>
      <c r="K10" s="10"/>
      <c r="L10" s="44">
        <f>'M-ATW'!$C$108</f>
        <v>0</v>
      </c>
      <c r="M10" s="44">
        <f>'M-ATW'!$C$109</f>
        <v>0</v>
      </c>
      <c r="N10" s="44">
        <f>'M-ATW'!$C$110</f>
        <v>0</v>
      </c>
      <c r="O10" s="44">
        <f>'M-ATW'!$C$111</f>
        <v>0</v>
      </c>
      <c r="P10" s="44">
        <f>'M-ATW'!$C$112</f>
        <v>0</v>
      </c>
      <c r="Q10" s="44">
        <f>'M-ATW'!$C$113</f>
        <v>0</v>
      </c>
      <c r="R10" s="44">
        <f>'M-ATW'!$C$114</f>
        <v>0</v>
      </c>
      <c r="S10" s="44">
        <f>'M-ATW'!$C$115</f>
        <v>0</v>
      </c>
      <c r="T10" s="44">
        <f>'M-ATW'!$C$116</f>
        <v>0</v>
      </c>
      <c r="U10" s="10"/>
      <c r="V10" s="10"/>
      <c r="W10" s="44">
        <f>'M-ATW'!$C$117</f>
        <v>0</v>
      </c>
      <c r="X10" s="44">
        <f>'M-ATW'!$C$118</f>
        <v>0</v>
      </c>
      <c r="Y10" s="21">
        <f>SUM($B10:$X10)</f>
        <v>0</v>
      </c>
      <c r="Z10" s="17"/>
    </row>
    <row r="11" spans="1:26">
      <c r="A11" s="4" t="s">
        <v>176</v>
      </c>
      <c r="B11" s="44">
        <f>'M-ATW'!$D$128</f>
        <v>0</v>
      </c>
      <c r="C11" s="44">
        <f>'M-ATW'!$D$129</f>
        <v>0</v>
      </c>
      <c r="D11" s="44">
        <f>'M-ATW'!$D$130</f>
        <v>0</v>
      </c>
      <c r="E11" s="44">
        <f>'M-ATW'!$D$131</f>
        <v>0</v>
      </c>
      <c r="F11" s="44">
        <f>'M-ATW'!$D$132</f>
        <v>0</v>
      </c>
      <c r="G11" s="44">
        <f>'M-ATW'!$D$133</f>
        <v>0</v>
      </c>
      <c r="H11" s="44">
        <f>'M-ATW'!$D$134</f>
        <v>0</v>
      </c>
      <c r="I11" s="44">
        <f>'M-ATW'!$D$135</f>
        <v>0</v>
      </c>
      <c r="J11" s="44">
        <f>'M-ATW'!$D$136</f>
        <v>0</v>
      </c>
      <c r="K11" s="44">
        <f>'M-ATW'!$D$137</f>
        <v>0</v>
      </c>
      <c r="L11" s="44">
        <f>'M-ATW'!$D$138</f>
        <v>0</v>
      </c>
      <c r="M11" s="44">
        <f>'M-ATW'!$D$139</f>
        <v>0</v>
      </c>
      <c r="N11" s="44">
        <f>'M-ATW'!$D$140</f>
        <v>0</v>
      </c>
      <c r="O11" s="44">
        <f>'M-ATW'!$D$141</f>
        <v>0</v>
      </c>
      <c r="P11" s="44">
        <f>'M-ATW'!$D$142</f>
        <v>0</v>
      </c>
      <c r="Q11" s="44">
        <f>'M-ATW'!$D$143</f>
        <v>0</v>
      </c>
      <c r="R11" s="44">
        <f>'M-ATW'!$D$144</f>
        <v>0</v>
      </c>
      <c r="S11" s="44">
        <f>'M-ATW'!$D$145</f>
        <v>0</v>
      </c>
      <c r="T11" s="44">
        <f>'M-ATW'!$D$146</f>
        <v>0</v>
      </c>
      <c r="U11" s="44">
        <f>'M-ATW'!$D$147</f>
        <v>0</v>
      </c>
      <c r="V11" s="44">
        <f>'M-ATW'!$D$148</f>
        <v>0</v>
      </c>
      <c r="W11" s="44">
        <f>'M-ATW'!$D$149</f>
        <v>0</v>
      </c>
      <c r="X11" s="44">
        <f>'M-ATW'!$D$150</f>
        <v>0</v>
      </c>
      <c r="Y11" s="21">
        <f>SUM($B11:$X11)</f>
        <v>0</v>
      </c>
      <c r="Z11" s="17"/>
    </row>
    <row r="12" spans="1:26">
      <c r="A12" s="4" t="s">
        <v>177</v>
      </c>
      <c r="B12" s="44">
        <f>'M-ATW'!$F$160</f>
        <v>0</v>
      </c>
      <c r="C12" s="44">
        <f>'M-ATW'!$F$161</f>
        <v>0</v>
      </c>
      <c r="D12" s="44">
        <f>'M-ATW'!$F$162</f>
        <v>0</v>
      </c>
      <c r="E12" s="44">
        <f>'M-ATW'!$F$163</f>
        <v>0</v>
      </c>
      <c r="F12" s="44">
        <f>'M-ATW'!$F$164</f>
        <v>0</v>
      </c>
      <c r="G12" s="44">
        <f>'M-ATW'!$F$165</f>
        <v>0</v>
      </c>
      <c r="H12" s="44">
        <f>'M-ATW'!$F$166</f>
        <v>0</v>
      </c>
      <c r="I12" s="44">
        <f>'M-ATW'!$F$167</f>
        <v>0</v>
      </c>
      <c r="J12" s="44">
        <f>'M-ATW'!$F$168</f>
        <v>0</v>
      </c>
      <c r="K12" s="44">
        <f>'M-ATW'!$F$169</f>
        <v>0</v>
      </c>
      <c r="L12" s="44">
        <f>'M-ATW'!$F$170</f>
        <v>0</v>
      </c>
      <c r="M12" s="44">
        <f>'M-ATW'!$F$171</f>
        <v>0</v>
      </c>
      <c r="N12" s="44">
        <f>'M-ATW'!$F$172</f>
        <v>0</v>
      </c>
      <c r="O12" s="44">
        <f>'M-ATW'!$F$173</f>
        <v>0</v>
      </c>
      <c r="P12" s="44">
        <f>'M-ATW'!$F$174</f>
        <v>0</v>
      </c>
      <c r="Q12" s="44">
        <f>'M-ATW'!$F$175</f>
        <v>0</v>
      </c>
      <c r="R12" s="44">
        <f>'M-ATW'!$F$176</f>
        <v>0</v>
      </c>
      <c r="S12" s="44">
        <f>'M-ATW'!$F$177</f>
        <v>0</v>
      </c>
      <c r="T12" s="44">
        <f>'M-ATW'!$F$178</f>
        <v>0</v>
      </c>
      <c r="U12" s="44">
        <f>'M-ATW'!$F$179</f>
        <v>0</v>
      </c>
      <c r="V12" s="44">
        <f>'M-ATW'!$F$180</f>
        <v>0</v>
      </c>
      <c r="W12" s="44">
        <f>'M-ATW'!$F$181</f>
        <v>0</v>
      </c>
      <c r="X12" s="44">
        <f>'M-ATW'!$F$182</f>
        <v>0</v>
      </c>
      <c r="Y12" s="21">
        <f>SUM($B12:$X12)</f>
        <v>0</v>
      </c>
      <c r="Z12" s="17"/>
    </row>
    <row r="13" spans="1:26">
      <c r="A13" s="4" t="s">
        <v>212</v>
      </c>
      <c r="B13" s="44">
        <f>'M-ATW'!$C$192</f>
        <v>0</v>
      </c>
      <c r="C13" s="44">
        <f>'M-ATW'!$C$193</f>
        <v>0</v>
      </c>
      <c r="D13" s="44">
        <f>'M-ATW'!$C$194</f>
        <v>0</v>
      </c>
      <c r="E13" s="44">
        <f>'M-ATW'!$C$195</f>
        <v>0</v>
      </c>
      <c r="F13" s="44">
        <f>'M-ATW'!$C$196</f>
        <v>0</v>
      </c>
      <c r="G13" s="44">
        <f>'M-ATW'!$C$197</f>
        <v>0</v>
      </c>
      <c r="H13" s="44">
        <f>'M-ATW'!$C$198</f>
        <v>0</v>
      </c>
      <c r="I13" s="44">
        <f>'M-ATW'!$C$199</f>
        <v>0</v>
      </c>
      <c r="J13" s="10"/>
      <c r="K13" s="10"/>
      <c r="L13" s="44">
        <f>'M-ATW'!$C$200</f>
        <v>0</v>
      </c>
      <c r="M13" s="44">
        <f>'M-ATW'!$C$201</f>
        <v>0</v>
      </c>
      <c r="N13" s="44">
        <f>'M-ATW'!$C$202</f>
        <v>0</v>
      </c>
      <c r="O13" s="44">
        <f>'M-ATW'!$C$203</f>
        <v>0</v>
      </c>
      <c r="P13" s="44">
        <f>'M-ATW'!$C$204</f>
        <v>0</v>
      </c>
      <c r="Q13" s="44">
        <f>'M-ATW'!$C$205</f>
        <v>0</v>
      </c>
      <c r="R13" s="44">
        <f>'M-ATW'!$C$206</f>
        <v>0</v>
      </c>
      <c r="S13" s="44">
        <f>'M-ATW'!$C$207</f>
        <v>0</v>
      </c>
      <c r="T13" s="44">
        <f>'M-ATW'!$C$208</f>
        <v>0</v>
      </c>
      <c r="U13" s="10"/>
      <c r="V13" s="10"/>
      <c r="W13" s="44">
        <f>'M-ATW'!$C$209</f>
        <v>0</v>
      </c>
      <c r="X13" s="44">
        <f>'M-ATW'!$C$210</f>
        <v>0</v>
      </c>
      <c r="Y13" s="21">
        <f>SUM($B13:$X13)</f>
        <v>0</v>
      </c>
      <c r="Z13" s="17"/>
    </row>
    <row r="14" spans="1:26">
      <c r="A14" s="4" t="s">
        <v>178</v>
      </c>
      <c r="B14" s="44">
        <f>'M-ATW'!$G$220</f>
        <v>0</v>
      </c>
      <c r="C14" s="44">
        <f>'M-ATW'!$G$221</f>
        <v>0</v>
      </c>
      <c r="D14" s="44">
        <f>'M-ATW'!$G$222</f>
        <v>0</v>
      </c>
      <c r="E14" s="44">
        <f>'M-ATW'!$G$223</f>
        <v>0</v>
      </c>
      <c r="F14" s="44">
        <f>'M-ATW'!$G$224</f>
        <v>0</v>
      </c>
      <c r="G14" s="44">
        <f>'M-ATW'!$G$225</f>
        <v>0</v>
      </c>
      <c r="H14" s="44">
        <f>'M-ATW'!$G$226</f>
        <v>0</v>
      </c>
      <c r="I14" s="44">
        <f>'M-ATW'!$G$227</f>
        <v>0</v>
      </c>
      <c r="J14" s="44">
        <f>'M-ATW'!$G$228</f>
        <v>0</v>
      </c>
      <c r="K14" s="44">
        <f>'M-ATW'!$G$229</f>
        <v>0</v>
      </c>
      <c r="L14" s="44">
        <f>'M-ATW'!$G$230</f>
        <v>0</v>
      </c>
      <c r="M14" s="44">
        <f>'M-ATW'!$G$231</f>
        <v>0</v>
      </c>
      <c r="N14" s="44">
        <f>'M-ATW'!$G$232</f>
        <v>0</v>
      </c>
      <c r="O14" s="44">
        <f>'M-ATW'!$G$233</f>
        <v>0</v>
      </c>
      <c r="P14" s="44">
        <f>'M-ATW'!$G$234</f>
        <v>0</v>
      </c>
      <c r="Q14" s="44">
        <f>'M-ATW'!$G$235</f>
        <v>0</v>
      </c>
      <c r="R14" s="44">
        <f>'M-ATW'!$G$236</f>
        <v>0</v>
      </c>
      <c r="S14" s="44">
        <f>'M-ATW'!$G$237</f>
        <v>0</v>
      </c>
      <c r="T14" s="44">
        <f>'M-ATW'!$G$238</f>
        <v>0</v>
      </c>
      <c r="U14" s="44">
        <f>'M-ATW'!$G$239</f>
        <v>0</v>
      </c>
      <c r="V14" s="44">
        <f>'M-ATW'!$G$240</f>
        <v>0</v>
      </c>
      <c r="W14" s="44">
        <f>'M-ATW'!$G$241</f>
        <v>0</v>
      </c>
      <c r="X14" s="44">
        <f>'M-ATW'!$G$242</f>
        <v>0</v>
      </c>
      <c r="Y14" s="21">
        <f>SUM($B14:$X14)</f>
        <v>0</v>
      </c>
      <c r="Z14" s="17"/>
    </row>
    <row r="15" spans="1:26">
      <c r="A15" s="4" t="s">
        <v>179</v>
      </c>
      <c r="B15" s="44">
        <f>'M-ATW'!$G$252</f>
        <v>0</v>
      </c>
      <c r="C15" s="44">
        <f>'M-ATW'!$G$253</f>
        <v>0</v>
      </c>
      <c r="D15" s="44">
        <f>'M-ATW'!$G$254</f>
        <v>0</v>
      </c>
      <c r="E15" s="44">
        <f>'M-ATW'!$G$255</f>
        <v>0</v>
      </c>
      <c r="F15" s="44">
        <f>'M-ATW'!$G$256</f>
        <v>0</v>
      </c>
      <c r="G15" s="44">
        <f>'M-ATW'!$G$257</f>
        <v>0</v>
      </c>
      <c r="H15" s="44">
        <f>'M-ATW'!$G$258</f>
        <v>0</v>
      </c>
      <c r="I15" s="44">
        <f>'M-ATW'!$G$259</f>
        <v>0</v>
      </c>
      <c r="J15" s="44">
        <f>'M-ATW'!$G$260</f>
        <v>0</v>
      </c>
      <c r="K15" s="44">
        <f>'M-ATW'!$G$261</f>
        <v>0</v>
      </c>
      <c r="L15" s="44">
        <f>'M-ATW'!$G$262</f>
        <v>0</v>
      </c>
      <c r="M15" s="44">
        <f>'M-ATW'!$G$263</f>
        <v>0</v>
      </c>
      <c r="N15" s="44">
        <f>'M-ATW'!$G$264</f>
        <v>0</v>
      </c>
      <c r="O15" s="44">
        <f>'M-ATW'!$G$265</f>
        <v>0</v>
      </c>
      <c r="P15" s="44">
        <f>'M-ATW'!$G$266</f>
        <v>0</v>
      </c>
      <c r="Q15" s="44">
        <f>'M-ATW'!$G$267</f>
        <v>0</v>
      </c>
      <c r="R15" s="44">
        <f>'M-ATW'!$G$268</f>
        <v>0</v>
      </c>
      <c r="S15" s="44">
        <f>'M-ATW'!$G$269</f>
        <v>0</v>
      </c>
      <c r="T15" s="44">
        <f>'M-ATW'!$G$270</f>
        <v>0</v>
      </c>
      <c r="U15" s="44">
        <f>'M-ATW'!$G$271</f>
        <v>0</v>
      </c>
      <c r="V15" s="44">
        <f>'M-ATW'!$G$272</f>
        <v>0</v>
      </c>
      <c r="W15" s="44">
        <f>'M-ATW'!$G$273</f>
        <v>0</v>
      </c>
      <c r="X15" s="44">
        <f>'M-ATW'!$G$274</f>
        <v>0</v>
      </c>
      <c r="Y15" s="21">
        <f>SUM($B15:$X15)</f>
        <v>0</v>
      </c>
      <c r="Z15" s="17"/>
    </row>
    <row r="16" spans="1:26">
      <c r="A16" s="4" t="s">
        <v>180</v>
      </c>
      <c r="B16" s="44">
        <f>'M-ATW'!$I$284</f>
        <v>0</v>
      </c>
      <c r="C16" s="44">
        <f>'M-ATW'!$I$285</f>
        <v>0</v>
      </c>
      <c r="D16" s="44">
        <f>'M-ATW'!$I$286</f>
        <v>0</v>
      </c>
      <c r="E16" s="44">
        <f>'M-ATW'!$I$287</f>
        <v>0</v>
      </c>
      <c r="F16" s="44">
        <f>'M-ATW'!$I$288</f>
        <v>0</v>
      </c>
      <c r="G16" s="44">
        <f>'M-ATW'!$I$289</f>
        <v>0</v>
      </c>
      <c r="H16" s="44">
        <f>'M-ATW'!$I$290</f>
        <v>0</v>
      </c>
      <c r="I16" s="44">
        <f>'M-ATW'!$I$291</f>
        <v>0</v>
      </c>
      <c r="J16" s="44">
        <f>'M-ATW'!$I$292</f>
        <v>0</v>
      </c>
      <c r="K16" s="44">
        <f>'M-ATW'!$I$293</f>
        <v>0</v>
      </c>
      <c r="L16" s="44">
        <f>'M-ATW'!$I$294</f>
        <v>0</v>
      </c>
      <c r="M16" s="44">
        <f>'M-ATW'!$I$295</f>
        <v>0</v>
      </c>
      <c r="N16" s="44">
        <f>'M-ATW'!$I$296</f>
        <v>0</v>
      </c>
      <c r="O16" s="44">
        <f>'M-ATW'!$I$297</f>
        <v>0</v>
      </c>
      <c r="P16" s="44">
        <f>'M-ATW'!$I$298</f>
        <v>0</v>
      </c>
      <c r="Q16" s="44">
        <f>'M-ATW'!$I$299</f>
        <v>0</v>
      </c>
      <c r="R16" s="44">
        <f>'M-ATW'!$I$300</f>
        <v>0</v>
      </c>
      <c r="S16" s="44">
        <f>'M-ATW'!$I$301</f>
        <v>0</v>
      </c>
      <c r="T16" s="44">
        <f>'M-ATW'!$I$302</f>
        <v>0</v>
      </c>
      <c r="U16" s="44">
        <f>'M-ATW'!$I$303</f>
        <v>0</v>
      </c>
      <c r="V16" s="44">
        <f>'M-ATW'!$I$304</f>
        <v>0</v>
      </c>
      <c r="W16" s="44">
        <f>'M-ATW'!$I$305</f>
        <v>0</v>
      </c>
      <c r="X16" s="44">
        <f>'M-ATW'!$I$306</f>
        <v>0</v>
      </c>
      <c r="Y16" s="21">
        <f>SUM($B16:$X16)</f>
        <v>0</v>
      </c>
      <c r="Z16" s="17"/>
    </row>
    <row r="17" spans="1:26">
      <c r="A17" s="4" t="s">
        <v>181</v>
      </c>
      <c r="B17" s="44">
        <f>'M-ATW'!$I$316</f>
        <v>0</v>
      </c>
      <c r="C17" s="44">
        <f>'M-ATW'!$I$317</f>
        <v>0</v>
      </c>
      <c r="D17" s="44">
        <f>'M-ATW'!$I$318</f>
        <v>0</v>
      </c>
      <c r="E17" s="44">
        <f>'M-ATW'!$I$319</f>
        <v>0</v>
      </c>
      <c r="F17" s="44">
        <f>'M-ATW'!$I$320</f>
        <v>0</v>
      </c>
      <c r="G17" s="44">
        <f>'M-ATW'!$I$321</f>
        <v>0</v>
      </c>
      <c r="H17" s="44">
        <f>'M-ATW'!$I$322</f>
        <v>0</v>
      </c>
      <c r="I17" s="44">
        <f>'M-ATW'!$I$323</f>
        <v>0</v>
      </c>
      <c r="J17" s="44">
        <f>'M-ATW'!$I$324</f>
        <v>0</v>
      </c>
      <c r="K17" s="44">
        <f>'M-ATW'!$I$325</f>
        <v>0</v>
      </c>
      <c r="L17" s="44">
        <f>'M-ATW'!$I$326</f>
        <v>0</v>
      </c>
      <c r="M17" s="44">
        <f>'M-ATW'!$I$327</f>
        <v>0</v>
      </c>
      <c r="N17" s="44">
        <f>'M-ATW'!$I$328</f>
        <v>0</v>
      </c>
      <c r="O17" s="44">
        <f>'M-ATW'!$I$329</f>
        <v>0</v>
      </c>
      <c r="P17" s="44">
        <f>'M-ATW'!$I$330</f>
        <v>0</v>
      </c>
      <c r="Q17" s="44">
        <f>'M-ATW'!$I$331</f>
        <v>0</v>
      </c>
      <c r="R17" s="44">
        <f>'M-ATW'!$I$332</f>
        <v>0</v>
      </c>
      <c r="S17" s="44">
        <f>'M-ATW'!$I$333</f>
        <v>0</v>
      </c>
      <c r="T17" s="44">
        <f>'M-ATW'!$I$334</f>
        <v>0</v>
      </c>
      <c r="U17" s="44">
        <f>'M-ATW'!$I$335</f>
        <v>0</v>
      </c>
      <c r="V17" s="44">
        <f>'M-ATW'!$I$336</f>
        <v>0</v>
      </c>
      <c r="W17" s="44">
        <f>'M-ATW'!$I$337</f>
        <v>0</v>
      </c>
      <c r="X17" s="44">
        <f>'M-ATW'!$I$338</f>
        <v>0</v>
      </c>
      <c r="Y17" s="21">
        <f>SUM($B17:$X17)</f>
        <v>0</v>
      </c>
      <c r="Z17" s="17"/>
    </row>
    <row r="18" spans="1:26">
      <c r="A18" s="4" t="s">
        <v>193</v>
      </c>
      <c r="B18" s="44">
        <f>'M-ATW'!$I$348</f>
        <v>0</v>
      </c>
      <c r="C18" s="44">
        <f>'M-ATW'!$I$349</f>
        <v>0</v>
      </c>
      <c r="D18" s="44">
        <f>'M-ATW'!$I$350</f>
        <v>0</v>
      </c>
      <c r="E18" s="44">
        <f>'M-ATW'!$I$351</f>
        <v>0</v>
      </c>
      <c r="F18" s="44">
        <f>'M-ATW'!$I$352</f>
        <v>0</v>
      </c>
      <c r="G18" s="44">
        <f>'M-ATW'!$I$353</f>
        <v>0</v>
      </c>
      <c r="H18" s="44">
        <f>'M-ATW'!$I$354</f>
        <v>0</v>
      </c>
      <c r="I18" s="44">
        <f>'M-ATW'!$I$355</f>
        <v>0</v>
      </c>
      <c r="J18" s="44">
        <f>'M-ATW'!$I$356</f>
        <v>0</v>
      </c>
      <c r="K18" s="44">
        <f>'M-ATW'!$I$357</f>
        <v>0</v>
      </c>
      <c r="L18" s="44">
        <f>'M-ATW'!$I$358</f>
        <v>0</v>
      </c>
      <c r="M18" s="44">
        <f>'M-ATW'!$I$359</f>
        <v>0</v>
      </c>
      <c r="N18" s="44">
        <f>'M-ATW'!$I$360</f>
        <v>0</v>
      </c>
      <c r="O18" s="44">
        <f>'M-ATW'!$I$361</f>
        <v>0</v>
      </c>
      <c r="P18" s="44">
        <f>'M-ATW'!$I$362</f>
        <v>0</v>
      </c>
      <c r="Q18" s="44">
        <f>'M-ATW'!$I$363</f>
        <v>0</v>
      </c>
      <c r="R18" s="44">
        <f>'M-ATW'!$I$364</f>
        <v>0</v>
      </c>
      <c r="S18" s="44">
        <f>'M-ATW'!$I$365</f>
        <v>0</v>
      </c>
      <c r="T18" s="44">
        <f>'M-ATW'!$I$366</f>
        <v>0</v>
      </c>
      <c r="U18" s="44">
        <f>'M-ATW'!$I$367</f>
        <v>0</v>
      </c>
      <c r="V18" s="44">
        <f>'M-ATW'!$I$368</f>
        <v>0</v>
      </c>
      <c r="W18" s="44">
        <f>'M-ATW'!$I$369</f>
        <v>0</v>
      </c>
      <c r="X18" s="44">
        <f>'M-ATW'!$I$370</f>
        <v>0</v>
      </c>
      <c r="Y18" s="21">
        <f>SUM($B18:$X18)</f>
        <v>0</v>
      </c>
      <c r="Z18" s="17"/>
    </row>
    <row r="19" spans="1:26">
      <c r="A19" s="4" t="s">
        <v>213</v>
      </c>
      <c r="B19" s="44">
        <f>'M-ATW'!$C$380</f>
        <v>0</v>
      </c>
      <c r="C19" s="44">
        <f>'M-ATW'!$C$381</f>
        <v>0</v>
      </c>
      <c r="D19" s="44">
        <f>'M-ATW'!$C$382</f>
        <v>0</v>
      </c>
      <c r="E19" s="44">
        <f>'M-ATW'!$C$383</f>
        <v>0</v>
      </c>
      <c r="F19" s="44">
        <f>'M-ATW'!$C$384</f>
        <v>0</v>
      </c>
      <c r="G19" s="44">
        <f>'M-ATW'!$C$385</f>
        <v>0</v>
      </c>
      <c r="H19" s="44">
        <f>'M-ATW'!$C$386</f>
        <v>0</v>
      </c>
      <c r="I19" s="44">
        <f>'M-ATW'!$C$387</f>
        <v>0</v>
      </c>
      <c r="J19" s="44">
        <f>'M-ATW'!$C$388</f>
        <v>0</v>
      </c>
      <c r="K19" s="10"/>
      <c r="L19" s="44">
        <f>'M-ATW'!$C$389</f>
        <v>0</v>
      </c>
      <c r="M19" s="44">
        <f>'M-ATW'!$C$390</f>
        <v>0</v>
      </c>
      <c r="N19" s="44">
        <f>'M-ATW'!$C$391</f>
        <v>0</v>
      </c>
      <c r="O19" s="44">
        <f>'M-ATW'!$C$392</f>
        <v>0</v>
      </c>
      <c r="P19" s="44">
        <f>'M-ATW'!$C$393</f>
        <v>0</v>
      </c>
      <c r="Q19" s="44">
        <f>'M-ATW'!$C$394</f>
        <v>0</v>
      </c>
      <c r="R19" s="44">
        <f>'M-ATW'!$C$395</f>
        <v>0</v>
      </c>
      <c r="S19" s="44">
        <f>'M-ATW'!$C$396</f>
        <v>0</v>
      </c>
      <c r="T19" s="44">
        <f>'M-ATW'!$C$397</f>
        <v>0</v>
      </c>
      <c r="U19" s="44">
        <f>'M-ATW'!$C$398</f>
        <v>0</v>
      </c>
      <c r="V19" s="10"/>
      <c r="W19" s="44">
        <f>'M-ATW'!$C$399</f>
        <v>0</v>
      </c>
      <c r="X19" s="44">
        <f>'M-ATW'!$C$400</f>
        <v>0</v>
      </c>
      <c r="Y19" s="21">
        <f>SUM($B19:$X19)</f>
        <v>0</v>
      </c>
      <c r="Z19" s="17"/>
    </row>
    <row r="20" spans="1:26">
      <c r="A20" s="4" t="s">
        <v>214</v>
      </c>
      <c r="B20" s="44">
        <f>'M-ATW'!$C$410</f>
        <v>0</v>
      </c>
      <c r="C20" s="44">
        <f>'M-ATW'!$C$411</f>
        <v>0</v>
      </c>
      <c r="D20" s="44">
        <f>'M-ATW'!$C$412</f>
        <v>0</v>
      </c>
      <c r="E20" s="44">
        <f>'M-ATW'!$C$413</f>
        <v>0</v>
      </c>
      <c r="F20" s="44">
        <f>'M-ATW'!$C$414</f>
        <v>0</v>
      </c>
      <c r="G20" s="44">
        <f>'M-ATW'!$C$415</f>
        <v>0</v>
      </c>
      <c r="H20" s="44">
        <f>'M-ATW'!$C$416</f>
        <v>0</v>
      </c>
      <c r="I20" s="44">
        <f>'M-ATW'!$C$417</f>
        <v>0</v>
      </c>
      <c r="J20" s="44">
        <f>'M-ATW'!$C$418</f>
        <v>0</v>
      </c>
      <c r="K20" s="10"/>
      <c r="L20" s="44">
        <f>'M-ATW'!$C$419</f>
        <v>0</v>
      </c>
      <c r="M20" s="44">
        <f>'M-ATW'!$C$420</f>
        <v>0</v>
      </c>
      <c r="N20" s="44">
        <f>'M-ATW'!$C$421</f>
        <v>0</v>
      </c>
      <c r="O20" s="44">
        <f>'M-ATW'!$C$422</f>
        <v>0</v>
      </c>
      <c r="P20" s="44">
        <f>'M-ATW'!$C$423</f>
        <v>0</v>
      </c>
      <c r="Q20" s="44">
        <f>'M-ATW'!$C$424</f>
        <v>0</v>
      </c>
      <c r="R20" s="44">
        <f>'M-ATW'!$C$425</f>
        <v>0</v>
      </c>
      <c r="S20" s="44">
        <f>'M-ATW'!$C$426</f>
        <v>0</v>
      </c>
      <c r="T20" s="44">
        <f>'M-ATW'!$C$427</f>
        <v>0</v>
      </c>
      <c r="U20" s="44">
        <f>'M-ATW'!$C$428</f>
        <v>0</v>
      </c>
      <c r="V20" s="10"/>
      <c r="W20" s="44">
        <f>'M-ATW'!$C$429</f>
        <v>0</v>
      </c>
      <c r="X20" s="44">
        <f>'M-ATW'!$C$430</f>
        <v>0</v>
      </c>
      <c r="Y20" s="21">
        <f>SUM($B20:$X20)</f>
        <v>0</v>
      </c>
      <c r="Z20" s="17"/>
    </row>
    <row r="21" spans="1:26">
      <c r="A21" s="4" t="s">
        <v>215</v>
      </c>
      <c r="B21" s="44">
        <f>'M-ATW'!$C$440</f>
        <v>0</v>
      </c>
      <c r="C21" s="44">
        <f>'M-ATW'!$C$441</f>
        <v>0</v>
      </c>
      <c r="D21" s="44">
        <f>'M-ATW'!$C$442</f>
        <v>0</v>
      </c>
      <c r="E21" s="44">
        <f>'M-ATW'!$C$443</f>
        <v>0</v>
      </c>
      <c r="F21" s="44">
        <f>'M-ATW'!$C$444</f>
        <v>0</v>
      </c>
      <c r="G21" s="44">
        <f>'M-ATW'!$C$445</f>
        <v>0</v>
      </c>
      <c r="H21" s="44">
        <f>'M-ATW'!$C$446</f>
        <v>0</v>
      </c>
      <c r="I21" s="44">
        <f>'M-ATW'!$C$447</f>
        <v>0</v>
      </c>
      <c r="J21" s="44">
        <f>'M-ATW'!$C$448</f>
        <v>0</v>
      </c>
      <c r="K21" s="10"/>
      <c r="L21" s="44">
        <f>'M-ATW'!$C$449</f>
        <v>0</v>
      </c>
      <c r="M21" s="44">
        <f>'M-ATW'!$C$450</f>
        <v>0</v>
      </c>
      <c r="N21" s="44">
        <f>'M-ATW'!$C$451</f>
        <v>0</v>
      </c>
      <c r="O21" s="44">
        <f>'M-ATW'!$C$452</f>
        <v>0</v>
      </c>
      <c r="P21" s="44">
        <f>'M-ATW'!$C$453</f>
        <v>0</v>
      </c>
      <c r="Q21" s="44">
        <f>'M-ATW'!$C$454</f>
        <v>0</v>
      </c>
      <c r="R21" s="44">
        <f>'M-ATW'!$C$455</f>
        <v>0</v>
      </c>
      <c r="S21" s="44">
        <f>'M-ATW'!$C$456</f>
        <v>0</v>
      </c>
      <c r="T21" s="44">
        <f>'M-ATW'!$C$457</f>
        <v>0</v>
      </c>
      <c r="U21" s="44">
        <f>'M-ATW'!$C$458</f>
        <v>0</v>
      </c>
      <c r="V21" s="10"/>
      <c r="W21" s="44">
        <f>'M-ATW'!$C$459</f>
        <v>0</v>
      </c>
      <c r="X21" s="44">
        <f>'M-ATW'!$C$460</f>
        <v>0</v>
      </c>
      <c r="Y21" s="21">
        <f>SUM($B21:$X21)</f>
        <v>0</v>
      </c>
      <c r="Z21" s="17"/>
    </row>
    <row r="22" spans="1:26">
      <c r="A22" s="4" t="s">
        <v>216</v>
      </c>
      <c r="B22" s="44">
        <f>'M-ATW'!$C$470</f>
        <v>0</v>
      </c>
      <c r="C22" s="44">
        <f>'M-ATW'!$C$471</f>
        <v>0</v>
      </c>
      <c r="D22" s="44">
        <f>'M-ATW'!$C$472</f>
        <v>0</v>
      </c>
      <c r="E22" s="44">
        <f>'M-ATW'!$C$473</f>
        <v>0</v>
      </c>
      <c r="F22" s="44">
        <f>'M-ATW'!$C$474</f>
        <v>0</v>
      </c>
      <c r="G22" s="44">
        <f>'M-ATW'!$C$475</f>
        <v>0</v>
      </c>
      <c r="H22" s="44">
        <f>'M-ATW'!$C$476</f>
        <v>0</v>
      </c>
      <c r="I22" s="44">
        <f>'M-ATW'!$C$477</f>
        <v>0</v>
      </c>
      <c r="J22" s="44">
        <f>'M-ATW'!$C$478</f>
        <v>0</v>
      </c>
      <c r="K22" s="10"/>
      <c r="L22" s="44">
        <f>'M-ATW'!$C$479</f>
        <v>0</v>
      </c>
      <c r="M22" s="44">
        <f>'M-ATW'!$C$480</f>
        <v>0</v>
      </c>
      <c r="N22" s="44">
        <f>'M-ATW'!$C$481</f>
        <v>0</v>
      </c>
      <c r="O22" s="44">
        <f>'M-ATW'!$C$482</f>
        <v>0</v>
      </c>
      <c r="P22" s="44">
        <f>'M-ATW'!$C$483</f>
        <v>0</v>
      </c>
      <c r="Q22" s="44">
        <f>'M-ATW'!$C$484</f>
        <v>0</v>
      </c>
      <c r="R22" s="44">
        <f>'M-ATW'!$C$485</f>
        <v>0</v>
      </c>
      <c r="S22" s="44">
        <f>'M-ATW'!$C$486</f>
        <v>0</v>
      </c>
      <c r="T22" s="44">
        <f>'M-ATW'!$C$487</f>
        <v>0</v>
      </c>
      <c r="U22" s="44">
        <f>'M-ATW'!$C$488</f>
        <v>0</v>
      </c>
      <c r="V22" s="10"/>
      <c r="W22" s="44">
        <f>'M-ATW'!$C$489</f>
        <v>0</v>
      </c>
      <c r="X22" s="44">
        <f>'M-ATW'!$C$490</f>
        <v>0</v>
      </c>
      <c r="Y22" s="21">
        <f>SUM($B22:$X22)</f>
        <v>0</v>
      </c>
      <c r="Z22" s="17"/>
    </row>
    <row r="23" spans="1:26">
      <c r="A23" s="4" t="s">
        <v>217</v>
      </c>
      <c r="B23" s="44">
        <f>'M-ATW'!$F$500</f>
        <v>0</v>
      </c>
      <c r="C23" s="44">
        <f>'M-ATW'!$F$501</f>
        <v>0</v>
      </c>
      <c r="D23" s="44">
        <f>'M-ATW'!$F$502</f>
        <v>0</v>
      </c>
      <c r="E23" s="44">
        <f>'M-ATW'!$F$503</f>
        <v>0</v>
      </c>
      <c r="F23" s="44">
        <f>'M-ATW'!$F$504</f>
        <v>0</v>
      </c>
      <c r="G23" s="44">
        <f>'M-ATW'!$F$505</f>
        <v>0</v>
      </c>
      <c r="H23" s="44">
        <f>'M-ATW'!$F$506</f>
        <v>0</v>
      </c>
      <c r="I23" s="44">
        <f>'M-ATW'!$F$507</f>
        <v>0</v>
      </c>
      <c r="J23" s="44">
        <f>'M-ATW'!$F$508</f>
        <v>0</v>
      </c>
      <c r="K23" s="10"/>
      <c r="L23" s="44">
        <f>'M-ATW'!$F$509</f>
        <v>0</v>
      </c>
      <c r="M23" s="44">
        <f>'M-ATW'!$F$510</f>
        <v>0</v>
      </c>
      <c r="N23" s="44">
        <f>'M-ATW'!$F$511</f>
        <v>0</v>
      </c>
      <c r="O23" s="44">
        <f>'M-ATW'!$F$512</f>
        <v>0</v>
      </c>
      <c r="P23" s="44">
        <f>'M-ATW'!$F$513</f>
        <v>0</v>
      </c>
      <c r="Q23" s="44">
        <f>'M-ATW'!$F$514</f>
        <v>0</v>
      </c>
      <c r="R23" s="44">
        <f>'M-ATW'!$F$515</f>
        <v>0</v>
      </c>
      <c r="S23" s="44">
        <f>'M-ATW'!$F$516</f>
        <v>0</v>
      </c>
      <c r="T23" s="44">
        <f>'M-ATW'!$F$517</f>
        <v>0</v>
      </c>
      <c r="U23" s="44">
        <f>'M-ATW'!$F$518</f>
        <v>0</v>
      </c>
      <c r="V23" s="10"/>
      <c r="W23" s="44">
        <f>'M-ATW'!$F$519</f>
        <v>0</v>
      </c>
      <c r="X23" s="44">
        <f>'M-ATW'!$F$520</f>
        <v>0</v>
      </c>
      <c r="Y23" s="21">
        <f>SUM($B23:$X23)</f>
        <v>0</v>
      </c>
      <c r="Z23" s="17"/>
    </row>
    <row r="24" spans="1:26">
      <c r="A24" s="4" t="s">
        <v>182</v>
      </c>
      <c r="B24" s="44">
        <f>'M-ATW'!$D$530</f>
        <v>0</v>
      </c>
      <c r="C24" s="44">
        <f>'M-ATW'!$D$531</f>
        <v>0</v>
      </c>
      <c r="D24" s="44">
        <f>'M-ATW'!$D$532</f>
        <v>0</v>
      </c>
      <c r="E24" s="44">
        <f>'M-ATW'!$D$533</f>
        <v>0</v>
      </c>
      <c r="F24" s="44">
        <f>'M-ATW'!$D$534</f>
        <v>0</v>
      </c>
      <c r="G24" s="44">
        <f>'M-ATW'!$D$535</f>
        <v>0</v>
      </c>
      <c r="H24" s="44">
        <f>'M-ATW'!$D$536</f>
        <v>0</v>
      </c>
      <c r="I24" s="44">
        <f>'M-ATW'!$D$537</f>
        <v>0</v>
      </c>
      <c r="J24" s="44">
        <f>'M-ATW'!$D$538</f>
        <v>0</v>
      </c>
      <c r="K24" s="44">
        <f>'M-ATW'!$D$539</f>
        <v>0</v>
      </c>
      <c r="L24" s="44">
        <f>'M-ATW'!$D$540</f>
        <v>0</v>
      </c>
      <c r="M24" s="44">
        <f>'M-ATW'!$D$541</f>
        <v>0</v>
      </c>
      <c r="N24" s="44">
        <f>'M-ATW'!$D$542</f>
        <v>0</v>
      </c>
      <c r="O24" s="44">
        <f>'M-ATW'!$D$543</f>
        <v>0</v>
      </c>
      <c r="P24" s="44">
        <f>'M-ATW'!$D$544</f>
        <v>0</v>
      </c>
      <c r="Q24" s="44">
        <f>'M-ATW'!$D$545</f>
        <v>0</v>
      </c>
      <c r="R24" s="44">
        <f>'M-ATW'!$D$546</f>
        <v>0</v>
      </c>
      <c r="S24" s="44">
        <f>'M-ATW'!$D$547</f>
        <v>0</v>
      </c>
      <c r="T24" s="44">
        <f>'M-ATW'!$D$548</f>
        <v>0</v>
      </c>
      <c r="U24" s="44">
        <f>'M-ATW'!$D$549</f>
        <v>0</v>
      </c>
      <c r="V24" s="44">
        <f>'M-ATW'!$D$550</f>
        <v>0</v>
      </c>
      <c r="W24" s="44">
        <f>'M-ATW'!$D$551</f>
        <v>0</v>
      </c>
      <c r="X24" s="44">
        <f>'M-ATW'!$D$552</f>
        <v>0</v>
      </c>
      <c r="Y24" s="21">
        <f>SUM($B24:$X24)</f>
        <v>0</v>
      </c>
      <c r="Z24" s="17"/>
    </row>
    <row r="25" spans="1:26">
      <c r="A25" s="4" t="s">
        <v>183</v>
      </c>
      <c r="B25" s="44">
        <f>'M-ATW'!$D$562</f>
        <v>0</v>
      </c>
      <c r="C25" s="44">
        <f>'M-ATW'!$D$563</f>
        <v>0</v>
      </c>
      <c r="D25" s="44">
        <f>'M-ATW'!$D$564</f>
        <v>0</v>
      </c>
      <c r="E25" s="44">
        <f>'M-ATW'!$D$565</f>
        <v>0</v>
      </c>
      <c r="F25" s="44">
        <f>'M-ATW'!$D$566</f>
        <v>0</v>
      </c>
      <c r="G25" s="44">
        <f>'M-ATW'!$D$567</f>
        <v>0</v>
      </c>
      <c r="H25" s="44">
        <f>'M-ATW'!$D$568</f>
        <v>0</v>
      </c>
      <c r="I25" s="44">
        <f>'M-ATW'!$D$569</f>
        <v>0</v>
      </c>
      <c r="J25" s="44">
        <f>'M-ATW'!$D$570</f>
        <v>0</v>
      </c>
      <c r="K25" s="44">
        <f>'M-ATW'!$D$571</f>
        <v>0</v>
      </c>
      <c r="L25" s="44">
        <f>'M-ATW'!$D$572</f>
        <v>0</v>
      </c>
      <c r="M25" s="44">
        <f>'M-ATW'!$D$573</f>
        <v>0</v>
      </c>
      <c r="N25" s="44">
        <f>'M-ATW'!$D$574</f>
        <v>0</v>
      </c>
      <c r="O25" s="44">
        <f>'M-ATW'!$D$575</f>
        <v>0</v>
      </c>
      <c r="P25" s="44">
        <f>'M-ATW'!$D$576</f>
        <v>0</v>
      </c>
      <c r="Q25" s="44">
        <f>'M-ATW'!$D$577</f>
        <v>0</v>
      </c>
      <c r="R25" s="44">
        <f>'M-ATW'!$D$578</f>
        <v>0</v>
      </c>
      <c r="S25" s="44">
        <f>'M-ATW'!$D$579</f>
        <v>0</v>
      </c>
      <c r="T25" s="44">
        <f>'M-ATW'!$D$580</f>
        <v>0</v>
      </c>
      <c r="U25" s="44">
        <f>'M-ATW'!$D$581</f>
        <v>0</v>
      </c>
      <c r="V25" s="44">
        <f>'M-ATW'!$D$582</f>
        <v>0</v>
      </c>
      <c r="W25" s="44">
        <f>'M-ATW'!$D$583</f>
        <v>0</v>
      </c>
      <c r="X25" s="44">
        <f>'M-ATW'!$D$584</f>
        <v>0</v>
      </c>
      <c r="Y25" s="21">
        <f>SUM($B25:$X25)</f>
        <v>0</v>
      </c>
      <c r="Z25" s="17"/>
    </row>
    <row r="26" spans="1:26">
      <c r="A26" s="4" t="s">
        <v>184</v>
      </c>
      <c r="B26" s="44">
        <f>'M-ATW'!$E$594</f>
        <v>0</v>
      </c>
      <c r="C26" s="44">
        <f>'M-ATW'!$E$595</f>
        <v>0</v>
      </c>
      <c r="D26" s="44">
        <f>'M-ATW'!$E$596</f>
        <v>0</v>
      </c>
      <c r="E26" s="44">
        <f>'M-ATW'!$E$597</f>
        <v>0</v>
      </c>
      <c r="F26" s="44">
        <f>'M-ATW'!$E$598</f>
        <v>0</v>
      </c>
      <c r="G26" s="44">
        <f>'M-ATW'!$E$599</f>
        <v>0</v>
      </c>
      <c r="H26" s="44">
        <f>'M-ATW'!$E$600</f>
        <v>0</v>
      </c>
      <c r="I26" s="44">
        <f>'M-ATW'!$E$601</f>
        <v>0</v>
      </c>
      <c r="J26" s="44">
        <f>'M-ATW'!$E$602</f>
        <v>0</v>
      </c>
      <c r="K26" s="44">
        <f>'M-ATW'!$E$603</f>
        <v>0</v>
      </c>
      <c r="L26" s="44">
        <f>'M-ATW'!$E$604</f>
        <v>0</v>
      </c>
      <c r="M26" s="44">
        <f>'M-ATW'!$E$605</f>
        <v>0</v>
      </c>
      <c r="N26" s="44">
        <f>'M-ATW'!$E$606</f>
        <v>0</v>
      </c>
      <c r="O26" s="44">
        <f>'M-ATW'!$E$607</f>
        <v>0</v>
      </c>
      <c r="P26" s="44">
        <f>'M-ATW'!$E$608</f>
        <v>0</v>
      </c>
      <c r="Q26" s="44">
        <f>'M-ATW'!$E$609</f>
        <v>0</v>
      </c>
      <c r="R26" s="44">
        <f>'M-ATW'!$E$610</f>
        <v>0</v>
      </c>
      <c r="S26" s="44">
        <f>'M-ATW'!$E$611</f>
        <v>0</v>
      </c>
      <c r="T26" s="44">
        <f>'M-ATW'!$E$612</f>
        <v>0</v>
      </c>
      <c r="U26" s="44">
        <f>'M-ATW'!$E$613</f>
        <v>0</v>
      </c>
      <c r="V26" s="44">
        <f>'M-ATW'!$E$614</f>
        <v>0</v>
      </c>
      <c r="W26" s="44">
        <f>'M-ATW'!$E$615</f>
        <v>0</v>
      </c>
      <c r="X26" s="44">
        <f>'M-ATW'!$E$616</f>
        <v>0</v>
      </c>
      <c r="Y26" s="21">
        <f>SUM($B26:$X26)</f>
        <v>0</v>
      </c>
      <c r="Z26" s="17"/>
    </row>
    <row r="27" spans="1:26">
      <c r="A27" s="4" t="s">
        <v>185</v>
      </c>
      <c r="B27" s="44">
        <f>'M-ATW'!$H$626</f>
        <v>0</v>
      </c>
      <c r="C27" s="44">
        <f>'M-ATW'!$H$627</f>
        <v>0</v>
      </c>
      <c r="D27" s="44">
        <f>'M-ATW'!$H$628</f>
        <v>0</v>
      </c>
      <c r="E27" s="44">
        <f>'M-ATW'!$H$629</f>
        <v>0</v>
      </c>
      <c r="F27" s="44">
        <f>'M-ATW'!$H$630</f>
        <v>0</v>
      </c>
      <c r="G27" s="44">
        <f>'M-ATW'!$H$631</f>
        <v>0</v>
      </c>
      <c r="H27" s="44">
        <f>'M-ATW'!$H$632</f>
        <v>0</v>
      </c>
      <c r="I27" s="44">
        <f>'M-ATW'!$H$633</f>
        <v>0</v>
      </c>
      <c r="J27" s="44">
        <f>'M-ATW'!$H$634</f>
        <v>0</v>
      </c>
      <c r="K27" s="44">
        <f>'M-ATW'!$H$635</f>
        <v>0</v>
      </c>
      <c r="L27" s="44">
        <f>'M-ATW'!$H$636</f>
        <v>0</v>
      </c>
      <c r="M27" s="44">
        <f>'M-ATW'!$H$637</f>
        <v>0</v>
      </c>
      <c r="N27" s="44">
        <f>'M-ATW'!$H$638</f>
        <v>0</v>
      </c>
      <c r="O27" s="44">
        <f>'M-ATW'!$H$639</f>
        <v>0</v>
      </c>
      <c r="P27" s="44">
        <f>'M-ATW'!$H$640</f>
        <v>0</v>
      </c>
      <c r="Q27" s="44">
        <f>'M-ATW'!$H$641</f>
        <v>0</v>
      </c>
      <c r="R27" s="44">
        <f>'M-ATW'!$H$642</f>
        <v>0</v>
      </c>
      <c r="S27" s="44">
        <f>'M-ATW'!$H$643</f>
        <v>0</v>
      </c>
      <c r="T27" s="44">
        <f>'M-ATW'!$H$644</f>
        <v>0</v>
      </c>
      <c r="U27" s="44">
        <f>'M-ATW'!$H$645</f>
        <v>0</v>
      </c>
      <c r="V27" s="44">
        <f>'M-ATW'!$H$646</f>
        <v>0</v>
      </c>
      <c r="W27" s="44">
        <f>'M-ATW'!$H$647</f>
        <v>0</v>
      </c>
      <c r="X27" s="44">
        <f>'M-ATW'!$H$648</f>
        <v>0</v>
      </c>
      <c r="Y27" s="21">
        <f>SUM($B27:$X27)</f>
        <v>0</v>
      </c>
      <c r="Z27" s="17"/>
    </row>
    <row r="28" spans="1:26">
      <c r="A28" s="4" t="s">
        <v>186</v>
      </c>
      <c r="B28" s="44">
        <f>'M-ATW'!$E$658</f>
        <v>0</v>
      </c>
      <c r="C28" s="44">
        <f>'M-ATW'!$E$659</f>
        <v>0</v>
      </c>
      <c r="D28" s="44">
        <f>'M-ATW'!$E$660</f>
        <v>0</v>
      </c>
      <c r="E28" s="44">
        <f>'M-ATW'!$E$661</f>
        <v>0</v>
      </c>
      <c r="F28" s="44">
        <f>'M-ATW'!$E$662</f>
        <v>0</v>
      </c>
      <c r="G28" s="44">
        <f>'M-ATW'!$E$663</f>
        <v>0</v>
      </c>
      <c r="H28" s="44">
        <f>'M-ATW'!$E$664</f>
        <v>0</v>
      </c>
      <c r="I28" s="44">
        <f>'M-ATW'!$E$665</f>
        <v>0</v>
      </c>
      <c r="J28" s="44">
        <f>'M-ATW'!$E$666</f>
        <v>0</v>
      </c>
      <c r="K28" s="44">
        <f>'M-ATW'!$E$667</f>
        <v>0</v>
      </c>
      <c r="L28" s="44">
        <f>'M-ATW'!$E$668</f>
        <v>0</v>
      </c>
      <c r="M28" s="44">
        <f>'M-ATW'!$E$669</f>
        <v>0</v>
      </c>
      <c r="N28" s="44">
        <f>'M-ATW'!$E$670</f>
        <v>0</v>
      </c>
      <c r="O28" s="44">
        <f>'M-ATW'!$E$671</f>
        <v>0</v>
      </c>
      <c r="P28" s="44">
        <f>'M-ATW'!$E$672</f>
        <v>0</v>
      </c>
      <c r="Q28" s="44">
        <f>'M-ATW'!$E$673</f>
        <v>0</v>
      </c>
      <c r="R28" s="44">
        <f>'M-ATW'!$E$674</f>
        <v>0</v>
      </c>
      <c r="S28" s="44">
        <f>'M-ATW'!$E$675</f>
        <v>0</v>
      </c>
      <c r="T28" s="44">
        <f>'M-ATW'!$E$676</f>
        <v>0</v>
      </c>
      <c r="U28" s="44">
        <f>'M-ATW'!$E$677</f>
        <v>0</v>
      </c>
      <c r="V28" s="44">
        <f>'M-ATW'!$E$678</f>
        <v>0</v>
      </c>
      <c r="W28" s="44">
        <f>'M-ATW'!$E$679</f>
        <v>0</v>
      </c>
      <c r="X28" s="44">
        <f>'M-ATW'!$E$680</f>
        <v>0</v>
      </c>
      <c r="Y28" s="21">
        <f>SUM($B28:$X28)</f>
        <v>0</v>
      </c>
      <c r="Z28" s="17"/>
    </row>
    <row r="29" spans="1:26">
      <c r="A29" s="4" t="s">
        <v>187</v>
      </c>
      <c r="B29" s="44">
        <f>'M-ATW'!$H$690</f>
        <v>0</v>
      </c>
      <c r="C29" s="44">
        <f>'M-ATW'!$H$691</f>
        <v>0</v>
      </c>
      <c r="D29" s="44">
        <f>'M-ATW'!$H$692</f>
        <v>0</v>
      </c>
      <c r="E29" s="44">
        <f>'M-ATW'!$H$693</f>
        <v>0</v>
      </c>
      <c r="F29" s="44">
        <f>'M-ATW'!$H$694</f>
        <v>0</v>
      </c>
      <c r="G29" s="44">
        <f>'M-ATW'!$H$695</f>
        <v>0</v>
      </c>
      <c r="H29" s="44">
        <f>'M-ATW'!$H$696</f>
        <v>0</v>
      </c>
      <c r="I29" s="44">
        <f>'M-ATW'!$H$697</f>
        <v>0</v>
      </c>
      <c r="J29" s="44">
        <f>'M-ATW'!$H$698</f>
        <v>0</v>
      </c>
      <c r="K29" s="44">
        <f>'M-ATW'!$H$699</f>
        <v>0</v>
      </c>
      <c r="L29" s="44">
        <f>'M-ATW'!$H$700</f>
        <v>0</v>
      </c>
      <c r="M29" s="44">
        <f>'M-ATW'!$H$701</f>
        <v>0</v>
      </c>
      <c r="N29" s="44">
        <f>'M-ATW'!$H$702</f>
        <v>0</v>
      </c>
      <c r="O29" s="44">
        <f>'M-ATW'!$H$703</f>
        <v>0</v>
      </c>
      <c r="P29" s="44">
        <f>'M-ATW'!$H$704</f>
        <v>0</v>
      </c>
      <c r="Q29" s="44">
        <f>'M-ATW'!$H$705</f>
        <v>0</v>
      </c>
      <c r="R29" s="44">
        <f>'M-ATW'!$H$706</f>
        <v>0</v>
      </c>
      <c r="S29" s="44">
        <f>'M-ATW'!$H$707</f>
        <v>0</v>
      </c>
      <c r="T29" s="44">
        <f>'M-ATW'!$H$708</f>
        <v>0</v>
      </c>
      <c r="U29" s="44">
        <f>'M-ATW'!$H$709</f>
        <v>0</v>
      </c>
      <c r="V29" s="44">
        <f>'M-ATW'!$H$710</f>
        <v>0</v>
      </c>
      <c r="W29" s="44">
        <f>'M-ATW'!$H$711</f>
        <v>0</v>
      </c>
      <c r="X29" s="44">
        <f>'M-ATW'!$H$712</f>
        <v>0</v>
      </c>
      <c r="Y29" s="21">
        <f>SUM($B29:$X29)</f>
        <v>0</v>
      </c>
      <c r="Z29" s="17"/>
    </row>
    <row r="30" spans="1:26">
      <c r="A30" s="4" t="s">
        <v>194</v>
      </c>
      <c r="B30" s="44">
        <f>'M-ATW'!$E$722</f>
        <v>0</v>
      </c>
      <c r="C30" s="44">
        <f>'M-ATW'!$E$723</f>
        <v>0</v>
      </c>
      <c r="D30" s="44">
        <f>'M-ATW'!$E$724</f>
        <v>0</v>
      </c>
      <c r="E30" s="44">
        <f>'M-ATW'!$E$725</f>
        <v>0</v>
      </c>
      <c r="F30" s="44">
        <f>'M-ATW'!$E$726</f>
        <v>0</v>
      </c>
      <c r="G30" s="44">
        <f>'M-ATW'!$E$727</f>
        <v>0</v>
      </c>
      <c r="H30" s="44">
        <f>'M-ATW'!$E$728</f>
        <v>0</v>
      </c>
      <c r="I30" s="44">
        <f>'M-ATW'!$E$729</f>
        <v>0</v>
      </c>
      <c r="J30" s="44">
        <f>'M-ATW'!$E$730</f>
        <v>0</v>
      </c>
      <c r="K30" s="44">
        <f>'M-ATW'!$E$731</f>
        <v>0</v>
      </c>
      <c r="L30" s="44">
        <f>'M-ATW'!$E$732</f>
        <v>0</v>
      </c>
      <c r="M30" s="44">
        <f>'M-ATW'!$E$733</f>
        <v>0</v>
      </c>
      <c r="N30" s="44">
        <f>'M-ATW'!$E$734</f>
        <v>0</v>
      </c>
      <c r="O30" s="44">
        <f>'M-ATW'!$E$735</f>
        <v>0</v>
      </c>
      <c r="P30" s="44">
        <f>'M-ATW'!$E$736</f>
        <v>0</v>
      </c>
      <c r="Q30" s="44">
        <f>'M-ATW'!$E$737</f>
        <v>0</v>
      </c>
      <c r="R30" s="44">
        <f>'M-ATW'!$E$738</f>
        <v>0</v>
      </c>
      <c r="S30" s="44">
        <f>'M-ATW'!$E$739</f>
        <v>0</v>
      </c>
      <c r="T30" s="44">
        <f>'M-ATW'!$E$740</f>
        <v>0</v>
      </c>
      <c r="U30" s="44">
        <f>'M-ATW'!$E$741</f>
        <v>0</v>
      </c>
      <c r="V30" s="44">
        <f>'M-ATW'!$E$742</f>
        <v>0</v>
      </c>
      <c r="W30" s="44">
        <f>'M-ATW'!$E$743</f>
        <v>0</v>
      </c>
      <c r="X30" s="44">
        <f>'M-ATW'!$E$744</f>
        <v>0</v>
      </c>
      <c r="Y30" s="21">
        <f>SUM($B30:$X30)</f>
        <v>0</v>
      </c>
      <c r="Z30" s="17"/>
    </row>
    <row r="31" spans="1:26">
      <c r="A31" s="4" t="s">
        <v>195</v>
      </c>
      <c r="B31" s="44">
        <f>'M-ATW'!$H$754</f>
        <v>0</v>
      </c>
      <c r="C31" s="44">
        <f>'M-ATW'!$H$755</f>
        <v>0</v>
      </c>
      <c r="D31" s="44">
        <f>'M-ATW'!$H$756</f>
        <v>0</v>
      </c>
      <c r="E31" s="44">
        <f>'M-ATW'!$H$757</f>
        <v>0</v>
      </c>
      <c r="F31" s="44">
        <f>'M-ATW'!$H$758</f>
        <v>0</v>
      </c>
      <c r="G31" s="44">
        <f>'M-ATW'!$H$759</f>
        <v>0</v>
      </c>
      <c r="H31" s="44">
        <f>'M-ATW'!$H$760</f>
        <v>0</v>
      </c>
      <c r="I31" s="44">
        <f>'M-ATW'!$H$761</f>
        <v>0</v>
      </c>
      <c r="J31" s="44">
        <f>'M-ATW'!$H$762</f>
        <v>0</v>
      </c>
      <c r="K31" s="44">
        <f>'M-ATW'!$H$763</f>
        <v>0</v>
      </c>
      <c r="L31" s="44">
        <f>'M-ATW'!$H$764</f>
        <v>0</v>
      </c>
      <c r="M31" s="44">
        <f>'M-ATW'!$H$765</f>
        <v>0</v>
      </c>
      <c r="N31" s="44">
        <f>'M-ATW'!$H$766</f>
        <v>0</v>
      </c>
      <c r="O31" s="44">
        <f>'M-ATW'!$H$767</f>
        <v>0</v>
      </c>
      <c r="P31" s="44">
        <f>'M-ATW'!$H$768</f>
        <v>0</v>
      </c>
      <c r="Q31" s="44">
        <f>'M-ATW'!$H$769</f>
        <v>0</v>
      </c>
      <c r="R31" s="44">
        <f>'M-ATW'!$H$770</f>
        <v>0</v>
      </c>
      <c r="S31" s="44">
        <f>'M-ATW'!$H$771</f>
        <v>0</v>
      </c>
      <c r="T31" s="44">
        <f>'M-ATW'!$H$772</f>
        <v>0</v>
      </c>
      <c r="U31" s="44">
        <f>'M-ATW'!$H$773</f>
        <v>0</v>
      </c>
      <c r="V31" s="44">
        <f>'M-ATW'!$H$774</f>
        <v>0</v>
      </c>
      <c r="W31" s="44">
        <f>'M-ATW'!$H$775</f>
        <v>0</v>
      </c>
      <c r="X31" s="44">
        <f>'M-ATW'!$H$776</f>
        <v>0</v>
      </c>
      <c r="Y31" s="21">
        <f>SUM($B31:$X31)</f>
        <v>0</v>
      </c>
      <c r="Z31" s="17"/>
    </row>
    <row r="33" spans="1:26" ht="21" customHeight="1">
      <c r="A33" s="1" t="s">
        <v>1660</v>
      </c>
    </row>
    <row r="35" spans="1:26">
      <c r="B35" s="36" t="s">
        <v>1661</v>
      </c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1:26">
      <c r="B36" s="15" t="s">
        <v>306</v>
      </c>
      <c r="C36" s="15" t="s">
        <v>307</v>
      </c>
      <c r="D36" s="15" t="s">
        <v>308</v>
      </c>
      <c r="E36" s="15" t="s">
        <v>309</v>
      </c>
      <c r="F36" s="15" t="s">
        <v>310</v>
      </c>
      <c r="G36" s="15" t="s">
        <v>311</v>
      </c>
      <c r="H36" s="15" t="s">
        <v>312</v>
      </c>
      <c r="I36" s="15" t="s">
        <v>313</v>
      </c>
      <c r="J36" s="15" t="s">
        <v>463</v>
      </c>
      <c r="K36" s="15" t="s">
        <v>475</v>
      </c>
      <c r="L36" s="15" t="s">
        <v>294</v>
      </c>
      <c r="M36" s="15" t="s">
        <v>877</v>
      </c>
      <c r="N36" s="15" t="s">
        <v>878</v>
      </c>
      <c r="O36" s="15" t="s">
        <v>879</v>
      </c>
      <c r="P36" s="15" t="s">
        <v>880</v>
      </c>
      <c r="Q36" s="15" t="s">
        <v>881</v>
      </c>
      <c r="R36" s="15" t="s">
        <v>882</v>
      </c>
      <c r="S36" s="15" t="s">
        <v>883</v>
      </c>
      <c r="T36" s="15" t="s">
        <v>884</v>
      </c>
      <c r="U36" s="15" t="s">
        <v>885</v>
      </c>
      <c r="V36" s="15" t="s">
        <v>886</v>
      </c>
      <c r="W36" s="15" t="s">
        <v>1651</v>
      </c>
      <c r="X36" s="15" t="s">
        <v>1652</v>
      </c>
      <c r="Y36" s="15" t="s">
        <v>1662</v>
      </c>
    </row>
    <row r="37" spans="1:26">
      <c r="A37" s="4" t="s">
        <v>1663</v>
      </c>
      <c r="B37" s="21">
        <f>SUM(B$8:B$31)</f>
        <v>0</v>
      </c>
      <c r="C37" s="21">
        <f>SUM(C$8:C$31)</f>
        <v>0</v>
      </c>
      <c r="D37" s="21">
        <f>SUM(D$8:D$31)</f>
        <v>0</v>
      </c>
      <c r="E37" s="21">
        <f>SUM(E$8:E$31)</f>
        <v>0</v>
      </c>
      <c r="F37" s="21">
        <f>SUM(F$8:F$31)</f>
        <v>0</v>
      </c>
      <c r="G37" s="21">
        <f>SUM(G$8:G$31)</f>
        <v>0</v>
      </c>
      <c r="H37" s="21">
        <f>SUM(H$8:H$31)</f>
        <v>0</v>
      </c>
      <c r="I37" s="21">
        <f>SUM(I$8:I$31)</f>
        <v>0</v>
      </c>
      <c r="J37" s="21">
        <f>SUM(J$8:J$31)</f>
        <v>0</v>
      </c>
      <c r="K37" s="21">
        <f>SUM(K$8:K$31)</f>
        <v>0</v>
      </c>
      <c r="L37" s="21">
        <f>SUM(L$8:L$31)</f>
        <v>0</v>
      </c>
      <c r="M37" s="21">
        <f>SUM(M$8:M$31)</f>
        <v>0</v>
      </c>
      <c r="N37" s="21">
        <f>SUM(N$8:N$31)</f>
        <v>0</v>
      </c>
      <c r="O37" s="21">
        <f>SUM(O$8:O$31)</f>
        <v>0</v>
      </c>
      <c r="P37" s="21">
        <f>SUM(P$8:P$31)</f>
        <v>0</v>
      </c>
      <c r="Q37" s="21">
        <f>SUM(Q$8:Q$31)</f>
        <v>0</v>
      </c>
      <c r="R37" s="21">
        <f>SUM(R$8:R$31)</f>
        <v>0</v>
      </c>
      <c r="S37" s="21">
        <f>SUM(S$8:S$31)</f>
        <v>0</v>
      </c>
      <c r="T37" s="21">
        <f>SUM(T$8:T$31)</f>
        <v>0</v>
      </c>
      <c r="U37" s="21">
        <f>SUM(U$8:U$31)</f>
        <v>0</v>
      </c>
      <c r="V37" s="21">
        <f>SUM(V$8:V$31)</f>
        <v>0</v>
      </c>
      <c r="W37" s="21">
        <f>SUM(W$8:W$31)</f>
        <v>0</v>
      </c>
      <c r="X37" s="21">
        <f>SUM(X$8:X$31)</f>
        <v>0</v>
      </c>
      <c r="Y37" s="21">
        <f>SUM($B$8:$X$31)</f>
        <v>0</v>
      </c>
      <c r="Z37" s="17"/>
    </row>
  </sheetData>
  <sheetProtection sheet="1" objects="1" scenarios="1"/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"Additional calculations for tariff comparisons for "&amp;'Input'!B7&amp;" in "&amp;'Input'!C7&amp;" ("&amp;'Input'!D7&amp;")"</f>
        <v>0</v>
      </c>
    </row>
    <row r="2" spans="1:1">
      <c r="A2" s="2" t="s">
        <v>1552</v>
      </c>
    </row>
    <row r="4" spans="1:1" ht="21" customHeight="1">
      <c r="A4" s="1" t="s">
        <v>1664</v>
      </c>
    </row>
    <row r="5" spans="1:1">
      <c r="A5" s="2" t="s">
        <v>351</v>
      </c>
    </row>
    <row r="6" spans="1:1">
      <c r="A6" s="33" t="s">
        <v>1665</v>
      </c>
    </row>
    <row r="7" spans="1:1">
      <c r="A7" s="33" t="s">
        <v>542</v>
      </c>
    </row>
    <row r="8" spans="1:1">
      <c r="A8" s="33" t="s">
        <v>1666</v>
      </c>
    </row>
    <row r="9" spans="1:1">
      <c r="A9" s="33" t="s">
        <v>1564</v>
      </c>
    </row>
    <row r="10" spans="1:1">
      <c r="A10" s="33" t="s">
        <v>1667</v>
      </c>
    </row>
    <row r="11" spans="1:1">
      <c r="A11" s="33" t="s">
        <v>1668</v>
      </c>
    </row>
    <row r="12" spans="1:1">
      <c r="A12" s="33" t="s">
        <v>1669</v>
      </c>
    </row>
    <row r="13" spans="1:1">
      <c r="A13" s="33" t="s">
        <v>1670</v>
      </c>
    </row>
    <row r="14" spans="1:1">
      <c r="A14" s="33" t="s">
        <v>1671</v>
      </c>
    </row>
    <row r="15" spans="1:1">
      <c r="A15" s="33" t="s">
        <v>1672</v>
      </c>
    </row>
    <row r="16" spans="1:1">
      <c r="A16" s="33" t="s">
        <v>1673</v>
      </c>
    </row>
    <row r="17" spans="1:3">
      <c r="A17" s="33" t="s">
        <v>1674</v>
      </c>
    </row>
    <row r="18" spans="1:3">
      <c r="A18" s="33" t="s">
        <v>1675</v>
      </c>
    </row>
    <row r="19" spans="1:3">
      <c r="A19" s="33" t="s">
        <v>1676</v>
      </c>
    </row>
    <row r="20" spans="1:3">
      <c r="A20" s="2" t="s">
        <v>1677</v>
      </c>
    </row>
    <row r="22" spans="1:3">
      <c r="B22" s="15" t="s">
        <v>1678</v>
      </c>
    </row>
    <row r="23" spans="1:3">
      <c r="A23" s="4" t="s">
        <v>174</v>
      </c>
      <c r="B23" s="21">
        <f>IF('Input'!B355,'Input'!B355,0.01*'Input'!F$58*('Input'!F355*'Input'!E$181+'Input'!G355*'Input'!F$181)+10*('Input'!C355*'Input'!B$181+'Input'!D355*'Input'!C$181+'Input'!E355*'Input'!D$181+'Input'!H355*'Input'!G$181))</f>
        <v>0</v>
      </c>
      <c r="C23" s="17"/>
    </row>
    <row r="24" spans="1:3">
      <c r="A24" s="4" t="s">
        <v>175</v>
      </c>
      <c r="B24" s="21">
        <f>IF('Input'!B356,'Input'!B356,0.01*'Input'!F$58*('Input'!F356*'Input'!E$185+'Input'!G356*'Input'!F$185)+10*('Input'!C356*'Input'!B$185+'Input'!D356*'Input'!C$185+'Input'!E356*'Input'!D$185+'Input'!H356*'Input'!G$185))</f>
        <v>0</v>
      </c>
      <c r="C24" s="17"/>
    </row>
    <row r="25" spans="1:3">
      <c r="A25" s="4" t="s">
        <v>211</v>
      </c>
      <c r="B25" s="21">
        <f>IF('Input'!B357,'Input'!B357,0.01*'Input'!F$58*('Input'!F357*'Input'!E$189+'Input'!G357*'Input'!F$189)+10*('Input'!C357*'Input'!B$189+'Input'!D357*'Input'!C$189+'Input'!E357*'Input'!D$189+'Input'!H357*'Input'!G$189))</f>
        <v>0</v>
      </c>
      <c r="C25" s="17"/>
    </row>
    <row r="26" spans="1:3">
      <c r="A26" s="4" t="s">
        <v>176</v>
      </c>
      <c r="B26" s="21">
        <f>IF('Input'!B358,'Input'!B358,0.01*'Input'!F$58*('Input'!F358*'Input'!E$193+'Input'!G358*'Input'!F$193)+10*('Input'!C358*'Input'!B$193+'Input'!D358*'Input'!C$193+'Input'!E358*'Input'!D$193+'Input'!H358*'Input'!G$193))</f>
        <v>0</v>
      </c>
      <c r="C26" s="17"/>
    </row>
    <row r="27" spans="1:3">
      <c r="A27" s="4" t="s">
        <v>177</v>
      </c>
      <c r="B27" s="21">
        <f>IF('Input'!B359,'Input'!B359,0.01*'Input'!F$58*('Input'!F359*'Input'!E$197+'Input'!G359*'Input'!F$197)+10*('Input'!C359*'Input'!B$197+'Input'!D359*'Input'!C$197+'Input'!E359*'Input'!D$197+'Input'!H359*'Input'!G$197))</f>
        <v>0</v>
      </c>
      <c r="C27" s="17"/>
    </row>
    <row r="28" spans="1:3">
      <c r="A28" s="4" t="s">
        <v>212</v>
      </c>
      <c r="B28" s="21">
        <f>IF('Input'!B360,'Input'!B360,0.01*'Input'!F$58*('Input'!F360*'Input'!E$201+'Input'!G360*'Input'!F$201)+10*('Input'!C360*'Input'!B$201+'Input'!D360*'Input'!C$201+'Input'!E360*'Input'!D$201+'Input'!H360*'Input'!G$201))</f>
        <v>0</v>
      </c>
      <c r="C28" s="17"/>
    </row>
    <row r="29" spans="1:3">
      <c r="A29" s="4" t="s">
        <v>178</v>
      </c>
      <c r="B29" s="21">
        <f>IF('Input'!B361,'Input'!B361,0.01*'Input'!F$58*('Input'!F361*'Input'!E$205+'Input'!G361*'Input'!F$205)+10*('Input'!C361*'Input'!B$205+'Input'!D361*'Input'!C$205+'Input'!E361*'Input'!D$205+'Input'!H361*'Input'!G$205))</f>
        <v>0</v>
      </c>
      <c r="C29" s="17"/>
    </row>
    <row r="30" spans="1:3">
      <c r="A30" s="4" t="s">
        <v>179</v>
      </c>
      <c r="B30" s="21">
        <f>IF('Input'!B362,'Input'!B362,0.01*'Input'!F$58*('Input'!F362*'Input'!E$209+'Input'!G362*'Input'!F$209)+10*('Input'!C362*'Input'!B$209+'Input'!D362*'Input'!C$209+'Input'!E362*'Input'!D$209+'Input'!H362*'Input'!G$209))</f>
        <v>0</v>
      </c>
      <c r="C30" s="17"/>
    </row>
    <row r="31" spans="1:3">
      <c r="A31" s="4" t="s">
        <v>180</v>
      </c>
      <c r="B31" s="21">
        <f>IF('Input'!B363,'Input'!B363,0.01*'Input'!F$58*('Input'!F363*'Input'!E$213+'Input'!G363*'Input'!F$213)+10*('Input'!C363*'Input'!B$213+'Input'!D363*'Input'!C$213+'Input'!E363*'Input'!D$213+'Input'!H363*'Input'!G$213))</f>
        <v>0</v>
      </c>
      <c r="C31" s="17"/>
    </row>
    <row r="32" spans="1:3">
      <c r="A32" s="4" t="s">
        <v>181</v>
      </c>
      <c r="B32" s="21">
        <f>IF('Input'!B364,'Input'!B364,0.01*'Input'!F$58*('Input'!F364*'Input'!E$217+'Input'!G364*'Input'!F$217)+10*('Input'!C364*'Input'!B$217+'Input'!D364*'Input'!C$217+'Input'!E364*'Input'!D$217+'Input'!H364*'Input'!G$217))</f>
        <v>0</v>
      </c>
      <c r="C32" s="17"/>
    </row>
    <row r="33" spans="1:3">
      <c r="A33" s="4" t="s">
        <v>193</v>
      </c>
      <c r="B33" s="21">
        <f>IF('Input'!B365,'Input'!B365,0.01*'Input'!F$58*('Input'!F365*'Input'!E$220+'Input'!G365*'Input'!F$220)+10*('Input'!C365*'Input'!B$220+'Input'!D365*'Input'!C$220+'Input'!E365*'Input'!D$220+'Input'!H365*'Input'!G$220))</f>
        <v>0</v>
      </c>
      <c r="C33" s="17"/>
    </row>
    <row r="34" spans="1:3">
      <c r="A34" s="4" t="s">
        <v>213</v>
      </c>
      <c r="B34" s="21">
        <f>IF('Input'!B366,'Input'!B366,0.01*'Input'!F$58*('Input'!F366*'Input'!E$223+'Input'!G366*'Input'!F$223)+10*('Input'!C366*'Input'!B$223+'Input'!D366*'Input'!C$223+'Input'!E366*'Input'!D$223+'Input'!H366*'Input'!G$223))</f>
        <v>0</v>
      </c>
      <c r="C34" s="17"/>
    </row>
    <row r="35" spans="1:3">
      <c r="A35" s="4" t="s">
        <v>214</v>
      </c>
      <c r="B35" s="21">
        <f>IF('Input'!B367,'Input'!B367,0.01*'Input'!F$58*('Input'!F367*'Input'!E$227+'Input'!G367*'Input'!F$227)+10*('Input'!C367*'Input'!B$227+'Input'!D367*'Input'!C$227+'Input'!E367*'Input'!D$227+'Input'!H367*'Input'!G$227))</f>
        <v>0</v>
      </c>
      <c r="C35" s="17"/>
    </row>
    <row r="36" spans="1:3">
      <c r="A36" s="4" t="s">
        <v>215</v>
      </c>
      <c r="B36" s="21">
        <f>IF('Input'!B368,'Input'!B368,0.01*'Input'!F$58*('Input'!F368*'Input'!E$231+'Input'!G368*'Input'!F$231)+10*('Input'!C368*'Input'!B$231+'Input'!D368*'Input'!C$231+'Input'!E368*'Input'!D$231+'Input'!H368*'Input'!G$231))</f>
        <v>0</v>
      </c>
      <c r="C36" s="17"/>
    </row>
    <row r="37" spans="1:3">
      <c r="A37" s="4" t="s">
        <v>216</v>
      </c>
      <c r="B37" s="21">
        <f>IF('Input'!B369,'Input'!B369,0.01*'Input'!F$58*('Input'!F369*'Input'!E$235+'Input'!G369*'Input'!F$235)+10*('Input'!C369*'Input'!B$235+'Input'!D369*'Input'!C$235+'Input'!E369*'Input'!D$235+'Input'!H369*'Input'!G$235))</f>
        <v>0</v>
      </c>
      <c r="C37" s="17"/>
    </row>
    <row r="38" spans="1:3">
      <c r="A38" s="4" t="s">
        <v>217</v>
      </c>
      <c r="B38" s="21">
        <f>IF('Input'!B370,'Input'!B370,0.01*'Input'!F$58*('Input'!F370*'Input'!E$239+'Input'!G370*'Input'!F$239)+10*('Input'!C370*'Input'!B$239+'Input'!D370*'Input'!C$239+'Input'!E370*'Input'!D$239+'Input'!H370*'Input'!G$239))</f>
        <v>0</v>
      </c>
      <c r="C38" s="17"/>
    </row>
    <row r="40" spans="1:3" ht="21" customHeight="1">
      <c r="A40" s="1" t="s">
        <v>1679</v>
      </c>
    </row>
    <row r="41" spans="1:3">
      <c r="A41" s="2" t="s">
        <v>351</v>
      </c>
    </row>
    <row r="42" spans="1:3">
      <c r="A42" s="33" t="s">
        <v>1561</v>
      </c>
    </row>
    <row r="43" spans="1:3">
      <c r="A43" s="33" t="s">
        <v>1562</v>
      </c>
    </row>
    <row r="44" spans="1:3">
      <c r="A44" s="33" t="s">
        <v>1563</v>
      </c>
    </row>
    <row r="45" spans="1:3">
      <c r="A45" s="33" t="s">
        <v>1564</v>
      </c>
    </row>
    <row r="46" spans="1:3">
      <c r="A46" s="33" t="s">
        <v>1680</v>
      </c>
    </row>
    <row r="47" spans="1:3">
      <c r="A47" s="33" t="s">
        <v>1681</v>
      </c>
    </row>
    <row r="48" spans="1:3">
      <c r="A48" s="33" t="s">
        <v>1682</v>
      </c>
    </row>
    <row r="49" spans="1:9">
      <c r="A49" s="34" t="s">
        <v>354</v>
      </c>
      <c r="B49" s="34" t="s">
        <v>413</v>
      </c>
      <c r="C49" s="34" t="s">
        <v>413</v>
      </c>
      <c r="D49" s="34" t="s">
        <v>413</v>
      </c>
      <c r="E49" s="34" t="s">
        <v>413</v>
      </c>
      <c r="F49" s="34" t="s">
        <v>413</v>
      </c>
      <c r="G49" s="34" t="s">
        <v>413</v>
      </c>
      <c r="H49" s="34" t="s">
        <v>413</v>
      </c>
    </row>
    <row r="50" spans="1:9">
      <c r="A50" s="34" t="s">
        <v>357</v>
      </c>
      <c r="B50" s="34" t="s">
        <v>1545</v>
      </c>
      <c r="C50" s="34" t="s">
        <v>416</v>
      </c>
      <c r="D50" s="34" t="s">
        <v>1546</v>
      </c>
      <c r="E50" s="34" t="s">
        <v>1014</v>
      </c>
      <c r="F50" s="34" t="s">
        <v>907</v>
      </c>
      <c r="G50" s="34" t="s">
        <v>1547</v>
      </c>
      <c r="H50" s="34" t="s">
        <v>1683</v>
      </c>
    </row>
    <row r="52" spans="1:9">
      <c r="B52" s="15" t="s">
        <v>222</v>
      </c>
      <c r="C52" s="15" t="s">
        <v>223</v>
      </c>
      <c r="D52" s="15" t="s">
        <v>224</v>
      </c>
      <c r="E52" s="15" t="s">
        <v>225</v>
      </c>
      <c r="F52" s="15" t="s">
        <v>226</v>
      </c>
      <c r="G52" s="15" t="s">
        <v>227</v>
      </c>
      <c r="H52" s="15" t="s">
        <v>572</v>
      </c>
    </row>
    <row r="53" spans="1:9">
      <c r="A53" s="4" t="s">
        <v>174</v>
      </c>
      <c r="B53" s="39">
        <f>'Input'!B$181</f>
        <v>0</v>
      </c>
      <c r="C53" s="39">
        <f>'Input'!C$181</f>
        <v>0</v>
      </c>
      <c r="D53" s="39">
        <f>'Input'!D$181</f>
        <v>0</v>
      </c>
      <c r="E53" s="44">
        <f>'Input'!E$181</f>
        <v>0</v>
      </c>
      <c r="F53" s="44">
        <f>'Input'!F$181</f>
        <v>0</v>
      </c>
      <c r="G53" s="39">
        <f>'Input'!G$181</f>
        <v>0</v>
      </c>
      <c r="H53" s="44">
        <f>'Summary'!B$46</f>
        <v>0</v>
      </c>
      <c r="I53" s="17"/>
    </row>
    <row r="54" spans="1:9">
      <c r="A54" s="4" t="s">
        <v>175</v>
      </c>
      <c r="B54" s="39">
        <f>'Input'!B$185</f>
        <v>0</v>
      </c>
      <c r="C54" s="39">
        <f>'Input'!C$185</f>
        <v>0</v>
      </c>
      <c r="D54" s="39">
        <f>'Input'!D$185</f>
        <v>0</v>
      </c>
      <c r="E54" s="44">
        <f>'Input'!E$185</f>
        <v>0</v>
      </c>
      <c r="F54" s="44">
        <f>'Input'!F$185</f>
        <v>0</v>
      </c>
      <c r="G54" s="39">
        <f>'Input'!G$185</f>
        <v>0</v>
      </c>
      <c r="H54" s="44">
        <f>'Summary'!B$50</f>
        <v>0</v>
      </c>
      <c r="I54" s="17"/>
    </row>
    <row r="55" spans="1:9">
      <c r="A55" s="4" t="s">
        <v>211</v>
      </c>
      <c r="B55" s="39">
        <f>'Input'!B$189</f>
        <v>0</v>
      </c>
      <c r="C55" s="39">
        <f>'Input'!C$189</f>
        <v>0</v>
      </c>
      <c r="D55" s="39">
        <f>'Input'!D$189</f>
        <v>0</v>
      </c>
      <c r="E55" s="44">
        <f>'Input'!E$189</f>
        <v>0</v>
      </c>
      <c r="F55" s="44">
        <f>'Input'!F$189</f>
        <v>0</v>
      </c>
      <c r="G55" s="39">
        <f>'Input'!G$189</f>
        <v>0</v>
      </c>
      <c r="H55" s="44">
        <f>'Summary'!B$54</f>
        <v>0</v>
      </c>
      <c r="I55" s="17"/>
    </row>
    <row r="56" spans="1:9">
      <c r="A56" s="4" t="s">
        <v>176</v>
      </c>
      <c r="B56" s="39">
        <f>'Input'!B$193</f>
        <v>0</v>
      </c>
      <c r="C56" s="39">
        <f>'Input'!C$193</f>
        <v>0</v>
      </c>
      <c r="D56" s="39">
        <f>'Input'!D$193</f>
        <v>0</v>
      </c>
      <c r="E56" s="44">
        <f>'Input'!E$193</f>
        <v>0</v>
      </c>
      <c r="F56" s="44">
        <f>'Input'!F$193</f>
        <v>0</v>
      </c>
      <c r="G56" s="39">
        <f>'Input'!G$193</f>
        <v>0</v>
      </c>
      <c r="H56" s="44">
        <f>'Summary'!B$58</f>
        <v>0</v>
      </c>
      <c r="I56" s="17"/>
    </row>
    <row r="57" spans="1:9">
      <c r="A57" s="4" t="s">
        <v>177</v>
      </c>
      <c r="B57" s="39">
        <f>'Input'!B$197</f>
        <v>0</v>
      </c>
      <c r="C57" s="39">
        <f>'Input'!C$197</f>
        <v>0</v>
      </c>
      <c r="D57" s="39">
        <f>'Input'!D$197</f>
        <v>0</v>
      </c>
      <c r="E57" s="44">
        <f>'Input'!E$197</f>
        <v>0</v>
      </c>
      <c r="F57" s="44">
        <f>'Input'!F$197</f>
        <v>0</v>
      </c>
      <c r="G57" s="39">
        <f>'Input'!G$197</f>
        <v>0</v>
      </c>
      <c r="H57" s="44">
        <f>'Summary'!B$62</f>
        <v>0</v>
      </c>
      <c r="I57" s="17"/>
    </row>
    <row r="58" spans="1:9">
      <c r="A58" s="4" t="s">
        <v>212</v>
      </c>
      <c r="B58" s="39">
        <f>'Input'!B$201</f>
        <v>0</v>
      </c>
      <c r="C58" s="39">
        <f>'Input'!C$201</f>
        <v>0</v>
      </c>
      <c r="D58" s="39">
        <f>'Input'!D$201</f>
        <v>0</v>
      </c>
      <c r="E58" s="44">
        <f>'Input'!E$201</f>
        <v>0</v>
      </c>
      <c r="F58" s="44">
        <f>'Input'!F$201</f>
        <v>0</v>
      </c>
      <c r="G58" s="39">
        <f>'Input'!G$201</f>
        <v>0</v>
      </c>
      <c r="H58" s="44">
        <f>'Summary'!B$66</f>
        <v>0</v>
      </c>
      <c r="I58" s="17"/>
    </row>
    <row r="59" spans="1:9">
      <c r="A59" s="4" t="s">
        <v>178</v>
      </c>
      <c r="B59" s="39">
        <f>'Input'!B$205</f>
        <v>0</v>
      </c>
      <c r="C59" s="39">
        <f>'Input'!C$205</f>
        <v>0</v>
      </c>
      <c r="D59" s="39">
        <f>'Input'!D$205</f>
        <v>0</v>
      </c>
      <c r="E59" s="44">
        <f>'Input'!E$205</f>
        <v>0</v>
      </c>
      <c r="F59" s="44">
        <f>'Input'!F$205</f>
        <v>0</v>
      </c>
      <c r="G59" s="39">
        <f>'Input'!G$205</f>
        <v>0</v>
      </c>
      <c r="H59" s="44">
        <f>'Summary'!B$70</f>
        <v>0</v>
      </c>
      <c r="I59" s="17"/>
    </row>
    <row r="60" spans="1:9">
      <c r="A60" s="4" t="s">
        <v>179</v>
      </c>
      <c r="B60" s="39">
        <f>'Input'!B$209</f>
        <v>0</v>
      </c>
      <c r="C60" s="39">
        <f>'Input'!C$209</f>
        <v>0</v>
      </c>
      <c r="D60" s="39">
        <f>'Input'!D$209</f>
        <v>0</v>
      </c>
      <c r="E60" s="44">
        <f>'Input'!E$209</f>
        <v>0</v>
      </c>
      <c r="F60" s="44">
        <f>'Input'!F$209</f>
        <v>0</v>
      </c>
      <c r="G60" s="39">
        <f>'Input'!G$209</f>
        <v>0</v>
      </c>
      <c r="H60" s="44">
        <f>'Summary'!B$74</f>
        <v>0</v>
      </c>
      <c r="I60" s="17"/>
    </row>
    <row r="61" spans="1:9">
      <c r="A61" s="4" t="s">
        <v>180</v>
      </c>
      <c r="B61" s="39">
        <f>'Input'!B$213</f>
        <v>0</v>
      </c>
      <c r="C61" s="39">
        <f>'Input'!C$213</f>
        <v>0</v>
      </c>
      <c r="D61" s="39">
        <f>'Input'!D$213</f>
        <v>0</v>
      </c>
      <c r="E61" s="44">
        <f>'Input'!E$213</f>
        <v>0</v>
      </c>
      <c r="F61" s="44">
        <f>'Input'!F$213</f>
        <v>0</v>
      </c>
      <c r="G61" s="39">
        <f>'Input'!G$213</f>
        <v>0</v>
      </c>
      <c r="H61" s="44">
        <f>'Summary'!B$78</f>
        <v>0</v>
      </c>
      <c r="I61" s="17"/>
    </row>
    <row r="62" spans="1:9">
      <c r="A62" s="4" t="s">
        <v>181</v>
      </c>
      <c r="B62" s="39">
        <f>'Input'!B$217</f>
        <v>0</v>
      </c>
      <c r="C62" s="39">
        <f>'Input'!C$217</f>
        <v>0</v>
      </c>
      <c r="D62" s="39">
        <f>'Input'!D$217</f>
        <v>0</v>
      </c>
      <c r="E62" s="44">
        <f>'Input'!E$217</f>
        <v>0</v>
      </c>
      <c r="F62" s="44">
        <f>'Input'!F$217</f>
        <v>0</v>
      </c>
      <c r="G62" s="39">
        <f>'Input'!G$217</f>
        <v>0</v>
      </c>
      <c r="H62" s="44">
        <f>'Summary'!B$82</f>
        <v>0</v>
      </c>
      <c r="I62" s="17"/>
    </row>
    <row r="63" spans="1:9">
      <c r="A63" s="4" t="s">
        <v>193</v>
      </c>
      <c r="B63" s="39">
        <f>'Input'!B$220</f>
        <v>0</v>
      </c>
      <c r="C63" s="39">
        <f>'Input'!C$220</f>
        <v>0</v>
      </c>
      <c r="D63" s="39">
        <f>'Input'!D$220</f>
        <v>0</v>
      </c>
      <c r="E63" s="44">
        <f>'Input'!E$220</f>
        <v>0</v>
      </c>
      <c r="F63" s="44">
        <f>'Input'!F$220</f>
        <v>0</v>
      </c>
      <c r="G63" s="39">
        <f>'Input'!G$220</f>
        <v>0</v>
      </c>
      <c r="H63" s="44">
        <f>'Summary'!B$85</f>
        <v>0</v>
      </c>
      <c r="I63" s="17"/>
    </row>
    <row r="64" spans="1:9">
      <c r="A64" s="4" t="s">
        <v>213</v>
      </c>
      <c r="B64" s="39">
        <f>'Input'!B$223</f>
        <v>0</v>
      </c>
      <c r="C64" s="39">
        <f>'Input'!C$223</f>
        <v>0</v>
      </c>
      <c r="D64" s="39">
        <f>'Input'!D$223</f>
        <v>0</v>
      </c>
      <c r="E64" s="44">
        <f>'Input'!E$223</f>
        <v>0</v>
      </c>
      <c r="F64" s="44">
        <f>'Input'!F$223</f>
        <v>0</v>
      </c>
      <c r="G64" s="39">
        <f>'Input'!G$223</f>
        <v>0</v>
      </c>
      <c r="H64" s="44">
        <f>'Summary'!B$88</f>
        <v>0</v>
      </c>
      <c r="I64" s="17"/>
    </row>
    <row r="65" spans="1:9">
      <c r="A65" s="4" t="s">
        <v>214</v>
      </c>
      <c r="B65" s="39">
        <f>'Input'!B$227</f>
        <v>0</v>
      </c>
      <c r="C65" s="39">
        <f>'Input'!C$227</f>
        <v>0</v>
      </c>
      <c r="D65" s="39">
        <f>'Input'!D$227</f>
        <v>0</v>
      </c>
      <c r="E65" s="44">
        <f>'Input'!E$227</f>
        <v>0</v>
      </c>
      <c r="F65" s="44">
        <f>'Input'!F$227</f>
        <v>0</v>
      </c>
      <c r="G65" s="39">
        <f>'Input'!G$227</f>
        <v>0</v>
      </c>
      <c r="H65" s="44">
        <f>'Summary'!B$92</f>
        <v>0</v>
      </c>
      <c r="I65" s="17"/>
    </row>
    <row r="66" spans="1:9">
      <c r="A66" s="4" t="s">
        <v>215</v>
      </c>
      <c r="B66" s="39">
        <f>'Input'!B$231</f>
        <v>0</v>
      </c>
      <c r="C66" s="39">
        <f>'Input'!C$231</f>
        <v>0</v>
      </c>
      <c r="D66" s="39">
        <f>'Input'!D$231</f>
        <v>0</v>
      </c>
      <c r="E66" s="44">
        <f>'Input'!E$231</f>
        <v>0</v>
      </c>
      <c r="F66" s="44">
        <f>'Input'!F$231</f>
        <v>0</v>
      </c>
      <c r="G66" s="39">
        <f>'Input'!G$231</f>
        <v>0</v>
      </c>
      <c r="H66" s="44">
        <f>'Summary'!B$96</f>
        <v>0</v>
      </c>
      <c r="I66" s="17"/>
    </row>
    <row r="67" spans="1:9">
      <c r="A67" s="4" t="s">
        <v>216</v>
      </c>
      <c r="B67" s="39">
        <f>'Input'!B$235</f>
        <v>0</v>
      </c>
      <c r="C67" s="39">
        <f>'Input'!C$235</f>
        <v>0</v>
      </c>
      <c r="D67" s="39">
        <f>'Input'!D$235</f>
        <v>0</v>
      </c>
      <c r="E67" s="44">
        <f>'Input'!E$235</f>
        <v>0</v>
      </c>
      <c r="F67" s="44">
        <f>'Input'!F$235</f>
        <v>0</v>
      </c>
      <c r="G67" s="39">
        <f>'Input'!G$235</f>
        <v>0</v>
      </c>
      <c r="H67" s="44">
        <f>'Summary'!B$100</f>
        <v>0</v>
      </c>
      <c r="I67" s="17"/>
    </row>
    <row r="68" spans="1:9">
      <c r="A68" s="4" t="s">
        <v>217</v>
      </c>
      <c r="B68" s="39">
        <f>'Input'!B$239</f>
        <v>0</v>
      </c>
      <c r="C68" s="39">
        <f>'Input'!C$239</f>
        <v>0</v>
      </c>
      <c r="D68" s="39">
        <f>'Input'!D$239</f>
        <v>0</v>
      </c>
      <c r="E68" s="44">
        <f>'Input'!E$239</f>
        <v>0</v>
      </c>
      <c r="F68" s="44">
        <f>'Input'!F$239</f>
        <v>0</v>
      </c>
      <c r="G68" s="39">
        <f>'Input'!G$239</f>
        <v>0</v>
      </c>
      <c r="H68" s="44">
        <f>'Summary'!B$104</f>
        <v>0</v>
      </c>
      <c r="I68" s="17"/>
    </row>
    <row r="69" spans="1:9">
      <c r="A69" s="4" t="s">
        <v>182</v>
      </c>
      <c r="B69" s="39">
        <f>'Input'!B$243</f>
        <v>0</v>
      </c>
      <c r="C69" s="39">
        <f>'Input'!C$243</f>
        <v>0</v>
      </c>
      <c r="D69" s="39">
        <f>'Input'!D$243</f>
        <v>0</v>
      </c>
      <c r="E69" s="44">
        <f>'Input'!E$243</f>
        <v>0</v>
      </c>
      <c r="F69" s="44">
        <f>'Input'!F$243</f>
        <v>0</v>
      </c>
      <c r="G69" s="39">
        <f>'Input'!G$243</f>
        <v>0</v>
      </c>
      <c r="H69" s="44">
        <f>'Summary'!B$108</f>
        <v>0</v>
      </c>
      <c r="I69" s="17"/>
    </row>
    <row r="70" spans="1:9">
      <c r="A70" s="4" t="s">
        <v>183</v>
      </c>
      <c r="B70" s="39">
        <f>'Input'!B$247</f>
        <v>0</v>
      </c>
      <c r="C70" s="39">
        <f>'Input'!C$247</f>
        <v>0</v>
      </c>
      <c r="D70" s="39">
        <f>'Input'!D$247</f>
        <v>0</v>
      </c>
      <c r="E70" s="44">
        <f>'Input'!E$247</f>
        <v>0</v>
      </c>
      <c r="F70" s="44">
        <f>'Input'!F$247</f>
        <v>0</v>
      </c>
      <c r="G70" s="39">
        <f>'Input'!G$247</f>
        <v>0</v>
      </c>
      <c r="H70" s="44">
        <f>'Summary'!B$112</f>
        <v>0</v>
      </c>
      <c r="I70" s="17"/>
    </row>
    <row r="71" spans="1:9">
      <c r="A71" s="4" t="s">
        <v>184</v>
      </c>
      <c r="B71" s="39">
        <f>'Input'!B$250</f>
        <v>0</v>
      </c>
      <c r="C71" s="39">
        <f>'Input'!C$250</f>
        <v>0</v>
      </c>
      <c r="D71" s="39">
        <f>'Input'!D$250</f>
        <v>0</v>
      </c>
      <c r="E71" s="44">
        <f>'Input'!E$250</f>
        <v>0</v>
      </c>
      <c r="F71" s="44">
        <f>'Input'!F$250</f>
        <v>0</v>
      </c>
      <c r="G71" s="39">
        <f>'Input'!G$250</f>
        <v>0</v>
      </c>
      <c r="H71" s="44">
        <f>'Summary'!B$115</f>
        <v>0</v>
      </c>
      <c r="I71" s="17"/>
    </row>
    <row r="72" spans="1:9">
      <c r="A72" s="4" t="s">
        <v>185</v>
      </c>
      <c r="B72" s="39">
        <f>'Input'!B$254</f>
        <v>0</v>
      </c>
      <c r="C72" s="39">
        <f>'Input'!C$254</f>
        <v>0</v>
      </c>
      <c r="D72" s="39">
        <f>'Input'!D$254</f>
        <v>0</v>
      </c>
      <c r="E72" s="44">
        <f>'Input'!E$254</f>
        <v>0</v>
      </c>
      <c r="F72" s="44">
        <f>'Input'!F$254</f>
        <v>0</v>
      </c>
      <c r="G72" s="39">
        <f>'Input'!G$254</f>
        <v>0</v>
      </c>
      <c r="H72" s="44">
        <f>'Summary'!B$119</f>
        <v>0</v>
      </c>
      <c r="I72" s="17"/>
    </row>
    <row r="73" spans="1:9">
      <c r="A73" s="4" t="s">
        <v>186</v>
      </c>
      <c r="B73" s="39">
        <f>'Input'!B$258</f>
        <v>0</v>
      </c>
      <c r="C73" s="39">
        <f>'Input'!C$258</f>
        <v>0</v>
      </c>
      <c r="D73" s="39">
        <f>'Input'!D$258</f>
        <v>0</v>
      </c>
      <c r="E73" s="44">
        <f>'Input'!E$258</f>
        <v>0</v>
      </c>
      <c r="F73" s="44">
        <f>'Input'!F$258</f>
        <v>0</v>
      </c>
      <c r="G73" s="39">
        <f>'Input'!G$258</f>
        <v>0</v>
      </c>
      <c r="H73" s="44">
        <f>'Summary'!B$123</f>
        <v>0</v>
      </c>
      <c r="I73" s="17"/>
    </row>
    <row r="74" spans="1:9">
      <c r="A74" s="4" t="s">
        <v>187</v>
      </c>
      <c r="B74" s="39">
        <f>'Input'!B$261</f>
        <v>0</v>
      </c>
      <c r="C74" s="39">
        <f>'Input'!C$261</f>
        <v>0</v>
      </c>
      <c r="D74" s="39">
        <f>'Input'!D$261</f>
        <v>0</v>
      </c>
      <c r="E74" s="44">
        <f>'Input'!E$261</f>
        <v>0</v>
      </c>
      <c r="F74" s="44">
        <f>'Input'!F$261</f>
        <v>0</v>
      </c>
      <c r="G74" s="39">
        <f>'Input'!G$261</f>
        <v>0</v>
      </c>
      <c r="H74" s="44">
        <f>'Summary'!B$126</f>
        <v>0</v>
      </c>
      <c r="I74" s="17"/>
    </row>
    <row r="75" spans="1:9">
      <c r="A75" s="4" t="s">
        <v>194</v>
      </c>
      <c r="B75" s="39">
        <f>'Input'!B$264</f>
        <v>0</v>
      </c>
      <c r="C75" s="39">
        <f>'Input'!C$264</f>
        <v>0</v>
      </c>
      <c r="D75" s="39">
        <f>'Input'!D$264</f>
        <v>0</v>
      </c>
      <c r="E75" s="44">
        <f>'Input'!E$264</f>
        <v>0</v>
      </c>
      <c r="F75" s="44">
        <f>'Input'!F$264</f>
        <v>0</v>
      </c>
      <c r="G75" s="39">
        <f>'Input'!G$264</f>
        <v>0</v>
      </c>
      <c r="H75" s="44">
        <f>'Summary'!B$129</f>
        <v>0</v>
      </c>
      <c r="I75" s="17"/>
    </row>
    <row r="76" spans="1:9">
      <c r="A76" s="4" t="s">
        <v>195</v>
      </c>
      <c r="B76" s="39">
        <f>'Input'!B$267</f>
        <v>0</v>
      </c>
      <c r="C76" s="39">
        <f>'Input'!C$267</f>
        <v>0</v>
      </c>
      <c r="D76" s="39">
        <f>'Input'!D$267</f>
        <v>0</v>
      </c>
      <c r="E76" s="44">
        <f>'Input'!E$267</f>
        <v>0</v>
      </c>
      <c r="F76" s="44">
        <f>'Input'!F$267</f>
        <v>0</v>
      </c>
      <c r="G76" s="39">
        <f>'Input'!G$267</f>
        <v>0</v>
      </c>
      <c r="H76" s="44">
        <f>'Summary'!B$132</f>
        <v>0</v>
      </c>
      <c r="I76" s="17"/>
    </row>
    <row r="78" spans="1:9" ht="21" customHeight="1">
      <c r="A78" s="1" t="s">
        <v>1684</v>
      </c>
    </row>
    <row r="80" spans="1:9">
      <c r="B80" s="15" t="s">
        <v>1685</v>
      </c>
    </row>
    <row r="81" spans="1:3">
      <c r="A81" s="4" t="s">
        <v>174</v>
      </c>
      <c r="B81" s="28" t="s">
        <v>1686</v>
      </c>
      <c r="C81" s="17"/>
    </row>
    <row r="82" spans="1:3">
      <c r="A82" s="4" t="s">
        <v>175</v>
      </c>
      <c r="B82" s="28" t="s">
        <v>1686</v>
      </c>
      <c r="C82" s="17"/>
    </row>
    <row r="83" spans="1:3">
      <c r="A83" s="4" t="s">
        <v>211</v>
      </c>
      <c r="B83" s="28" t="s">
        <v>1686</v>
      </c>
      <c r="C83" s="17"/>
    </row>
    <row r="84" spans="1:3">
      <c r="A84" s="4" t="s">
        <v>176</v>
      </c>
      <c r="B84" s="28" t="s">
        <v>1686</v>
      </c>
      <c r="C84" s="17"/>
    </row>
    <row r="85" spans="1:3">
      <c r="A85" s="4" t="s">
        <v>177</v>
      </c>
      <c r="B85" s="28" t="s">
        <v>1686</v>
      </c>
      <c r="C85" s="17"/>
    </row>
    <row r="86" spans="1:3">
      <c r="A86" s="4" t="s">
        <v>212</v>
      </c>
      <c r="B86" s="28" t="s">
        <v>1686</v>
      </c>
      <c r="C86" s="17"/>
    </row>
    <row r="87" spans="1:3">
      <c r="A87" s="4" t="s">
        <v>178</v>
      </c>
      <c r="B87" s="28" t="s">
        <v>1686</v>
      </c>
      <c r="C87" s="17"/>
    </row>
    <row r="88" spans="1:3">
      <c r="A88" s="4" t="s">
        <v>179</v>
      </c>
      <c r="B88" s="28" t="s">
        <v>1686</v>
      </c>
      <c r="C88" s="17"/>
    </row>
    <row r="89" spans="1:3">
      <c r="A89" s="4" t="s">
        <v>180</v>
      </c>
      <c r="B89" s="28" t="s">
        <v>1687</v>
      </c>
      <c r="C89" s="17"/>
    </row>
    <row r="90" spans="1:3">
      <c r="A90" s="4" t="s">
        <v>181</v>
      </c>
      <c r="B90" s="28" t="s">
        <v>1687</v>
      </c>
      <c r="C90" s="17"/>
    </row>
    <row r="91" spans="1:3">
      <c r="A91" s="4" t="s">
        <v>193</v>
      </c>
      <c r="B91" s="28" t="s">
        <v>1687</v>
      </c>
      <c r="C91" s="17"/>
    </row>
    <row r="92" spans="1:3">
      <c r="A92" s="4" t="s">
        <v>213</v>
      </c>
      <c r="B92" s="28" t="s">
        <v>1688</v>
      </c>
      <c r="C92" s="17"/>
    </row>
    <row r="93" spans="1:3">
      <c r="A93" s="4" t="s">
        <v>214</v>
      </c>
      <c r="B93" s="28" t="s">
        <v>1688</v>
      </c>
      <c r="C93" s="17"/>
    </row>
    <row r="94" spans="1:3">
      <c r="A94" s="4" t="s">
        <v>215</v>
      </c>
      <c r="B94" s="28" t="s">
        <v>1688</v>
      </c>
      <c r="C94" s="17"/>
    </row>
    <row r="95" spans="1:3">
      <c r="A95" s="4" t="s">
        <v>216</v>
      </c>
      <c r="B95" s="28" t="s">
        <v>1688</v>
      </c>
      <c r="C95" s="17"/>
    </row>
    <row r="96" spans="1:3">
      <c r="A96" s="4" t="s">
        <v>217</v>
      </c>
      <c r="B96" s="28" t="s">
        <v>1688</v>
      </c>
      <c r="C96" s="17"/>
    </row>
    <row r="97" spans="1:3">
      <c r="A97" s="4" t="s">
        <v>182</v>
      </c>
      <c r="B97" s="28" t="s">
        <v>1688</v>
      </c>
      <c r="C97" s="17"/>
    </row>
    <row r="98" spans="1:3">
      <c r="A98" s="4" t="s">
        <v>183</v>
      </c>
      <c r="B98" s="28" t="s">
        <v>1688</v>
      </c>
      <c r="C98" s="17"/>
    </row>
    <row r="99" spans="1:3">
      <c r="A99" s="4" t="s">
        <v>184</v>
      </c>
      <c r="B99" s="28" t="s">
        <v>1688</v>
      </c>
      <c r="C99" s="17"/>
    </row>
    <row r="100" spans="1:3">
      <c r="A100" s="4" t="s">
        <v>185</v>
      </c>
      <c r="B100" s="28" t="s">
        <v>1688</v>
      </c>
      <c r="C100" s="17"/>
    </row>
    <row r="101" spans="1:3">
      <c r="A101" s="4" t="s">
        <v>186</v>
      </c>
      <c r="B101" s="28" t="s">
        <v>1688</v>
      </c>
      <c r="C101" s="17"/>
    </row>
    <row r="102" spans="1:3">
      <c r="A102" s="4" t="s">
        <v>187</v>
      </c>
      <c r="B102" s="28" t="s">
        <v>1688</v>
      </c>
      <c r="C102" s="17"/>
    </row>
    <row r="103" spans="1:3">
      <c r="A103" s="4" t="s">
        <v>194</v>
      </c>
      <c r="B103" s="28" t="s">
        <v>1688</v>
      </c>
      <c r="C103" s="17"/>
    </row>
    <row r="104" spans="1:3">
      <c r="A104" s="4" t="s">
        <v>195</v>
      </c>
      <c r="B104" s="28" t="s">
        <v>1688</v>
      </c>
      <c r="C104" s="17"/>
    </row>
    <row r="106" spans="1:3" ht="21" customHeight="1">
      <c r="A106" s="1" t="s">
        <v>1689</v>
      </c>
    </row>
    <row r="107" spans="1:3">
      <c r="A107" s="2" t="s">
        <v>351</v>
      </c>
    </row>
    <row r="108" spans="1:3">
      <c r="A108" s="33" t="s">
        <v>1690</v>
      </c>
    </row>
    <row r="109" spans="1:3">
      <c r="A109" s="33" t="s">
        <v>1691</v>
      </c>
    </row>
    <row r="110" spans="1:3">
      <c r="A110" s="33" t="s">
        <v>1692</v>
      </c>
    </row>
    <row r="111" spans="1:3">
      <c r="A111" s="33" t="s">
        <v>1693</v>
      </c>
    </row>
    <row r="112" spans="1:3">
      <c r="A112" s="33" t="s">
        <v>1694</v>
      </c>
    </row>
    <row r="113" spans="1:1">
      <c r="A113" s="33" t="s">
        <v>1695</v>
      </c>
    </row>
    <row r="114" spans="1:1">
      <c r="A114" s="33" t="s">
        <v>1696</v>
      </c>
    </row>
    <row r="115" spans="1:1">
      <c r="A115" s="33" t="s">
        <v>1697</v>
      </c>
    </row>
    <row r="116" spans="1:1">
      <c r="A116" s="33" t="s">
        <v>1164</v>
      </c>
    </row>
    <row r="117" spans="1:1">
      <c r="A117" s="33" t="s">
        <v>1698</v>
      </c>
    </row>
    <row r="118" spans="1:1">
      <c r="A118" s="33" t="s">
        <v>1699</v>
      </c>
    </row>
    <row r="119" spans="1:1">
      <c r="A119" s="33" t="s">
        <v>1700</v>
      </c>
    </row>
    <row r="120" spans="1:1">
      <c r="A120" s="33" t="s">
        <v>1701</v>
      </c>
    </row>
    <row r="121" spans="1:1">
      <c r="A121" s="33" t="s">
        <v>1702</v>
      </c>
    </row>
    <row r="122" spans="1:1">
      <c r="A122" s="33" t="s">
        <v>1703</v>
      </c>
    </row>
    <row r="123" spans="1:1">
      <c r="A123" s="33" t="s">
        <v>1704</v>
      </c>
    </row>
    <row r="124" spans="1:1">
      <c r="A124" s="33" t="s">
        <v>1705</v>
      </c>
    </row>
    <row r="125" spans="1:1">
      <c r="A125" s="33" t="s">
        <v>1706</v>
      </c>
    </row>
    <row r="126" spans="1:1">
      <c r="A126" s="33" t="s">
        <v>1707</v>
      </c>
    </row>
    <row r="127" spans="1:1">
      <c r="A127" s="33" t="s">
        <v>1708</v>
      </c>
    </row>
    <row r="128" spans="1:1">
      <c r="A128" s="33" t="s">
        <v>1709</v>
      </c>
    </row>
    <row r="129" spans="1:9">
      <c r="A129" s="34" t="s">
        <v>354</v>
      </c>
      <c r="B129" s="34" t="s">
        <v>484</v>
      </c>
      <c r="C129" s="34" t="s">
        <v>484</v>
      </c>
      <c r="D129" s="34" t="s">
        <v>484</v>
      </c>
      <c r="E129" s="34" t="s">
        <v>484</v>
      </c>
      <c r="F129" s="34" t="s">
        <v>484</v>
      </c>
      <c r="G129" s="34" t="s">
        <v>484</v>
      </c>
      <c r="H129" s="34" t="s">
        <v>484</v>
      </c>
    </row>
    <row r="130" spans="1:9">
      <c r="A130" s="34" t="s">
        <v>357</v>
      </c>
      <c r="B130" s="34" t="s">
        <v>1710</v>
      </c>
      <c r="C130" s="34" t="s">
        <v>1711</v>
      </c>
      <c r="D130" s="34" t="s">
        <v>1712</v>
      </c>
      <c r="E130" s="34" t="s">
        <v>1713</v>
      </c>
      <c r="F130" s="34" t="s">
        <v>1714</v>
      </c>
      <c r="G130" s="34" t="s">
        <v>1715</v>
      </c>
      <c r="H130" s="34" t="s">
        <v>1716</v>
      </c>
    </row>
    <row r="132" spans="1:9">
      <c r="B132" s="15" t="s">
        <v>1717</v>
      </c>
      <c r="C132" s="15" t="s">
        <v>1718</v>
      </c>
      <c r="D132" s="15" t="s">
        <v>1719</v>
      </c>
      <c r="E132" s="15" t="s">
        <v>1720</v>
      </c>
      <c r="F132" s="15" t="s">
        <v>1721</v>
      </c>
      <c r="G132" s="15" t="s">
        <v>1722</v>
      </c>
      <c r="H132" s="15" t="s">
        <v>1723</v>
      </c>
    </row>
    <row r="133" spans="1:9">
      <c r="A133" s="29" t="s">
        <v>174</v>
      </c>
      <c r="I133" s="17"/>
    </row>
    <row r="134" spans="1:9">
      <c r="A134" s="4" t="s">
        <v>174</v>
      </c>
      <c r="B134" s="38">
        <f>B$53/IF(B$81="kVA",IF(F$53,F$53,1),IF(B$81="MPAN",IF(E$53,E$53,1),IF(H$53,H$53,1)))</f>
        <v>0</v>
      </c>
      <c r="C134" s="38">
        <f>C$53/IF(B$81="kVA",IF(F$53,F$53,1),IF(B$81="MPAN",IF(E$53,E$53,1),IF(H$53,H$53,1)))</f>
        <v>0</v>
      </c>
      <c r="D134" s="38">
        <f>D$53/IF(B$81="kVA",IF(F$53,F$53,1),IF(B$81="MPAN",IF(E$53,E$53,1),IF(H$53,H$53,1)))</f>
        <v>0</v>
      </c>
      <c r="E134" s="38">
        <f>E$53/IF(B$81="kVA",IF(F$53,F$53,1),IF(B$81="MPAN",IF(E$53,E$53,1),IF(H$53,H$53,1)))</f>
        <v>0</v>
      </c>
      <c r="F134" s="38">
        <f>F$53/IF(B$81="kVA",IF(F$53,F$53,1),IF(B$81="MPAN",IF(E$53,E$53,1),IF(H$53,H$53,1)))</f>
        <v>0</v>
      </c>
      <c r="G134" s="38">
        <f>G$53/IF(B$81="kVA",IF(F$53,F$53,1),IF(B$81="MPAN",IF(E$53,E$53,1),IF(H$53,H$53,1)))</f>
        <v>0</v>
      </c>
      <c r="H134" s="46">
        <f>0.01*'Input'!F$58*('Adjust'!$E$211*E134+'Adjust'!$F$211*F134)+10*('Adjust'!$B$211*B134+'Adjust'!$C$211*C134+'Adjust'!$D$211*D134+'Adjust'!$G$211*G134)</f>
        <v>0</v>
      </c>
      <c r="I134" s="17"/>
    </row>
    <row r="135" spans="1:9">
      <c r="A135" s="4" t="s">
        <v>229</v>
      </c>
      <c r="B135" s="38">
        <f>B$53/IF(B$81="kVA",IF(F$53,F$53,1),IF(B$81="MPAN",IF(E$53,E$53,1),IF(H$53,H$53,1)))</f>
        <v>0</v>
      </c>
      <c r="C135" s="38">
        <f>C$53/IF(B$81="kVA",IF(F$53,F$53,1),IF(B$81="MPAN",IF(E$53,E$53,1),IF(H$53,H$53,1)))</f>
        <v>0</v>
      </c>
      <c r="D135" s="38">
        <f>D$53/IF(B$81="kVA",IF(F$53,F$53,1),IF(B$81="MPAN",IF(E$53,E$53,1),IF(H$53,H$53,1)))</f>
        <v>0</v>
      </c>
      <c r="E135" s="38">
        <f>E$53/IF(B$81="kVA",IF(F$53,F$53,1),IF(B$81="MPAN",IF(E$53,E$53,1),IF(H$53,H$53,1)))</f>
        <v>0</v>
      </c>
      <c r="F135" s="38">
        <f>F$53/IF(B$81="kVA",IF(F$53,F$53,1),IF(B$81="MPAN",IF(E$53,E$53,1),IF(H$53,H$53,1)))</f>
        <v>0</v>
      </c>
      <c r="G135" s="38">
        <f>G$53/IF(B$81="kVA",IF(F$53,F$53,1),IF(B$81="MPAN",IF(E$53,E$53,1),IF(H$53,H$53,1)))</f>
        <v>0</v>
      </c>
      <c r="H135" s="46">
        <f>0.01*'Input'!F$58*('Adjust'!$E$212*E135+'Adjust'!$F$212*F135)+10*('Adjust'!$B$212*B135+'Adjust'!$C$212*C135+'Adjust'!$D$212*D135+'Adjust'!$G$212*G135)</f>
        <v>0</v>
      </c>
      <c r="I135" s="17"/>
    </row>
    <row r="136" spans="1:9">
      <c r="A136" s="4" t="s">
        <v>230</v>
      </c>
      <c r="B136" s="38">
        <f>B$53/IF(B$81="kVA",IF(F$53,F$53,1),IF(B$81="MPAN",IF(E$53,E$53,1),IF(H$53,H$53,1)))</f>
        <v>0</v>
      </c>
      <c r="C136" s="38">
        <f>C$53/IF(B$81="kVA",IF(F$53,F$53,1),IF(B$81="MPAN",IF(E$53,E$53,1),IF(H$53,H$53,1)))</f>
        <v>0</v>
      </c>
      <c r="D136" s="38">
        <f>D$53/IF(B$81="kVA",IF(F$53,F$53,1),IF(B$81="MPAN",IF(E$53,E$53,1),IF(H$53,H$53,1)))</f>
        <v>0</v>
      </c>
      <c r="E136" s="38">
        <f>E$53/IF(B$81="kVA",IF(F$53,F$53,1),IF(B$81="MPAN",IF(E$53,E$53,1),IF(H$53,H$53,1)))</f>
        <v>0</v>
      </c>
      <c r="F136" s="38">
        <f>F$53/IF(B$81="kVA",IF(F$53,F$53,1),IF(B$81="MPAN",IF(E$53,E$53,1),IF(H$53,H$53,1)))</f>
        <v>0</v>
      </c>
      <c r="G136" s="38">
        <f>G$53/IF(B$81="kVA",IF(F$53,F$53,1),IF(B$81="MPAN",IF(E$53,E$53,1),IF(H$53,H$53,1)))</f>
        <v>0</v>
      </c>
      <c r="H136" s="46">
        <f>0.01*'Input'!F$58*('Adjust'!$E$213*E136+'Adjust'!$F$213*F136)+10*('Adjust'!$B$213*B136+'Adjust'!$C$213*C136+'Adjust'!$D$213*D136+'Adjust'!$G$213*G136)</f>
        <v>0</v>
      </c>
      <c r="I136" s="17"/>
    </row>
    <row r="137" spans="1:9">
      <c r="A137" s="29" t="s">
        <v>175</v>
      </c>
      <c r="I137" s="17"/>
    </row>
    <row r="138" spans="1:9">
      <c r="A138" s="4" t="s">
        <v>175</v>
      </c>
      <c r="B138" s="38">
        <f>B$54/IF(B$82="kVA",IF(F$54,F$54,1),IF(B$82="MPAN",IF(E$54,E$54,1),IF(H$54,H$54,1)))</f>
        <v>0</v>
      </c>
      <c r="C138" s="38">
        <f>C$54/IF(B$82="kVA",IF(F$54,F$54,1),IF(B$82="MPAN",IF(E$54,E$54,1),IF(H$54,H$54,1)))</f>
        <v>0</v>
      </c>
      <c r="D138" s="38">
        <f>D$54/IF(B$82="kVA",IF(F$54,F$54,1),IF(B$82="MPAN",IF(E$54,E$54,1),IF(H$54,H$54,1)))</f>
        <v>0</v>
      </c>
      <c r="E138" s="38">
        <f>E$54/IF(B$82="kVA",IF(F$54,F$54,1),IF(B$82="MPAN",IF(E$54,E$54,1),IF(H$54,H$54,1)))</f>
        <v>0</v>
      </c>
      <c r="F138" s="38">
        <f>F$54/IF(B$82="kVA",IF(F$54,F$54,1),IF(B$82="MPAN",IF(E$54,E$54,1),IF(H$54,H$54,1)))</f>
        <v>0</v>
      </c>
      <c r="G138" s="38">
        <f>G$54/IF(B$82="kVA",IF(F$54,F$54,1),IF(B$82="MPAN",IF(E$54,E$54,1),IF(H$54,H$54,1)))</f>
        <v>0</v>
      </c>
      <c r="H138" s="46">
        <f>0.01*'Input'!F$58*('Adjust'!$E$215*E138+'Adjust'!$F$215*F138)+10*('Adjust'!$B$215*B138+'Adjust'!$C$215*C138+'Adjust'!$D$215*D138+'Adjust'!$G$215*G138)</f>
        <v>0</v>
      </c>
      <c r="I138" s="17"/>
    </row>
    <row r="139" spans="1:9">
      <c r="A139" s="4" t="s">
        <v>232</v>
      </c>
      <c r="B139" s="38">
        <f>B$54/IF(B$82="kVA",IF(F$54,F$54,1),IF(B$82="MPAN",IF(E$54,E$54,1),IF(H$54,H$54,1)))</f>
        <v>0</v>
      </c>
      <c r="C139" s="38">
        <f>C$54/IF(B$82="kVA",IF(F$54,F$54,1),IF(B$82="MPAN",IF(E$54,E$54,1),IF(H$54,H$54,1)))</f>
        <v>0</v>
      </c>
      <c r="D139" s="38">
        <f>D$54/IF(B$82="kVA",IF(F$54,F$54,1),IF(B$82="MPAN",IF(E$54,E$54,1),IF(H$54,H$54,1)))</f>
        <v>0</v>
      </c>
      <c r="E139" s="38">
        <f>E$54/IF(B$82="kVA",IF(F$54,F$54,1),IF(B$82="MPAN",IF(E$54,E$54,1),IF(H$54,H$54,1)))</f>
        <v>0</v>
      </c>
      <c r="F139" s="38">
        <f>F$54/IF(B$82="kVA",IF(F$54,F$54,1),IF(B$82="MPAN",IF(E$54,E$54,1),IF(H$54,H$54,1)))</f>
        <v>0</v>
      </c>
      <c r="G139" s="38">
        <f>G$54/IF(B$82="kVA",IF(F$54,F$54,1),IF(B$82="MPAN",IF(E$54,E$54,1),IF(H$54,H$54,1)))</f>
        <v>0</v>
      </c>
      <c r="H139" s="46">
        <f>0.01*'Input'!F$58*('Adjust'!$E$216*E139+'Adjust'!$F$216*F139)+10*('Adjust'!$B$216*B139+'Adjust'!$C$216*C139+'Adjust'!$D$216*D139+'Adjust'!$G$216*G139)</f>
        <v>0</v>
      </c>
      <c r="I139" s="17"/>
    </row>
    <row r="140" spans="1:9">
      <c r="A140" s="4" t="s">
        <v>233</v>
      </c>
      <c r="B140" s="38">
        <f>B$54/IF(B$82="kVA",IF(F$54,F$54,1),IF(B$82="MPAN",IF(E$54,E$54,1),IF(H$54,H$54,1)))</f>
        <v>0</v>
      </c>
      <c r="C140" s="38">
        <f>C$54/IF(B$82="kVA",IF(F$54,F$54,1),IF(B$82="MPAN",IF(E$54,E$54,1),IF(H$54,H$54,1)))</f>
        <v>0</v>
      </c>
      <c r="D140" s="38">
        <f>D$54/IF(B$82="kVA",IF(F$54,F$54,1),IF(B$82="MPAN",IF(E$54,E$54,1),IF(H$54,H$54,1)))</f>
        <v>0</v>
      </c>
      <c r="E140" s="38">
        <f>E$54/IF(B$82="kVA",IF(F$54,F$54,1),IF(B$82="MPAN",IF(E$54,E$54,1),IF(H$54,H$54,1)))</f>
        <v>0</v>
      </c>
      <c r="F140" s="38">
        <f>F$54/IF(B$82="kVA",IF(F$54,F$54,1),IF(B$82="MPAN",IF(E$54,E$54,1),IF(H$54,H$54,1)))</f>
        <v>0</v>
      </c>
      <c r="G140" s="38">
        <f>G$54/IF(B$82="kVA",IF(F$54,F$54,1),IF(B$82="MPAN",IF(E$54,E$54,1),IF(H$54,H$54,1)))</f>
        <v>0</v>
      </c>
      <c r="H140" s="46">
        <f>0.01*'Input'!F$58*('Adjust'!$E$217*E140+'Adjust'!$F$217*F140)+10*('Adjust'!$B$217*B140+'Adjust'!$C$217*C140+'Adjust'!$D$217*D140+'Adjust'!$G$217*G140)</f>
        <v>0</v>
      </c>
      <c r="I140" s="17"/>
    </row>
    <row r="141" spans="1:9">
      <c r="A141" s="29" t="s">
        <v>211</v>
      </c>
      <c r="I141" s="17"/>
    </row>
    <row r="142" spans="1:9">
      <c r="A142" s="4" t="s">
        <v>211</v>
      </c>
      <c r="B142" s="38">
        <f>B$55/IF(B$83="kVA",IF(F$55,F$55,1),IF(B$83="MPAN",IF(E$55,E$55,1),IF(H$55,H$55,1)))</f>
        <v>0</v>
      </c>
      <c r="C142" s="38">
        <f>C$55/IF(B$83="kVA",IF(F$55,F$55,1),IF(B$83="MPAN",IF(E$55,E$55,1),IF(H$55,H$55,1)))</f>
        <v>0</v>
      </c>
      <c r="D142" s="38">
        <f>D$55/IF(B$83="kVA",IF(F$55,F$55,1),IF(B$83="MPAN",IF(E$55,E$55,1),IF(H$55,H$55,1)))</f>
        <v>0</v>
      </c>
      <c r="E142" s="38">
        <f>E$55/IF(B$83="kVA",IF(F$55,F$55,1),IF(B$83="MPAN",IF(E$55,E$55,1),IF(H$55,H$55,1)))</f>
        <v>0</v>
      </c>
      <c r="F142" s="38">
        <f>F$55/IF(B$83="kVA",IF(F$55,F$55,1),IF(B$83="MPAN",IF(E$55,E$55,1),IF(H$55,H$55,1)))</f>
        <v>0</v>
      </c>
      <c r="G142" s="38">
        <f>G$55/IF(B$83="kVA",IF(F$55,F$55,1),IF(B$83="MPAN",IF(E$55,E$55,1),IF(H$55,H$55,1)))</f>
        <v>0</v>
      </c>
      <c r="H142" s="46">
        <f>0.01*'Input'!F$58*('Adjust'!$E$219*E142+'Adjust'!$F$219*F142)+10*('Adjust'!$B$219*B142+'Adjust'!$C$219*C142+'Adjust'!$D$219*D142+'Adjust'!$G$219*G142)</f>
        <v>0</v>
      </c>
      <c r="I142" s="17"/>
    </row>
    <row r="143" spans="1:9">
      <c r="A143" s="4" t="s">
        <v>235</v>
      </c>
      <c r="B143" s="38">
        <f>B$55/IF(B$83="kVA",IF(F$55,F$55,1),IF(B$83="MPAN",IF(E$55,E$55,1),IF(H$55,H$55,1)))</f>
        <v>0</v>
      </c>
      <c r="C143" s="38">
        <f>C$55/IF(B$83="kVA",IF(F$55,F$55,1),IF(B$83="MPAN",IF(E$55,E$55,1),IF(H$55,H$55,1)))</f>
        <v>0</v>
      </c>
      <c r="D143" s="38">
        <f>D$55/IF(B$83="kVA",IF(F$55,F$55,1),IF(B$83="MPAN",IF(E$55,E$55,1),IF(H$55,H$55,1)))</f>
        <v>0</v>
      </c>
      <c r="E143" s="38">
        <f>E$55/IF(B$83="kVA",IF(F$55,F$55,1),IF(B$83="MPAN",IF(E$55,E$55,1),IF(H$55,H$55,1)))</f>
        <v>0</v>
      </c>
      <c r="F143" s="38">
        <f>F$55/IF(B$83="kVA",IF(F$55,F$55,1),IF(B$83="MPAN",IF(E$55,E$55,1),IF(H$55,H$55,1)))</f>
        <v>0</v>
      </c>
      <c r="G143" s="38">
        <f>G$55/IF(B$83="kVA",IF(F$55,F$55,1),IF(B$83="MPAN",IF(E$55,E$55,1),IF(H$55,H$55,1)))</f>
        <v>0</v>
      </c>
      <c r="H143" s="46">
        <f>0.01*'Input'!F$58*('Adjust'!$E$220*E143+'Adjust'!$F$220*F143)+10*('Adjust'!$B$220*B143+'Adjust'!$C$220*C143+'Adjust'!$D$220*D143+'Adjust'!$G$220*G143)</f>
        <v>0</v>
      </c>
      <c r="I143" s="17"/>
    </row>
    <row r="144" spans="1:9">
      <c r="A144" s="4" t="s">
        <v>236</v>
      </c>
      <c r="B144" s="38">
        <f>B$55/IF(B$83="kVA",IF(F$55,F$55,1),IF(B$83="MPAN",IF(E$55,E$55,1),IF(H$55,H$55,1)))</f>
        <v>0</v>
      </c>
      <c r="C144" s="38">
        <f>C$55/IF(B$83="kVA",IF(F$55,F$55,1),IF(B$83="MPAN",IF(E$55,E$55,1),IF(H$55,H$55,1)))</f>
        <v>0</v>
      </c>
      <c r="D144" s="38">
        <f>D$55/IF(B$83="kVA",IF(F$55,F$55,1),IF(B$83="MPAN",IF(E$55,E$55,1),IF(H$55,H$55,1)))</f>
        <v>0</v>
      </c>
      <c r="E144" s="38">
        <f>E$55/IF(B$83="kVA",IF(F$55,F$55,1),IF(B$83="MPAN",IF(E$55,E$55,1),IF(H$55,H$55,1)))</f>
        <v>0</v>
      </c>
      <c r="F144" s="38">
        <f>F$55/IF(B$83="kVA",IF(F$55,F$55,1),IF(B$83="MPAN",IF(E$55,E$55,1),IF(H$55,H$55,1)))</f>
        <v>0</v>
      </c>
      <c r="G144" s="38">
        <f>G$55/IF(B$83="kVA",IF(F$55,F$55,1),IF(B$83="MPAN",IF(E$55,E$55,1),IF(H$55,H$55,1)))</f>
        <v>0</v>
      </c>
      <c r="H144" s="46">
        <f>0.01*'Input'!F$58*('Adjust'!$E$221*E144+'Adjust'!$F$221*F144)+10*('Adjust'!$B$221*B144+'Adjust'!$C$221*C144+'Adjust'!$D$221*D144+'Adjust'!$G$221*G144)</f>
        <v>0</v>
      </c>
      <c r="I144" s="17"/>
    </row>
    <row r="145" spans="1:9">
      <c r="A145" s="29" t="s">
        <v>176</v>
      </c>
      <c r="I145" s="17"/>
    </row>
    <row r="146" spans="1:9">
      <c r="A146" s="4" t="s">
        <v>176</v>
      </c>
      <c r="B146" s="38">
        <f>B$56/IF(B$84="kVA",IF(F$56,F$56,1),IF(B$84="MPAN",IF(E$56,E$56,1),IF(H$56,H$56,1)))</f>
        <v>0</v>
      </c>
      <c r="C146" s="38">
        <f>C$56/IF(B$84="kVA",IF(F$56,F$56,1),IF(B$84="MPAN",IF(E$56,E$56,1),IF(H$56,H$56,1)))</f>
        <v>0</v>
      </c>
      <c r="D146" s="38">
        <f>D$56/IF(B$84="kVA",IF(F$56,F$56,1),IF(B$84="MPAN",IF(E$56,E$56,1),IF(H$56,H$56,1)))</f>
        <v>0</v>
      </c>
      <c r="E146" s="38">
        <f>E$56/IF(B$84="kVA",IF(F$56,F$56,1),IF(B$84="MPAN",IF(E$56,E$56,1),IF(H$56,H$56,1)))</f>
        <v>0</v>
      </c>
      <c r="F146" s="38">
        <f>F$56/IF(B$84="kVA",IF(F$56,F$56,1),IF(B$84="MPAN",IF(E$56,E$56,1),IF(H$56,H$56,1)))</f>
        <v>0</v>
      </c>
      <c r="G146" s="38">
        <f>G$56/IF(B$84="kVA",IF(F$56,F$56,1),IF(B$84="MPAN",IF(E$56,E$56,1),IF(H$56,H$56,1)))</f>
        <v>0</v>
      </c>
      <c r="H146" s="46">
        <f>0.01*'Input'!F$58*('Adjust'!$E$223*E146+'Adjust'!$F$223*F146)+10*('Adjust'!$B$223*B146+'Adjust'!$C$223*C146+'Adjust'!$D$223*D146+'Adjust'!$G$223*G146)</f>
        <v>0</v>
      </c>
      <c r="I146" s="17"/>
    </row>
    <row r="147" spans="1:9">
      <c r="A147" s="4" t="s">
        <v>238</v>
      </c>
      <c r="B147" s="38">
        <f>B$56/IF(B$84="kVA",IF(F$56,F$56,1),IF(B$84="MPAN",IF(E$56,E$56,1),IF(H$56,H$56,1)))</f>
        <v>0</v>
      </c>
      <c r="C147" s="38">
        <f>C$56/IF(B$84="kVA",IF(F$56,F$56,1),IF(B$84="MPAN",IF(E$56,E$56,1),IF(H$56,H$56,1)))</f>
        <v>0</v>
      </c>
      <c r="D147" s="38">
        <f>D$56/IF(B$84="kVA",IF(F$56,F$56,1),IF(B$84="MPAN",IF(E$56,E$56,1),IF(H$56,H$56,1)))</f>
        <v>0</v>
      </c>
      <c r="E147" s="38">
        <f>E$56/IF(B$84="kVA",IF(F$56,F$56,1),IF(B$84="MPAN",IF(E$56,E$56,1),IF(H$56,H$56,1)))</f>
        <v>0</v>
      </c>
      <c r="F147" s="38">
        <f>F$56/IF(B$84="kVA",IF(F$56,F$56,1),IF(B$84="MPAN",IF(E$56,E$56,1),IF(H$56,H$56,1)))</f>
        <v>0</v>
      </c>
      <c r="G147" s="38">
        <f>G$56/IF(B$84="kVA",IF(F$56,F$56,1),IF(B$84="MPAN",IF(E$56,E$56,1),IF(H$56,H$56,1)))</f>
        <v>0</v>
      </c>
      <c r="H147" s="46">
        <f>0.01*'Input'!F$58*('Adjust'!$E$224*E147+'Adjust'!$F$224*F147)+10*('Adjust'!$B$224*B147+'Adjust'!$C$224*C147+'Adjust'!$D$224*D147+'Adjust'!$G$224*G147)</f>
        <v>0</v>
      </c>
      <c r="I147" s="17"/>
    </row>
    <row r="148" spans="1:9">
      <c r="A148" s="4" t="s">
        <v>239</v>
      </c>
      <c r="B148" s="38">
        <f>B$56/IF(B$84="kVA",IF(F$56,F$56,1),IF(B$84="MPAN",IF(E$56,E$56,1),IF(H$56,H$56,1)))</f>
        <v>0</v>
      </c>
      <c r="C148" s="38">
        <f>C$56/IF(B$84="kVA",IF(F$56,F$56,1),IF(B$84="MPAN",IF(E$56,E$56,1),IF(H$56,H$56,1)))</f>
        <v>0</v>
      </c>
      <c r="D148" s="38">
        <f>D$56/IF(B$84="kVA",IF(F$56,F$56,1),IF(B$84="MPAN",IF(E$56,E$56,1),IF(H$56,H$56,1)))</f>
        <v>0</v>
      </c>
      <c r="E148" s="38">
        <f>E$56/IF(B$84="kVA",IF(F$56,F$56,1),IF(B$84="MPAN",IF(E$56,E$56,1),IF(H$56,H$56,1)))</f>
        <v>0</v>
      </c>
      <c r="F148" s="38">
        <f>F$56/IF(B$84="kVA",IF(F$56,F$56,1),IF(B$84="MPAN",IF(E$56,E$56,1),IF(H$56,H$56,1)))</f>
        <v>0</v>
      </c>
      <c r="G148" s="38">
        <f>G$56/IF(B$84="kVA",IF(F$56,F$56,1),IF(B$84="MPAN",IF(E$56,E$56,1),IF(H$56,H$56,1)))</f>
        <v>0</v>
      </c>
      <c r="H148" s="46">
        <f>0.01*'Input'!F$58*('Adjust'!$E$225*E148+'Adjust'!$F$225*F148)+10*('Adjust'!$B$225*B148+'Adjust'!$C$225*C148+'Adjust'!$D$225*D148+'Adjust'!$G$225*G148)</f>
        <v>0</v>
      </c>
      <c r="I148" s="17"/>
    </row>
    <row r="149" spans="1:9">
      <c r="A149" s="29" t="s">
        <v>177</v>
      </c>
      <c r="I149" s="17"/>
    </row>
    <row r="150" spans="1:9">
      <c r="A150" s="4" t="s">
        <v>177</v>
      </c>
      <c r="B150" s="38">
        <f>B$57/IF(B$85="kVA",IF(F$57,F$57,1),IF(B$85="MPAN",IF(E$57,E$57,1),IF(H$57,H$57,1)))</f>
        <v>0</v>
      </c>
      <c r="C150" s="38">
        <f>C$57/IF(B$85="kVA",IF(F$57,F$57,1),IF(B$85="MPAN",IF(E$57,E$57,1),IF(H$57,H$57,1)))</f>
        <v>0</v>
      </c>
      <c r="D150" s="38">
        <f>D$57/IF(B$85="kVA",IF(F$57,F$57,1),IF(B$85="MPAN",IF(E$57,E$57,1),IF(H$57,H$57,1)))</f>
        <v>0</v>
      </c>
      <c r="E150" s="38">
        <f>E$57/IF(B$85="kVA",IF(F$57,F$57,1),IF(B$85="MPAN",IF(E$57,E$57,1),IF(H$57,H$57,1)))</f>
        <v>0</v>
      </c>
      <c r="F150" s="38">
        <f>F$57/IF(B$85="kVA",IF(F$57,F$57,1),IF(B$85="MPAN",IF(E$57,E$57,1),IF(H$57,H$57,1)))</f>
        <v>0</v>
      </c>
      <c r="G150" s="38">
        <f>G$57/IF(B$85="kVA",IF(F$57,F$57,1),IF(B$85="MPAN",IF(E$57,E$57,1),IF(H$57,H$57,1)))</f>
        <v>0</v>
      </c>
      <c r="H150" s="46">
        <f>0.01*'Input'!F$58*('Adjust'!$E$227*E150+'Adjust'!$F$227*F150)+10*('Adjust'!$B$227*B150+'Adjust'!$C$227*C150+'Adjust'!$D$227*D150+'Adjust'!$G$227*G150)</f>
        <v>0</v>
      </c>
      <c r="I150" s="17"/>
    </row>
    <row r="151" spans="1:9">
      <c r="A151" s="4" t="s">
        <v>241</v>
      </c>
      <c r="B151" s="38">
        <f>B$57/IF(B$85="kVA",IF(F$57,F$57,1),IF(B$85="MPAN",IF(E$57,E$57,1),IF(H$57,H$57,1)))</f>
        <v>0</v>
      </c>
      <c r="C151" s="38">
        <f>C$57/IF(B$85="kVA",IF(F$57,F$57,1),IF(B$85="MPAN",IF(E$57,E$57,1),IF(H$57,H$57,1)))</f>
        <v>0</v>
      </c>
      <c r="D151" s="38">
        <f>D$57/IF(B$85="kVA",IF(F$57,F$57,1),IF(B$85="MPAN",IF(E$57,E$57,1),IF(H$57,H$57,1)))</f>
        <v>0</v>
      </c>
      <c r="E151" s="38">
        <f>E$57/IF(B$85="kVA",IF(F$57,F$57,1),IF(B$85="MPAN",IF(E$57,E$57,1),IF(H$57,H$57,1)))</f>
        <v>0</v>
      </c>
      <c r="F151" s="38">
        <f>F$57/IF(B$85="kVA",IF(F$57,F$57,1),IF(B$85="MPAN",IF(E$57,E$57,1),IF(H$57,H$57,1)))</f>
        <v>0</v>
      </c>
      <c r="G151" s="38">
        <f>G$57/IF(B$85="kVA",IF(F$57,F$57,1),IF(B$85="MPAN",IF(E$57,E$57,1),IF(H$57,H$57,1)))</f>
        <v>0</v>
      </c>
      <c r="H151" s="46">
        <f>0.01*'Input'!F$58*('Adjust'!$E$228*E151+'Adjust'!$F$228*F151)+10*('Adjust'!$B$228*B151+'Adjust'!$C$228*C151+'Adjust'!$D$228*D151+'Adjust'!$G$228*G151)</f>
        <v>0</v>
      </c>
      <c r="I151" s="17"/>
    </row>
    <row r="152" spans="1:9">
      <c r="A152" s="4" t="s">
        <v>242</v>
      </c>
      <c r="B152" s="38">
        <f>B$57/IF(B$85="kVA",IF(F$57,F$57,1),IF(B$85="MPAN",IF(E$57,E$57,1),IF(H$57,H$57,1)))</f>
        <v>0</v>
      </c>
      <c r="C152" s="38">
        <f>C$57/IF(B$85="kVA",IF(F$57,F$57,1),IF(B$85="MPAN",IF(E$57,E$57,1),IF(H$57,H$57,1)))</f>
        <v>0</v>
      </c>
      <c r="D152" s="38">
        <f>D$57/IF(B$85="kVA",IF(F$57,F$57,1),IF(B$85="MPAN",IF(E$57,E$57,1),IF(H$57,H$57,1)))</f>
        <v>0</v>
      </c>
      <c r="E152" s="38">
        <f>E$57/IF(B$85="kVA",IF(F$57,F$57,1),IF(B$85="MPAN",IF(E$57,E$57,1),IF(H$57,H$57,1)))</f>
        <v>0</v>
      </c>
      <c r="F152" s="38">
        <f>F$57/IF(B$85="kVA",IF(F$57,F$57,1),IF(B$85="MPAN",IF(E$57,E$57,1),IF(H$57,H$57,1)))</f>
        <v>0</v>
      </c>
      <c r="G152" s="38">
        <f>G$57/IF(B$85="kVA",IF(F$57,F$57,1),IF(B$85="MPAN",IF(E$57,E$57,1),IF(H$57,H$57,1)))</f>
        <v>0</v>
      </c>
      <c r="H152" s="46">
        <f>0.01*'Input'!F$58*('Adjust'!$E$229*E152+'Adjust'!$F$229*F152)+10*('Adjust'!$B$229*B152+'Adjust'!$C$229*C152+'Adjust'!$D$229*D152+'Adjust'!$G$229*G152)</f>
        <v>0</v>
      </c>
      <c r="I152" s="17"/>
    </row>
    <row r="153" spans="1:9">
      <c r="A153" s="29" t="s">
        <v>212</v>
      </c>
      <c r="I153" s="17"/>
    </row>
    <row r="154" spans="1:9">
      <c r="A154" s="4" t="s">
        <v>212</v>
      </c>
      <c r="B154" s="38">
        <f>B$58/IF(B$86="kVA",IF(F$58,F$58,1),IF(B$86="MPAN",IF(E$58,E$58,1),IF(H$58,H$58,1)))</f>
        <v>0</v>
      </c>
      <c r="C154" s="38">
        <f>C$58/IF(B$86="kVA",IF(F$58,F$58,1),IF(B$86="MPAN",IF(E$58,E$58,1),IF(H$58,H$58,1)))</f>
        <v>0</v>
      </c>
      <c r="D154" s="38">
        <f>D$58/IF(B$86="kVA",IF(F$58,F$58,1),IF(B$86="MPAN",IF(E$58,E$58,1),IF(H$58,H$58,1)))</f>
        <v>0</v>
      </c>
      <c r="E154" s="38">
        <f>E$58/IF(B$86="kVA",IF(F$58,F$58,1),IF(B$86="MPAN",IF(E$58,E$58,1),IF(H$58,H$58,1)))</f>
        <v>0</v>
      </c>
      <c r="F154" s="38">
        <f>F$58/IF(B$86="kVA",IF(F$58,F$58,1),IF(B$86="MPAN",IF(E$58,E$58,1),IF(H$58,H$58,1)))</f>
        <v>0</v>
      </c>
      <c r="G154" s="38">
        <f>G$58/IF(B$86="kVA",IF(F$58,F$58,1),IF(B$86="MPAN",IF(E$58,E$58,1),IF(H$58,H$58,1)))</f>
        <v>0</v>
      </c>
      <c r="H154" s="46">
        <f>0.01*'Input'!F$58*('Adjust'!$E$231*E154+'Adjust'!$F$231*F154)+10*('Adjust'!$B$231*B154+'Adjust'!$C$231*C154+'Adjust'!$D$231*D154+'Adjust'!$G$231*G154)</f>
        <v>0</v>
      </c>
      <c r="I154" s="17"/>
    </row>
    <row r="155" spans="1:9">
      <c r="A155" s="4" t="s">
        <v>244</v>
      </c>
      <c r="B155" s="38">
        <f>B$58/IF(B$86="kVA",IF(F$58,F$58,1),IF(B$86="MPAN",IF(E$58,E$58,1),IF(H$58,H$58,1)))</f>
        <v>0</v>
      </c>
      <c r="C155" s="38">
        <f>C$58/IF(B$86="kVA",IF(F$58,F$58,1),IF(B$86="MPAN",IF(E$58,E$58,1),IF(H$58,H$58,1)))</f>
        <v>0</v>
      </c>
      <c r="D155" s="38">
        <f>D$58/IF(B$86="kVA",IF(F$58,F$58,1),IF(B$86="MPAN",IF(E$58,E$58,1),IF(H$58,H$58,1)))</f>
        <v>0</v>
      </c>
      <c r="E155" s="38">
        <f>E$58/IF(B$86="kVA",IF(F$58,F$58,1),IF(B$86="MPAN",IF(E$58,E$58,1),IF(H$58,H$58,1)))</f>
        <v>0</v>
      </c>
      <c r="F155" s="38">
        <f>F$58/IF(B$86="kVA",IF(F$58,F$58,1),IF(B$86="MPAN",IF(E$58,E$58,1),IF(H$58,H$58,1)))</f>
        <v>0</v>
      </c>
      <c r="G155" s="38">
        <f>G$58/IF(B$86="kVA",IF(F$58,F$58,1),IF(B$86="MPAN",IF(E$58,E$58,1),IF(H$58,H$58,1)))</f>
        <v>0</v>
      </c>
      <c r="H155" s="46">
        <f>0.01*'Input'!F$58*('Adjust'!$E$232*E155+'Adjust'!$F$232*F155)+10*('Adjust'!$B$232*B155+'Adjust'!$C$232*C155+'Adjust'!$D$232*D155+'Adjust'!$G$232*G155)</f>
        <v>0</v>
      </c>
      <c r="I155" s="17"/>
    </row>
    <row r="156" spans="1:9">
      <c r="A156" s="4" t="s">
        <v>245</v>
      </c>
      <c r="B156" s="38">
        <f>B$58/IF(B$86="kVA",IF(F$58,F$58,1),IF(B$86="MPAN",IF(E$58,E$58,1),IF(H$58,H$58,1)))</f>
        <v>0</v>
      </c>
      <c r="C156" s="38">
        <f>C$58/IF(B$86="kVA",IF(F$58,F$58,1),IF(B$86="MPAN",IF(E$58,E$58,1),IF(H$58,H$58,1)))</f>
        <v>0</v>
      </c>
      <c r="D156" s="38">
        <f>D$58/IF(B$86="kVA",IF(F$58,F$58,1),IF(B$86="MPAN",IF(E$58,E$58,1),IF(H$58,H$58,1)))</f>
        <v>0</v>
      </c>
      <c r="E156" s="38">
        <f>E$58/IF(B$86="kVA",IF(F$58,F$58,1),IF(B$86="MPAN",IF(E$58,E$58,1),IF(H$58,H$58,1)))</f>
        <v>0</v>
      </c>
      <c r="F156" s="38">
        <f>F$58/IF(B$86="kVA",IF(F$58,F$58,1),IF(B$86="MPAN",IF(E$58,E$58,1),IF(H$58,H$58,1)))</f>
        <v>0</v>
      </c>
      <c r="G156" s="38">
        <f>G$58/IF(B$86="kVA",IF(F$58,F$58,1),IF(B$86="MPAN",IF(E$58,E$58,1),IF(H$58,H$58,1)))</f>
        <v>0</v>
      </c>
      <c r="H156" s="46">
        <f>0.01*'Input'!F$58*('Adjust'!$E$233*E156+'Adjust'!$F$233*F156)+10*('Adjust'!$B$233*B156+'Adjust'!$C$233*C156+'Adjust'!$D$233*D156+'Adjust'!$G$233*G156)</f>
        <v>0</v>
      </c>
      <c r="I156" s="17"/>
    </row>
    <row r="157" spans="1:9">
      <c r="A157" s="29" t="s">
        <v>178</v>
      </c>
      <c r="I157" s="17"/>
    </row>
    <row r="158" spans="1:9">
      <c r="A158" s="4" t="s">
        <v>178</v>
      </c>
      <c r="B158" s="38">
        <f>B$59/IF(B$87="kVA",IF(F$59,F$59,1),IF(B$87="MPAN",IF(E$59,E$59,1),IF(H$59,H$59,1)))</f>
        <v>0</v>
      </c>
      <c r="C158" s="38">
        <f>C$59/IF(B$87="kVA",IF(F$59,F$59,1),IF(B$87="MPAN",IF(E$59,E$59,1),IF(H$59,H$59,1)))</f>
        <v>0</v>
      </c>
      <c r="D158" s="38">
        <f>D$59/IF(B$87="kVA",IF(F$59,F$59,1),IF(B$87="MPAN",IF(E$59,E$59,1),IF(H$59,H$59,1)))</f>
        <v>0</v>
      </c>
      <c r="E158" s="38">
        <f>E$59/IF(B$87="kVA",IF(F$59,F$59,1),IF(B$87="MPAN",IF(E$59,E$59,1),IF(H$59,H$59,1)))</f>
        <v>0</v>
      </c>
      <c r="F158" s="38">
        <f>F$59/IF(B$87="kVA",IF(F$59,F$59,1),IF(B$87="MPAN",IF(E$59,E$59,1),IF(H$59,H$59,1)))</f>
        <v>0</v>
      </c>
      <c r="G158" s="38">
        <f>G$59/IF(B$87="kVA",IF(F$59,F$59,1),IF(B$87="MPAN",IF(E$59,E$59,1),IF(H$59,H$59,1)))</f>
        <v>0</v>
      </c>
      <c r="H158" s="46">
        <f>0.01*'Input'!F$58*('Adjust'!$E$235*E158+'Adjust'!$F$235*F158)+10*('Adjust'!$B$235*B158+'Adjust'!$C$235*C158+'Adjust'!$D$235*D158+'Adjust'!$G$235*G158)</f>
        <v>0</v>
      </c>
      <c r="I158" s="17"/>
    </row>
    <row r="159" spans="1:9">
      <c r="A159" s="4" t="s">
        <v>247</v>
      </c>
      <c r="B159" s="38">
        <f>B$59/IF(B$87="kVA",IF(F$59,F$59,1),IF(B$87="MPAN",IF(E$59,E$59,1),IF(H$59,H$59,1)))</f>
        <v>0</v>
      </c>
      <c r="C159" s="38">
        <f>C$59/IF(B$87="kVA",IF(F$59,F$59,1),IF(B$87="MPAN",IF(E$59,E$59,1),IF(H$59,H$59,1)))</f>
        <v>0</v>
      </c>
      <c r="D159" s="38">
        <f>D$59/IF(B$87="kVA",IF(F$59,F$59,1),IF(B$87="MPAN",IF(E$59,E$59,1),IF(H$59,H$59,1)))</f>
        <v>0</v>
      </c>
      <c r="E159" s="38">
        <f>E$59/IF(B$87="kVA",IF(F$59,F$59,1),IF(B$87="MPAN",IF(E$59,E$59,1),IF(H$59,H$59,1)))</f>
        <v>0</v>
      </c>
      <c r="F159" s="38">
        <f>F$59/IF(B$87="kVA",IF(F$59,F$59,1),IF(B$87="MPAN",IF(E$59,E$59,1),IF(H$59,H$59,1)))</f>
        <v>0</v>
      </c>
      <c r="G159" s="38">
        <f>G$59/IF(B$87="kVA",IF(F$59,F$59,1),IF(B$87="MPAN",IF(E$59,E$59,1),IF(H$59,H$59,1)))</f>
        <v>0</v>
      </c>
      <c r="H159" s="46">
        <f>0.01*'Input'!F$58*('Adjust'!$E$236*E159+'Adjust'!$F$236*F159)+10*('Adjust'!$B$236*B159+'Adjust'!$C$236*C159+'Adjust'!$D$236*D159+'Adjust'!$G$236*G159)</f>
        <v>0</v>
      </c>
      <c r="I159" s="17"/>
    </row>
    <row r="160" spans="1:9">
      <c r="A160" s="4" t="s">
        <v>248</v>
      </c>
      <c r="B160" s="38">
        <f>B$59/IF(B$87="kVA",IF(F$59,F$59,1),IF(B$87="MPAN",IF(E$59,E$59,1),IF(H$59,H$59,1)))</f>
        <v>0</v>
      </c>
      <c r="C160" s="38">
        <f>C$59/IF(B$87="kVA",IF(F$59,F$59,1),IF(B$87="MPAN",IF(E$59,E$59,1),IF(H$59,H$59,1)))</f>
        <v>0</v>
      </c>
      <c r="D160" s="38">
        <f>D$59/IF(B$87="kVA",IF(F$59,F$59,1),IF(B$87="MPAN",IF(E$59,E$59,1),IF(H$59,H$59,1)))</f>
        <v>0</v>
      </c>
      <c r="E160" s="38">
        <f>E$59/IF(B$87="kVA",IF(F$59,F$59,1),IF(B$87="MPAN",IF(E$59,E$59,1),IF(H$59,H$59,1)))</f>
        <v>0</v>
      </c>
      <c r="F160" s="38">
        <f>F$59/IF(B$87="kVA",IF(F$59,F$59,1),IF(B$87="MPAN",IF(E$59,E$59,1),IF(H$59,H$59,1)))</f>
        <v>0</v>
      </c>
      <c r="G160" s="38">
        <f>G$59/IF(B$87="kVA",IF(F$59,F$59,1),IF(B$87="MPAN",IF(E$59,E$59,1),IF(H$59,H$59,1)))</f>
        <v>0</v>
      </c>
      <c r="H160" s="46">
        <f>0.01*'Input'!F$58*('Adjust'!$E$237*E160+'Adjust'!$F$237*F160)+10*('Adjust'!$B$237*B160+'Adjust'!$C$237*C160+'Adjust'!$D$237*D160+'Adjust'!$G$237*G160)</f>
        <v>0</v>
      </c>
      <c r="I160" s="17"/>
    </row>
    <row r="161" spans="1:9">
      <c r="A161" s="29" t="s">
        <v>179</v>
      </c>
      <c r="I161" s="17"/>
    </row>
    <row r="162" spans="1:9">
      <c r="A162" s="4" t="s">
        <v>179</v>
      </c>
      <c r="B162" s="38">
        <f>B$60/IF(B$88="kVA",IF(F$60,F$60,1),IF(B$88="MPAN",IF(E$60,E$60,1),IF(H$60,H$60,1)))</f>
        <v>0</v>
      </c>
      <c r="C162" s="38">
        <f>C$60/IF(B$88="kVA",IF(F$60,F$60,1),IF(B$88="MPAN",IF(E$60,E$60,1),IF(H$60,H$60,1)))</f>
        <v>0</v>
      </c>
      <c r="D162" s="38">
        <f>D$60/IF(B$88="kVA",IF(F$60,F$60,1),IF(B$88="MPAN",IF(E$60,E$60,1),IF(H$60,H$60,1)))</f>
        <v>0</v>
      </c>
      <c r="E162" s="38">
        <f>E$60/IF(B$88="kVA",IF(F$60,F$60,1),IF(B$88="MPAN",IF(E$60,E$60,1),IF(H$60,H$60,1)))</f>
        <v>0</v>
      </c>
      <c r="F162" s="38">
        <f>F$60/IF(B$88="kVA",IF(F$60,F$60,1),IF(B$88="MPAN",IF(E$60,E$60,1),IF(H$60,H$60,1)))</f>
        <v>0</v>
      </c>
      <c r="G162" s="38">
        <f>G$60/IF(B$88="kVA",IF(F$60,F$60,1),IF(B$88="MPAN",IF(E$60,E$60,1),IF(H$60,H$60,1)))</f>
        <v>0</v>
      </c>
      <c r="H162" s="46">
        <f>0.01*'Input'!F$58*('Adjust'!$E$239*E162+'Adjust'!$F$239*F162)+10*('Adjust'!$B$239*B162+'Adjust'!$C$239*C162+'Adjust'!$D$239*D162+'Adjust'!$G$239*G162)</f>
        <v>0</v>
      </c>
      <c r="I162" s="17"/>
    </row>
    <row r="163" spans="1:9">
      <c r="A163" s="4" t="s">
        <v>250</v>
      </c>
      <c r="B163" s="38">
        <f>B$60/IF(B$88="kVA",IF(F$60,F$60,1),IF(B$88="MPAN",IF(E$60,E$60,1),IF(H$60,H$60,1)))</f>
        <v>0</v>
      </c>
      <c r="C163" s="38">
        <f>C$60/IF(B$88="kVA",IF(F$60,F$60,1),IF(B$88="MPAN",IF(E$60,E$60,1),IF(H$60,H$60,1)))</f>
        <v>0</v>
      </c>
      <c r="D163" s="38">
        <f>D$60/IF(B$88="kVA",IF(F$60,F$60,1),IF(B$88="MPAN",IF(E$60,E$60,1),IF(H$60,H$60,1)))</f>
        <v>0</v>
      </c>
      <c r="E163" s="38">
        <f>E$60/IF(B$88="kVA",IF(F$60,F$60,1),IF(B$88="MPAN",IF(E$60,E$60,1),IF(H$60,H$60,1)))</f>
        <v>0</v>
      </c>
      <c r="F163" s="38">
        <f>F$60/IF(B$88="kVA",IF(F$60,F$60,1),IF(B$88="MPAN",IF(E$60,E$60,1),IF(H$60,H$60,1)))</f>
        <v>0</v>
      </c>
      <c r="G163" s="38">
        <f>G$60/IF(B$88="kVA",IF(F$60,F$60,1),IF(B$88="MPAN",IF(E$60,E$60,1),IF(H$60,H$60,1)))</f>
        <v>0</v>
      </c>
      <c r="H163" s="46">
        <f>0.01*'Input'!F$58*('Adjust'!$E$240*E163+'Adjust'!$F$240*F163)+10*('Adjust'!$B$240*B163+'Adjust'!$C$240*C163+'Adjust'!$D$240*D163+'Adjust'!$G$240*G163)</f>
        <v>0</v>
      </c>
      <c r="I163" s="17"/>
    </row>
    <row r="164" spans="1:9">
      <c r="A164" s="4" t="s">
        <v>251</v>
      </c>
      <c r="B164" s="38">
        <f>B$60/IF(B$88="kVA",IF(F$60,F$60,1),IF(B$88="MPAN",IF(E$60,E$60,1),IF(H$60,H$60,1)))</f>
        <v>0</v>
      </c>
      <c r="C164" s="38">
        <f>C$60/IF(B$88="kVA",IF(F$60,F$60,1),IF(B$88="MPAN",IF(E$60,E$60,1),IF(H$60,H$60,1)))</f>
        <v>0</v>
      </c>
      <c r="D164" s="38">
        <f>D$60/IF(B$88="kVA",IF(F$60,F$60,1),IF(B$88="MPAN",IF(E$60,E$60,1),IF(H$60,H$60,1)))</f>
        <v>0</v>
      </c>
      <c r="E164" s="38">
        <f>E$60/IF(B$88="kVA",IF(F$60,F$60,1),IF(B$88="MPAN",IF(E$60,E$60,1),IF(H$60,H$60,1)))</f>
        <v>0</v>
      </c>
      <c r="F164" s="38">
        <f>F$60/IF(B$88="kVA",IF(F$60,F$60,1),IF(B$88="MPAN",IF(E$60,E$60,1),IF(H$60,H$60,1)))</f>
        <v>0</v>
      </c>
      <c r="G164" s="38">
        <f>G$60/IF(B$88="kVA",IF(F$60,F$60,1),IF(B$88="MPAN",IF(E$60,E$60,1),IF(H$60,H$60,1)))</f>
        <v>0</v>
      </c>
      <c r="H164" s="46">
        <f>0.01*'Input'!F$58*('Adjust'!$E$241*E164+'Adjust'!$F$241*F164)+10*('Adjust'!$B$241*B164+'Adjust'!$C$241*C164+'Adjust'!$D$241*D164+'Adjust'!$G$241*G164)</f>
        <v>0</v>
      </c>
      <c r="I164" s="17"/>
    </row>
    <row r="165" spans="1:9">
      <c r="A165" s="29" t="s">
        <v>180</v>
      </c>
      <c r="I165" s="17"/>
    </row>
    <row r="166" spans="1:9">
      <c r="A166" s="4" t="s">
        <v>180</v>
      </c>
      <c r="B166" s="38">
        <f>B$61/IF(B$89="kVA",IF(F$61,F$61,1),IF(B$89="MPAN",IF(E$61,E$61,1),IF(H$61,H$61,1)))</f>
        <v>0</v>
      </c>
      <c r="C166" s="38">
        <f>C$61/IF(B$89="kVA",IF(F$61,F$61,1),IF(B$89="MPAN",IF(E$61,E$61,1),IF(H$61,H$61,1)))</f>
        <v>0</v>
      </c>
      <c r="D166" s="38">
        <f>D$61/IF(B$89="kVA",IF(F$61,F$61,1),IF(B$89="MPAN",IF(E$61,E$61,1),IF(H$61,H$61,1)))</f>
        <v>0</v>
      </c>
      <c r="E166" s="38">
        <f>E$61/IF(B$89="kVA",IF(F$61,F$61,1),IF(B$89="MPAN",IF(E$61,E$61,1),IF(H$61,H$61,1)))</f>
        <v>0</v>
      </c>
      <c r="F166" s="38">
        <f>F$61/IF(B$89="kVA",IF(F$61,F$61,1),IF(B$89="MPAN",IF(E$61,E$61,1),IF(H$61,H$61,1)))</f>
        <v>0</v>
      </c>
      <c r="G166" s="38">
        <f>G$61/IF(B$89="kVA",IF(F$61,F$61,1),IF(B$89="MPAN",IF(E$61,E$61,1),IF(H$61,H$61,1)))</f>
        <v>0</v>
      </c>
      <c r="H166" s="46">
        <f>0.01*'Input'!F$58*('Adjust'!$E$243*E166+'Adjust'!$F$243*F166)+10*('Adjust'!$B$243*B166+'Adjust'!$C$243*C166+'Adjust'!$D$243*D166+'Adjust'!$G$243*G166)</f>
        <v>0</v>
      </c>
      <c r="I166" s="17"/>
    </row>
    <row r="167" spans="1:9">
      <c r="A167" s="4" t="s">
        <v>253</v>
      </c>
      <c r="B167" s="38">
        <f>B$61/IF(B$89="kVA",IF(F$61,F$61,1),IF(B$89="MPAN",IF(E$61,E$61,1),IF(H$61,H$61,1)))</f>
        <v>0</v>
      </c>
      <c r="C167" s="38">
        <f>C$61/IF(B$89="kVA",IF(F$61,F$61,1),IF(B$89="MPAN",IF(E$61,E$61,1),IF(H$61,H$61,1)))</f>
        <v>0</v>
      </c>
      <c r="D167" s="38">
        <f>D$61/IF(B$89="kVA",IF(F$61,F$61,1),IF(B$89="MPAN",IF(E$61,E$61,1),IF(H$61,H$61,1)))</f>
        <v>0</v>
      </c>
      <c r="E167" s="38">
        <f>E$61/IF(B$89="kVA",IF(F$61,F$61,1),IF(B$89="MPAN",IF(E$61,E$61,1),IF(H$61,H$61,1)))</f>
        <v>0</v>
      </c>
      <c r="F167" s="38">
        <f>F$61/IF(B$89="kVA",IF(F$61,F$61,1),IF(B$89="MPAN",IF(E$61,E$61,1),IF(H$61,H$61,1)))</f>
        <v>0</v>
      </c>
      <c r="G167" s="38">
        <f>G$61/IF(B$89="kVA",IF(F$61,F$61,1),IF(B$89="MPAN",IF(E$61,E$61,1),IF(H$61,H$61,1)))</f>
        <v>0</v>
      </c>
      <c r="H167" s="46">
        <f>0.01*'Input'!F$58*('Adjust'!$E$244*E167+'Adjust'!$F$244*F167)+10*('Adjust'!$B$244*B167+'Adjust'!$C$244*C167+'Adjust'!$D$244*D167+'Adjust'!$G$244*G167)</f>
        <v>0</v>
      </c>
      <c r="I167" s="17"/>
    </row>
    <row r="168" spans="1:9">
      <c r="A168" s="4" t="s">
        <v>254</v>
      </c>
      <c r="B168" s="38">
        <f>B$61/IF(B$89="kVA",IF(F$61,F$61,1),IF(B$89="MPAN",IF(E$61,E$61,1),IF(H$61,H$61,1)))</f>
        <v>0</v>
      </c>
      <c r="C168" s="38">
        <f>C$61/IF(B$89="kVA",IF(F$61,F$61,1),IF(B$89="MPAN",IF(E$61,E$61,1),IF(H$61,H$61,1)))</f>
        <v>0</v>
      </c>
      <c r="D168" s="38">
        <f>D$61/IF(B$89="kVA",IF(F$61,F$61,1),IF(B$89="MPAN",IF(E$61,E$61,1),IF(H$61,H$61,1)))</f>
        <v>0</v>
      </c>
      <c r="E168" s="38">
        <f>E$61/IF(B$89="kVA",IF(F$61,F$61,1),IF(B$89="MPAN",IF(E$61,E$61,1),IF(H$61,H$61,1)))</f>
        <v>0</v>
      </c>
      <c r="F168" s="38">
        <f>F$61/IF(B$89="kVA",IF(F$61,F$61,1),IF(B$89="MPAN",IF(E$61,E$61,1),IF(H$61,H$61,1)))</f>
        <v>0</v>
      </c>
      <c r="G168" s="38">
        <f>G$61/IF(B$89="kVA",IF(F$61,F$61,1),IF(B$89="MPAN",IF(E$61,E$61,1),IF(H$61,H$61,1)))</f>
        <v>0</v>
      </c>
      <c r="H168" s="46">
        <f>0.01*'Input'!F$58*('Adjust'!$E$245*E168+'Adjust'!$F$245*F168)+10*('Adjust'!$B$245*B168+'Adjust'!$C$245*C168+'Adjust'!$D$245*D168+'Adjust'!$G$245*G168)</f>
        <v>0</v>
      </c>
      <c r="I168" s="17"/>
    </row>
    <row r="169" spans="1:9">
      <c r="A169" s="29" t="s">
        <v>181</v>
      </c>
      <c r="I169" s="17"/>
    </row>
    <row r="170" spans="1:9">
      <c r="A170" s="4" t="s">
        <v>181</v>
      </c>
      <c r="B170" s="38">
        <f>B$62/IF(B$90="kVA",IF(F$62,F$62,1),IF(B$90="MPAN",IF(E$62,E$62,1),IF(H$62,H$62,1)))</f>
        <v>0</v>
      </c>
      <c r="C170" s="38">
        <f>C$62/IF(B$90="kVA",IF(F$62,F$62,1),IF(B$90="MPAN",IF(E$62,E$62,1),IF(H$62,H$62,1)))</f>
        <v>0</v>
      </c>
      <c r="D170" s="38">
        <f>D$62/IF(B$90="kVA",IF(F$62,F$62,1),IF(B$90="MPAN",IF(E$62,E$62,1),IF(H$62,H$62,1)))</f>
        <v>0</v>
      </c>
      <c r="E170" s="38">
        <f>E$62/IF(B$90="kVA",IF(F$62,F$62,1),IF(B$90="MPAN",IF(E$62,E$62,1),IF(H$62,H$62,1)))</f>
        <v>0</v>
      </c>
      <c r="F170" s="38">
        <f>F$62/IF(B$90="kVA",IF(F$62,F$62,1),IF(B$90="MPAN",IF(E$62,E$62,1),IF(H$62,H$62,1)))</f>
        <v>0</v>
      </c>
      <c r="G170" s="38">
        <f>G$62/IF(B$90="kVA",IF(F$62,F$62,1),IF(B$90="MPAN",IF(E$62,E$62,1),IF(H$62,H$62,1)))</f>
        <v>0</v>
      </c>
      <c r="H170" s="46">
        <f>0.01*'Input'!F$58*('Adjust'!$E$247*E170+'Adjust'!$F$247*F170)+10*('Adjust'!$B$247*B170+'Adjust'!$C$247*C170+'Adjust'!$D$247*D170+'Adjust'!$G$247*G170)</f>
        <v>0</v>
      </c>
      <c r="I170" s="17"/>
    </row>
    <row r="171" spans="1:9">
      <c r="A171" s="4" t="s">
        <v>256</v>
      </c>
      <c r="B171" s="38">
        <f>B$62/IF(B$90="kVA",IF(F$62,F$62,1),IF(B$90="MPAN",IF(E$62,E$62,1),IF(H$62,H$62,1)))</f>
        <v>0</v>
      </c>
      <c r="C171" s="38">
        <f>C$62/IF(B$90="kVA",IF(F$62,F$62,1),IF(B$90="MPAN",IF(E$62,E$62,1),IF(H$62,H$62,1)))</f>
        <v>0</v>
      </c>
      <c r="D171" s="38">
        <f>D$62/IF(B$90="kVA",IF(F$62,F$62,1),IF(B$90="MPAN",IF(E$62,E$62,1),IF(H$62,H$62,1)))</f>
        <v>0</v>
      </c>
      <c r="E171" s="38">
        <f>E$62/IF(B$90="kVA",IF(F$62,F$62,1),IF(B$90="MPAN",IF(E$62,E$62,1),IF(H$62,H$62,1)))</f>
        <v>0</v>
      </c>
      <c r="F171" s="38">
        <f>F$62/IF(B$90="kVA",IF(F$62,F$62,1),IF(B$90="MPAN",IF(E$62,E$62,1),IF(H$62,H$62,1)))</f>
        <v>0</v>
      </c>
      <c r="G171" s="38">
        <f>G$62/IF(B$90="kVA",IF(F$62,F$62,1),IF(B$90="MPAN",IF(E$62,E$62,1),IF(H$62,H$62,1)))</f>
        <v>0</v>
      </c>
      <c r="H171" s="46">
        <f>0.01*'Input'!F$58*('Adjust'!$E$248*E171+'Adjust'!$F$248*F171)+10*('Adjust'!$B$248*B171+'Adjust'!$C$248*C171+'Adjust'!$D$248*D171+'Adjust'!$G$248*G171)</f>
        <v>0</v>
      </c>
      <c r="I171" s="17"/>
    </row>
    <row r="172" spans="1:9">
      <c r="A172" s="29" t="s">
        <v>193</v>
      </c>
      <c r="I172" s="17"/>
    </row>
    <row r="173" spans="1:9">
      <c r="A173" s="4" t="s">
        <v>193</v>
      </c>
      <c r="B173" s="38">
        <f>B$63/IF(B$91="kVA",IF(F$63,F$63,1),IF(B$91="MPAN",IF(E$63,E$63,1),IF(H$63,H$63,1)))</f>
        <v>0</v>
      </c>
      <c r="C173" s="38">
        <f>C$63/IF(B$91="kVA",IF(F$63,F$63,1),IF(B$91="MPAN",IF(E$63,E$63,1),IF(H$63,H$63,1)))</f>
        <v>0</v>
      </c>
      <c r="D173" s="38">
        <f>D$63/IF(B$91="kVA",IF(F$63,F$63,1),IF(B$91="MPAN",IF(E$63,E$63,1),IF(H$63,H$63,1)))</f>
        <v>0</v>
      </c>
      <c r="E173" s="38">
        <f>E$63/IF(B$91="kVA",IF(F$63,F$63,1),IF(B$91="MPAN",IF(E$63,E$63,1),IF(H$63,H$63,1)))</f>
        <v>0</v>
      </c>
      <c r="F173" s="38">
        <f>F$63/IF(B$91="kVA",IF(F$63,F$63,1),IF(B$91="MPAN",IF(E$63,E$63,1),IF(H$63,H$63,1)))</f>
        <v>0</v>
      </c>
      <c r="G173" s="38">
        <f>G$63/IF(B$91="kVA",IF(F$63,F$63,1),IF(B$91="MPAN",IF(E$63,E$63,1),IF(H$63,H$63,1)))</f>
        <v>0</v>
      </c>
      <c r="H173" s="46">
        <f>0.01*'Input'!F$58*('Adjust'!$E$250*E173+'Adjust'!$F$250*F173)+10*('Adjust'!$B$250*B173+'Adjust'!$C$250*C173+'Adjust'!$D$250*D173+'Adjust'!$G$250*G173)</f>
        <v>0</v>
      </c>
      <c r="I173" s="17"/>
    </row>
    <row r="174" spans="1:9">
      <c r="A174" s="4" t="s">
        <v>258</v>
      </c>
      <c r="B174" s="38">
        <f>B$63/IF(B$91="kVA",IF(F$63,F$63,1),IF(B$91="MPAN",IF(E$63,E$63,1),IF(H$63,H$63,1)))</f>
        <v>0</v>
      </c>
      <c r="C174" s="38">
        <f>C$63/IF(B$91="kVA",IF(F$63,F$63,1),IF(B$91="MPAN",IF(E$63,E$63,1),IF(H$63,H$63,1)))</f>
        <v>0</v>
      </c>
      <c r="D174" s="38">
        <f>D$63/IF(B$91="kVA",IF(F$63,F$63,1),IF(B$91="MPAN",IF(E$63,E$63,1),IF(H$63,H$63,1)))</f>
        <v>0</v>
      </c>
      <c r="E174" s="38">
        <f>E$63/IF(B$91="kVA",IF(F$63,F$63,1),IF(B$91="MPAN",IF(E$63,E$63,1),IF(H$63,H$63,1)))</f>
        <v>0</v>
      </c>
      <c r="F174" s="38">
        <f>F$63/IF(B$91="kVA",IF(F$63,F$63,1),IF(B$91="MPAN",IF(E$63,E$63,1),IF(H$63,H$63,1)))</f>
        <v>0</v>
      </c>
      <c r="G174" s="38">
        <f>G$63/IF(B$91="kVA",IF(F$63,F$63,1),IF(B$91="MPAN",IF(E$63,E$63,1),IF(H$63,H$63,1)))</f>
        <v>0</v>
      </c>
      <c r="H174" s="46">
        <f>0.01*'Input'!F$58*('Adjust'!$E$251*E174+'Adjust'!$F$251*F174)+10*('Adjust'!$B$251*B174+'Adjust'!$C$251*C174+'Adjust'!$D$251*D174+'Adjust'!$G$251*G174)</f>
        <v>0</v>
      </c>
      <c r="I174" s="17"/>
    </row>
    <row r="175" spans="1:9">
      <c r="A175" s="29" t="s">
        <v>213</v>
      </c>
      <c r="I175" s="17"/>
    </row>
    <row r="176" spans="1:9">
      <c r="A176" s="4" t="s">
        <v>213</v>
      </c>
      <c r="B176" s="38">
        <f>B$64/IF(B$92="kVA",IF(F$64,F$64,1),IF(B$92="MPAN",IF(E$64,E$64,1),IF(H$64,H$64,1)))</f>
        <v>0</v>
      </c>
      <c r="C176" s="38">
        <f>C$64/IF(B$92="kVA",IF(F$64,F$64,1),IF(B$92="MPAN",IF(E$64,E$64,1),IF(H$64,H$64,1)))</f>
        <v>0</v>
      </c>
      <c r="D176" s="38">
        <f>D$64/IF(B$92="kVA",IF(F$64,F$64,1),IF(B$92="MPAN",IF(E$64,E$64,1),IF(H$64,H$64,1)))</f>
        <v>0</v>
      </c>
      <c r="E176" s="38">
        <f>E$64/IF(B$92="kVA",IF(F$64,F$64,1),IF(B$92="MPAN",IF(E$64,E$64,1),IF(H$64,H$64,1)))</f>
        <v>0</v>
      </c>
      <c r="F176" s="38">
        <f>F$64/IF(B$92="kVA",IF(F$64,F$64,1),IF(B$92="MPAN",IF(E$64,E$64,1),IF(H$64,H$64,1)))</f>
        <v>0</v>
      </c>
      <c r="G176" s="38">
        <f>G$64/IF(B$92="kVA",IF(F$64,F$64,1),IF(B$92="MPAN",IF(E$64,E$64,1),IF(H$64,H$64,1)))</f>
        <v>0</v>
      </c>
      <c r="H176" s="46">
        <f>0.01*'Input'!F$58*('Adjust'!$E$253*E176+'Adjust'!$F$253*F176)+10*('Adjust'!$B$253*B176+'Adjust'!$C$253*C176+'Adjust'!$D$253*D176+'Adjust'!$G$253*G176)</f>
        <v>0</v>
      </c>
      <c r="I176" s="17"/>
    </row>
    <row r="177" spans="1:9">
      <c r="A177" s="4" t="s">
        <v>260</v>
      </c>
      <c r="B177" s="38">
        <f>B$64/IF(B$92="kVA",IF(F$64,F$64,1),IF(B$92="MPAN",IF(E$64,E$64,1),IF(H$64,H$64,1)))</f>
        <v>0</v>
      </c>
      <c r="C177" s="38">
        <f>C$64/IF(B$92="kVA",IF(F$64,F$64,1),IF(B$92="MPAN",IF(E$64,E$64,1),IF(H$64,H$64,1)))</f>
        <v>0</v>
      </c>
      <c r="D177" s="38">
        <f>D$64/IF(B$92="kVA",IF(F$64,F$64,1),IF(B$92="MPAN",IF(E$64,E$64,1),IF(H$64,H$64,1)))</f>
        <v>0</v>
      </c>
      <c r="E177" s="38">
        <f>E$64/IF(B$92="kVA",IF(F$64,F$64,1),IF(B$92="MPAN",IF(E$64,E$64,1),IF(H$64,H$64,1)))</f>
        <v>0</v>
      </c>
      <c r="F177" s="38">
        <f>F$64/IF(B$92="kVA",IF(F$64,F$64,1),IF(B$92="MPAN",IF(E$64,E$64,1),IF(H$64,H$64,1)))</f>
        <v>0</v>
      </c>
      <c r="G177" s="38">
        <f>G$64/IF(B$92="kVA",IF(F$64,F$64,1),IF(B$92="MPAN",IF(E$64,E$64,1),IF(H$64,H$64,1)))</f>
        <v>0</v>
      </c>
      <c r="H177" s="46">
        <f>0.01*'Input'!F$58*('Adjust'!$E$254*E177+'Adjust'!$F$254*F177)+10*('Adjust'!$B$254*B177+'Adjust'!$C$254*C177+'Adjust'!$D$254*D177+'Adjust'!$G$254*G177)</f>
        <v>0</v>
      </c>
      <c r="I177" s="17"/>
    </row>
    <row r="178" spans="1:9">
      <c r="A178" s="4" t="s">
        <v>261</v>
      </c>
      <c r="B178" s="38">
        <f>B$64/IF(B$92="kVA",IF(F$64,F$64,1),IF(B$92="MPAN",IF(E$64,E$64,1),IF(H$64,H$64,1)))</f>
        <v>0</v>
      </c>
      <c r="C178" s="38">
        <f>C$64/IF(B$92="kVA",IF(F$64,F$64,1),IF(B$92="MPAN",IF(E$64,E$64,1),IF(H$64,H$64,1)))</f>
        <v>0</v>
      </c>
      <c r="D178" s="38">
        <f>D$64/IF(B$92="kVA",IF(F$64,F$64,1),IF(B$92="MPAN",IF(E$64,E$64,1),IF(H$64,H$64,1)))</f>
        <v>0</v>
      </c>
      <c r="E178" s="38">
        <f>E$64/IF(B$92="kVA",IF(F$64,F$64,1),IF(B$92="MPAN",IF(E$64,E$64,1),IF(H$64,H$64,1)))</f>
        <v>0</v>
      </c>
      <c r="F178" s="38">
        <f>F$64/IF(B$92="kVA",IF(F$64,F$64,1),IF(B$92="MPAN",IF(E$64,E$64,1),IF(H$64,H$64,1)))</f>
        <v>0</v>
      </c>
      <c r="G178" s="38">
        <f>G$64/IF(B$92="kVA",IF(F$64,F$64,1),IF(B$92="MPAN",IF(E$64,E$64,1),IF(H$64,H$64,1)))</f>
        <v>0</v>
      </c>
      <c r="H178" s="46">
        <f>0.01*'Input'!F$58*('Adjust'!$E$255*E178+'Adjust'!$F$255*F178)+10*('Adjust'!$B$255*B178+'Adjust'!$C$255*C178+'Adjust'!$D$255*D178+'Adjust'!$G$255*G178)</f>
        <v>0</v>
      </c>
      <c r="I178" s="17"/>
    </row>
    <row r="179" spans="1:9">
      <c r="A179" s="29" t="s">
        <v>214</v>
      </c>
      <c r="I179" s="17"/>
    </row>
    <row r="180" spans="1:9">
      <c r="A180" s="4" t="s">
        <v>214</v>
      </c>
      <c r="B180" s="38">
        <f>B$65/IF(B$93="kVA",IF(F$65,F$65,1),IF(B$93="MPAN",IF(E$65,E$65,1),IF(H$65,H$65,1)))</f>
        <v>0</v>
      </c>
      <c r="C180" s="38">
        <f>C$65/IF(B$93="kVA",IF(F$65,F$65,1),IF(B$93="MPAN",IF(E$65,E$65,1),IF(H$65,H$65,1)))</f>
        <v>0</v>
      </c>
      <c r="D180" s="38">
        <f>D$65/IF(B$93="kVA",IF(F$65,F$65,1),IF(B$93="MPAN",IF(E$65,E$65,1),IF(H$65,H$65,1)))</f>
        <v>0</v>
      </c>
      <c r="E180" s="38">
        <f>E$65/IF(B$93="kVA",IF(F$65,F$65,1),IF(B$93="MPAN",IF(E$65,E$65,1),IF(H$65,H$65,1)))</f>
        <v>0</v>
      </c>
      <c r="F180" s="38">
        <f>F$65/IF(B$93="kVA",IF(F$65,F$65,1),IF(B$93="MPAN",IF(E$65,E$65,1),IF(H$65,H$65,1)))</f>
        <v>0</v>
      </c>
      <c r="G180" s="38">
        <f>G$65/IF(B$93="kVA",IF(F$65,F$65,1),IF(B$93="MPAN",IF(E$65,E$65,1),IF(H$65,H$65,1)))</f>
        <v>0</v>
      </c>
      <c r="H180" s="46">
        <f>0.01*'Input'!F$58*('Adjust'!$E$257*E180+'Adjust'!$F$257*F180)+10*('Adjust'!$B$257*B180+'Adjust'!$C$257*C180+'Adjust'!$D$257*D180+'Adjust'!$G$257*G180)</f>
        <v>0</v>
      </c>
      <c r="I180" s="17"/>
    </row>
    <row r="181" spans="1:9">
      <c r="A181" s="4" t="s">
        <v>263</v>
      </c>
      <c r="B181" s="38">
        <f>B$65/IF(B$93="kVA",IF(F$65,F$65,1),IF(B$93="MPAN",IF(E$65,E$65,1),IF(H$65,H$65,1)))</f>
        <v>0</v>
      </c>
      <c r="C181" s="38">
        <f>C$65/IF(B$93="kVA",IF(F$65,F$65,1),IF(B$93="MPAN",IF(E$65,E$65,1),IF(H$65,H$65,1)))</f>
        <v>0</v>
      </c>
      <c r="D181" s="38">
        <f>D$65/IF(B$93="kVA",IF(F$65,F$65,1),IF(B$93="MPAN",IF(E$65,E$65,1),IF(H$65,H$65,1)))</f>
        <v>0</v>
      </c>
      <c r="E181" s="38">
        <f>E$65/IF(B$93="kVA",IF(F$65,F$65,1),IF(B$93="MPAN",IF(E$65,E$65,1),IF(H$65,H$65,1)))</f>
        <v>0</v>
      </c>
      <c r="F181" s="38">
        <f>F$65/IF(B$93="kVA",IF(F$65,F$65,1),IF(B$93="MPAN",IF(E$65,E$65,1),IF(H$65,H$65,1)))</f>
        <v>0</v>
      </c>
      <c r="G181" s="38">
        <f>G$65/IF(B$93="kVA",IF(F$65,F$65,1),IF(B$93="MPAN",IF(E$65,E$65,1),IF(H$65,H$65,1)))</f>
        <v>0</v>
      </c>
      <c r="H181" s="46">
        <f>0.01*'Input'!F$58*('Adjust'!$E$258*E181+'Adjust'!$F$258*F181)+10*('Adjust'!$B$258*B181+'Adjust'!$C$258*C181+'Adjust'!$D$258*D181+'Adjust'!$G$258*G181)</f>
        <v>0</v>
      </c>
      <c r="I181" s="17"/>
    </row>
    <row r="182" spans="1:9">
      <c r="A182" s="4" t="s">
        <v>264</v>
      </c>
      <c r="B182" s="38">
        <f>B$65/IF(B$93="kVA",IF(F$65,F$65,1),IF(B$93="MPAN",IF(E$65,E$65,1),IF(H$65,H$65,1)))</f>
        <v>0</v>
      </c>
      <c r="C182" s="38">
        <f>C$65/IF(B$93="kVA",IF(F$65,F$65,1),IF(B$93="MPAN",IF(E$65,E$65,1),IF(H$65,H$65,1)))</f>
        <v>0</v>
      </c>
      <c r="D182" s="38">
        <f>D$65/IF(B$93="kVA",IF(F$65,F$65,1),IF(B$93="MPAN",IF(E$65,E$65,1),IF(H$65,H$65,1)))</f>
        <v>0</v>
      </c>
      <c r="E182" s="38">
        <f>E$65/IF(B$93="kVA",IF(F$65,F$65,1),IF(B$93="MPAN",IF(E$65,E$65,1),IF(H$65,H$65,1)))</f>
        <v>0</v>
      </c>
      <c r="F182" s="38">
        <f>F$65/IF(B$93="kVA",IF(F$65,F$65,1),IF(B$93="MPAN",IF(E$65,E$65,1),IF(H$65,H$65,1)))</f>
        <v>0</v>
      </c>
      <c r="G182" s="38">
        <f>G$65/IF(B$93="kVA",IF(F$65,F$65,1),IF(B$93="MPAN",IF(E$65,E$65,1),IF(H$65,H$65,1)))</f>
        <v>0</v>
      </c>
      <c r="H182" s="46">
        <f>0.01*'Input'!F$58*('Adjust'!$E$259*E182+'Adjust'!$F$259*F182)+10*('Adjust'!$B$259*B182+'Adjust'!$C$259*C182+'Adjust'!$D$259*D182+'Adjust'!$G$259*G182)</f>
        <v>0</v>
      </c>
      <c r="I182" s="17"/>
    </row>
    <row r="183" spans="1:9">
      <c r="A183" s="29" t="s">
        <v>215</v>
      </c>
      <c r="I183" s="17"/>
    </row>
    <row r="184" spans="1:9">
      <c r="A184" s="4" t="s">
        <v>215</v>
      </c>
      <c r="B184" s="38">
        <f>B$66/IF(B$94="kVA",IF(F$66,F$66,1),IF(B$94="MPAN",IF(E$66,E$66,1),IF(H$66,H$66,1)))</f>
        <v>0</v>
      </c>
      <c r="C184" s="38">
        <f>C$66/IF(B$94="kVA",IF(F$66,F$66,1),IF(B$94="MPAN",IF(E$66,E$66,1),IF(H$66,H$66,1)))</f>
        <v>0</v>
      </c>
      <c r="D184" s="38">
        <f>D$66/IF(B$94="kVA",IF(F$66,F$66,1),IF(B$94="MPAN",IF(E$66,E$66,1),IF(H$66,H$66,1)))</f>
        <v>0</v>
      </c>
      <c r="E184" s="38">
        <f>E$66/IF(B$94="kVA",IF(F$66,F$66,1),IF(B$94="MPAN",IF(E$66,E$66,1),IF(H$66,H$66,1)))</f>
        <v>0</v>
      </c>
      <c r="F184" s="38">
        <f>F$66/IF(B$94="kVA",IF(F$66,F$66,1),IF(B$94="MPAN",IF(E$66,E$66,1),IF(H$66,H$66,1)))</f>
        <v>0</v>
      </c>
      <c r="G184" s="38">
        <f>G$66/IF(B$94="kVA",IF(F$66,F$66,1),IF(B$94="MPAN",IF(E$66,E$66,1),IF(H$66,H$66,1)))</f>
        <v>0</v>
      </c>
      <c r="H184" s="46">
        <f>0.01*'Input'!F$58*('Adjust'!$E$261*E184+'Adjust'!$F$261*F184)+10*('Adjust'!$B$261*B184+'Adjust'!$C$261*C184+'Adjust'!$D$261*D184+'Adjust'!$G$261*G184)</f>
        <v>0</v>
      </c>
      <c r="I184" s="17"/>
    </row>
    <row r="185" spans="1:9">
      <c r="A185" s="4" t="s">
        <v>266</v>
      </c>
      <c r="B185" s="38">
        <f>B$66/IF(B$94="kVA",IF(F$66,F$66,1),IF(B$94="MPAN",IF(E$66,E$66,1),IF(H$66,H$66,1)))</f>
        <v>0</v>
      </c>
      <c r="C185" s="38">
        <f>C$66/IF(B$94="kVA",IF(F$66,F$66,1),IF(B$94="MPAN",IF(E$66,E$66,1),IF(H$66,H$66,1)))</f>
        <v>0</v>
      </c>
      <c r="D185" s="38">
        <f>D$66/IF(B$94="kVA",IF(F$66,F$66,1),IF(B$94="MPAN",IF(E$66,E$66,1),IF(H$66,H$66,1)))</f>
        <v>0</v>
      </c>
      <c r="E185" s="38">
        <f>E$66/IF(B$94="kVA",IF(F$66,F$66,1),IF(B$94="MPAN",IF(E$66,E$66,1),IF(H$66,H$66,1)))</f>
        <v>0</v>
      </c>
      <c r="F185" s="38">
        <f>F$66/IF(B$94="kVA",IF(F$66,F$66,1),IF(B$94="MPAN",IF(E$66,E$66,1),IF(H$66,H$66,1)))</f>
        <v>0</v>
      </c>
      <c r="G185" s="38">
        <f>G$66/IF(B$94="kVA",IF(F$66,F$66,1),IF(B$94="MPAN",IF(E$66,E$66,1),IF(H$66,H$66,1)))</f>
        <v>0</v>
      </c>
      <c r="H185" s="46">
        <f>0.01*'Input'!F$58*('Adjust'!$E$262*E185+'Adjust'!$F$262*F185)+10*('Adjust'!$B$262*B185+'Adjust'!$C$262*C185+'Adjust'!$D$262*D185+'Adjust'!$G$262*G185)</f>
        <v>0</v>
      </c>
      <c r="I185" s="17"/>
    </row>
    <row r="186" spans="1:9">
      <c r="A186" s="4" t="s">
        <v>267</v>
      </c>
      <c r="B186" s="38">
        <f>B$66/IF(B$94="kVA",IF(F$66,F$66,1),IF(B$94="MPAN",IF(E$66,E$66,1),IF(H$66,H$66,1)))</f>
        <v>0</v>
      </c>
      <c r="C186" s="38">
        <f>C$66/IF(B$94="kVA",IF(F$66,F$66,1),IF(B$94="MPAN",IF(E$66,E$66,1),IF(H$66,H$66,1)))</f>
        <v>0</v>
      </c>
      <c r="D186" s="38">
        <f>D$66/IF(B$94="kVA",IF(F$66,F$66,1),IF(B$94="MPAN",IF(E$66,E$66,1),IF(H$66,H$66,1)))</f>
        <v>0</v>
      </c>
      <c r="E186" s="38">
        <f>E$66/IF(B$94="kVA",IF(F$66,F$66,1),IF(B$94="MPAN",IF(E$66,E$66,1),IF(H$66,H$66,1)))</f>
        <v>0</v>
      </c>
      <c r="F186" s="38">
        <f>F$66/IF(B$94="kVA",IF(F$66,F$66,1),IF(B$94="MPAN",IF(E$66,E$66,1),IF(H$66,H$66,1)))</f>
        <v>0</v>
      </c>
      <c r="G186" s="38">
        <f>G$66/IF(B$94="kVA",IF(F$66,F$66,1),IF(B$94="MPAN",IF(E$66,E$66,1),IF(H$66,H$66,1)))</f>
        <v>0</v>
      </c>
      <c r="H186" s="46">
        <f>0.01*'Input'!F$58*('Adjust'!$E$263*E186+'Adjust'!$F$263*F186)+10*('Adjust'!$B$263*B186+'Adjust'!$C$263*C186+'Adjust'!$D$263*D186+'Adjust'!$G$263*G186)</f>
        <v>0</v>
      </c>
      <c r="I186" s="17"/>
    </row>
    <row r="187" spans="1:9">
      <c r="A187" s="29" t="s">
        <v>216</v>
      </c>
      <c r="I187" s="17"/>
    </row>
    <row r="188" spans="1:9">
      <c r="A188" s="4" t="s">
        <v>216</v>
      </c>
      <c r="B188" s="38">
        <f>B$67/IF(B$95="kVA",IF(F$67,F$67,1),IF(B$95="MPAN",IF(E$67,E$67,1),IF(H$67,H$67,1)))</f>
        <v>0</v>
      </c>
      <c r="C188" s="38">
        <f>C$67/IF(B$95="kVA",IF(F$67,F$67,1),IF(B$95="MPAN",IF(E$67,E$67,1),IF(H$67,H$67,1)))</f>
        <v>0</v>
      </c>
      <c r="D188" s="38">
        <f>D$67/IF(B$95="kVA",IF(F$67,F$67,1),IF(B$95="MPAN",IF(E$67,E$67,1),IF(H$67,H$67,1)))</f>
        <v>0</v>
      </c>
      <c r="E188" s="38">
        <f>E$67/IF(B$95="kVA",IF(F$67,F$67,1),IF(B$95="MPAN",IF(E$67,E$67,1),IF(H$67,H$67,1)))</f>
        <v>0</v>
      </c>
      <c r="F188" s="38">
        <f>F$67/IF(B$95="kVA",IF(F$67,F$67,1),IF(B$95="MPAN",IF(E$67,E$67,1),IF(H$67,H$67,1)))</f>
        <v>0</v>
      </c>
      <c r="G188" s="38">
        <f>G$67/IF(B$95="kVA",IF(F$67,F$67,1),IF(B$95="MPAN",IF(E$67,E$67,1),IF(H$67,H$67,1)))</f>
        <v>0</v>
      </c>
      <c r="H188" s="46">
        <f>0.01*'Input'!F$58*('Adjust'!$E$265*E188+'Adjust'!$F$265*F188)+10*('Adjust'!$B$265*B188+'Adjust'!$C$265*C188+'Adjust'!$D$265*D188+'Adjust'!$G$265*G188)</f>
        <v>0</v>
      </c>
      <c r="I188" s="17"/>
    </row>
    <row r="189" spans="1:9">
      <c r="A189" s="4" t="s">
        <v>269</v>
      </c>
      <c r="B189" s="38">
        <f>B$67/IF(B$95="kVA",IF(F$67,F$67,1),IF(B$95="MPAN",IF(E$67,E$67,1),IF(H$67,H$67,1)))</f>
        <v>0</v>
      </c>
      <c r="C189" s="38">
        <f>C$67/IF(B$95="kVA",IF(F$67,F$67,1),IF(B$95="MPAN",IF(E$67,E$67,1),IF(H$67,H$67,1)))</f>
        <v>0</v>
      </c>
      <c r="D189" s="38">
        <f>D$67/IF(B$95="kVA",IF(F$67,F$67,1),IF(B$95="MPAN",IF(E$67,E$67,1),IF(H$67,H$67,1)))</f>
        <v>0</v>
      </c>
      <c r="E189" s="38">
        <f>E$67/IF(B$95="kVA",IF(F$67,F$67,1),IF(B$95="MPAN",IF(E$67,E$67,1),IF(H$67,H$67,1)))</f>
        <v>0</v>
      </c>
      <c r="F189" s="38">
        <f>F$67/IF(B$95="kVA",IF(F$67,F$67,1),IF(B$95="MPAN",IF(E$67,E$67,1),IF(H$67,H$67,1)))</f>
        <v>0</v>
      </c>
      <c r="G189" s="38">
        <f>G$67/IF(B$95="kVA",IF(F$67,F$67,1),IF(B$95="MPAN",IF(E$67,E$67,1),IF(H$67,H$67,1)))</f>
        <v>0</v>
      </c>
      <c r="H189" s="46">
        <f>0.01*'Input'!F$58*('Adjust'!$E$266*E189+'Adjust'!$F$266*F189)+10*('Adjust'!$B$266*B189+'Adjust'!$C$266*C189+'Adjust'!$D$266*D189+'Adjust'!$G$266*G189)</f>
        <v>0</v>
      </c>
      <c r="I189" s="17"/>
    </row>
    <row r="190" spans="1:9">
      <c r="A190" s="4" t="s">
        <v>270</v>
      </c>
      <c r="B190" s="38">
        <f>B$67/IF(B$95="kVA",IF(F$67,F$67,1),IF(B$95="MPAN",IF(E$67,E$67,1),IF(H$67,H$67,1)))</f>
        <v>0</v>
      </c>
      <c r="C190" s="38">
        <f>C$67/IF(B$95="kVA",IF(F$67,F$67,1),IF(B$95="MPAN",IF(E$67,E$67,1),IF(H$67,H$67,1)))</f>
        <v>0</v>
      </c>
      <c r="D190" s="38">
        <f>D$67/IF(B$95="kVA",IF(F$67,F$67,1),IF(B$95="MPAN",IF(E$67,E$67,1),IF(H$67,H$67,1)))</f>
        <v>0</v>
      </c>
      <c r="E190" s="38">
        <f>E$67/IF(B$95="kVA",IF(F$67,F$67,1),IF(B$95="MPAN",IF(E$67,E$67,1),IF(H$67,H$67,1)))</f>
        <v>0</v>
      </c>
      <c r="F190" s="38">
        <f>F$67/IF(B$95="kVA",IF(F$67,F$67,1),IF(B$95="MPAN",IF(E$67,E$67,1),IF(H$67,H$67,1)))</f>
        <v>0</v>
      </c>
      <c r="G190" s="38">
        <f>G$67/IF(B$95="kVA",IF(F$67,F$67,1),IF(B$95="MPAN",IF(E$67,E$67,1),IF(H$67,H$67,1)))</f>
        <v>0</v>
      </c>
      <c r="H190" s="46">
        <f>0.01*'Input'!F$58*('Adjust'!$E$267*E190+'Adjust'!$F$267*F190)+10*('Adjust'!$B$267*B190+'Adjust'!$C$267*C190+'Adjust'!$D$267*D190+'Adjust'!$G$267*G190)</f>
        <v>0</v>
      </c>
      <c r="I190" s="17"/>
    </row>
    <row r="191" spans="1:9">
      <c r="A191" s="29" t="s">
        <v>217</v>
      </c>
      <c r="I191" s="17"/>
    </row>
    <row r="192" spans="1:9">
      <c r="A192" s="4" t="s">
        <v>217</v>
      </c>
      <c r="B192" s="38">
        <f>B$68/IF(B$96="kVA",IF(F$68,F$68,1),IF(B$96="MPAN",IF(E$68,E$68,1),IF(H$68,H$68,1)))</f>
        <v>0</v>
      </c>
      <c r="C192" s="38">
        <f>C$68/IF(B$96="kVA",IF(F$68,F$68,1),IF(B$96="MPAN",IF(E$68,E$68,1),IF(H$68,H$68,1)))</f>
        <v>0</v>
      </c>
      <c r="D192" s="38">
        <f>D$68/IF(B$96="kVA",IF(F$68,F$68,1),IF(B$96="MPAN",IF(E$68,E$68,1),IF(H$68,H$68,1)))</f>
        <v>0</v>
      </c>
      <c r="E192" s="38">
        <f>E$68/IF(B$96="kVA",IF(F$68,F$68,1),IF(B$96="MPAN",IF(E$68,E$68,1),IF(H$68,H$68,1)))</f>
        <v>0</v>
      </c>
      <c r="F192" s="38">
        <f>F$68/IF(B$96="kVA",IF(F$68,F$68,1),IF(B$96="MPAN",IF(E$68,E$68,1),IF(H$68,H$68,1)))</f>
        <v>0</v>
      </c>
      <c r="G192" s="38">
        <f>G$68/IF(B$96="kVA",IF(F$68,F$68,1),IF(B$96="MPAN",IF(E$68,E$68,1),IF(H$68,H$68,1)))</f>
        <v>0</v>
      </c>
      <c r="H192" s="46">
        <f>0.01*'Input'!F$58*('Adjust'!$E$269*E192+'Adjust'!$F$269*F192)+10*('Adjust'!$B$269*B192+'Adjust'!$C$269*C192+'Adjust'!$D$269*D192+'Adjust'!$G$269*G192)</f>
        <v>0</v>
      </c>
      <c r="I192" s="17"/>
    </row>
    <row r="193" spans="1:9">
      <c r="A193" s="4" t="s">
        <v>272</v>
      </c>
      <c r="B193" s="38">
        <f>B$68/IF(B$96="kVA",IF(F$68,F$68,1),IF(B$96="MPAN",IF(E$68,E$68,1),IF(H$68,H$68,1)))</f>
        <v>0</v>
      </c>
      <c r="C193" s="38">
        <f>C$68/IF(B$96="kVA",IF(F$68,F$68,1),IF(B$96="MPAN",IF(E$68,E$68,1),IF(H$68,H$68,1)))</f>
        <v>0</v>
      </c>
      <c r="D193" s="38">
        <f>D$68/IF(B$96="kVA",IF(F$68,F$68,1),IF(B$96="MPAN",IF(E$68,E$68,1),IF(H$68,H$68,1)))</f>
        <v>0</v>
      </c>
      <c r="E193" s="38">
        <f>E$68/IF(B$96="kVA",IF(F$68,F$68,1),IF(B$96="MPAN",IF(E$68,E$68,1),IF(H$68,H$68,1)))</f>
        <v>0</v>
      </c>
      <c r="F193" s="38">
        <f>F$68/IF(B$96="kVA",IF(F$68,F$68,1),IF(B$96="MPAN",IF(E$68,E$68,1),IF(H$68,H$68,1)))</f>
        <v>0</v>
      </c>
      <c r="G193" s="38">
        <f>G$68/IF(B$96="kVA",IF(F$68,F$68,1),IF(B$96="MPAN",IF(E$68,E$68,1),IF(H$68,H$68,1)))</f>
        <v>0</v>
      </c>
      <c r="H193" s="46">
        <f>0.01*'Input'!F$58*('Adjust'!$E$270*E193+'Adjust'!$F$270*F193)+10*('Adjust'!$B$270*B193+'Adjust'!$C$270*C193+'Adjust'!$D$270*D193+'Adjust'!$G$270*G193)</f>
        <v>0</v>
      </c>
      <c r="I193" s="17"/>
    </row>
    <row r="194" spans="1:9">
      <c r="A194" s="4" t="s">
        <v>273</v>
      </c>
      <c r="B194" s="38">
        <f>B$68/IF(B$96="kVA",IF(F$68,F$68,1),IF(B$96="MPAN",IF(E$68,E$68,1),IF(H$68,H$68,1)))</f>
        <v>0</v>
      </c>
      <c r="C194" s="38">
        <f>C$68/IF(B$96="kVA",IF(F$68,F$68,1),IF(B$96="MPAN",IF(E$68,E$68,1),IF(H$68,H$68,1)))</f>
        <v>0</v>
      </c>
      <c r="D194" s="38">
        <f>D$68/IF(B$96="kVA",IF(F$68,F$68,1),IF(B$96="MPAN",IF(E$68,E$68,1),IF(H$68,H$68,1)))</f>
        <v>0</v>
      </c>
      <c r="E194" s="38">
        <f>E$68/IF(B$96="kVA",IF(F$68,F$68,1),IF(B$96="MPAN",IF(E$68,E$68,1),IF(H$68,H$68,1)))</f>
        <v>0</v>
      </c>
      <c r="F194" s="38">
        <f>F$68/IF(B$96="kVA",IF(F$68,F$68,1),IF(B$96="MPAN",IF(E$68,E$68,1),IF(H$68,H$68,1)))</f>
        <v>0</v>
      </c>
      <c r="G194" s="38">
        <f>G$68/IF(B$96="kVA",IF(F$68,F$68,1),IF(B$96="MPAN",IF(E$68,E$68,1),IF(H$68,H$68,1)))</f>
        <v>0</v>
      </c>
      <c r="H194" s="46">
        <f>0.01*'Input'!F$58*('Adjust'!$E$271*E194+'Adjust'!$F$271*F194)+10*('Adjust'!$B$271*B194+'Adjust'!$C$271*C194+'Adjust'!$D$271*D194+'Adjust'!$G$271*G194)</f>
        <v>0</v>
      </c>
      <c r="I194" s="17"/>
    </row>
    <row r="195" spans="1:9">
      <c r="A195" s="29" t="s">
        <v>182</v>
      </c>
      <c r="I195" s="17"/>
    </row>
    <row r="196" spans="1:9">
      <c r="A196" s="4" t="s">
        <v>182</v>
      </c>
      <c r="B196" s="38">
        <f>B$69/IF(B$97="kVA",IF(F$69,F$69,1),IF(B$97="MPAN",IF(E$69,E$69,1),IF(H$69,H$69,1)))</f>
        <v>0</v>
      </c>
      <c r="C196" s="38">
        <f>C$69/IF(B$97="kVA",IF(F$69,F$69,1),IF(B$97="MPAN",IF(E$69,E$69,1),IF(H$69,H$69,1)))</f>
        <v>0</v>
      </c>
      <c r="D196" s="38">
        <f>D$69/IF(B$97="kVA",IF(F$69,F$69,1),IF(B$97="MPAN",IF(E$69,E$69,1),IF(H$69,H$69,1)))</f>
        <v>0</v>
      </c>
      <c r="E196" s="38">
        <f>E$69/IF(B$97="kVA",IF(F$69,F$69,1),IF(B$97="MPAN",IF(E$69,E$69,1),IF(H$69,H$69,1)))</f>
        <v>0</v>
      </c>
      <c r="F196" s="38">
        <f>F$69/IF(B$97="kVA",IF(F$69,F$69,1),IF(B$97="MPAN",IF(E$69,E$69,1),IF(H$69,H$69,1)))</f>
        <v>0</v>
      </c>
      <c r="G196" s="38">
        <f>G$69/IF(B$97="kVA",IF(F$69,F$69,1),IF(B$97="MPAN",IF(E$69,E$69,1),IF(H$69,H$69,1)))</f>
        <v>0</v>
      </c>
      <c r="H196" s="46">
        <f>0.01*'Input'!F$58*('Adjust'!$E$273*E196+'Adjust'!$F$273*F196)+10*('Adjust'!$B$273*B196+'Adjust'!$C$273*C196+'Adjust'!$D$273*D196+'Adjust'!$G$273*G196)</f>
        <v>0</v>
      </c>
      <c r="I196" s="17"/>
    </row>
    <row r="197" spans="1:9">
      <c r="A197" s="4" t="s">
        <v>275</v>
      </c>
      <c r="B197" s="38">
        <f>B$69/IF(B$97="kVA",IF(F$69,F$69,1),IF(B$97="MPAN",IF(E$69,E$69,1),IF(H$69,H$69,1)))</f>
        <v>0</v>
      </c>
      <c r="C197" s="38">
        <f>C$69/IF(B$97="kVA",IF(F$69,F$69,1),IF(B$97="MPAN",IF(E$69,E$69,1),IF(H$69,H$69,1)))</f>
        <v>0</v>
      </c>
      <c r="D197" s="38">
        <f>D$69/IF(B$97="kVA",IF(F$69,F$69,1),IF(B$97="MPAN",IF(E$69,E$69,1),IF(H$69,H$69,1)))</f>
        <v>0</v>
      </c>
      <c r="E197" s="38">
        <f>E$69/IF(B$97="kVA",IF(F$69,F$69,1),IF(B$97="MPAN",IF(E$69,E$69,1),IF(H$69,H$69,1)))</f>
        <v>0</v>
      </c>
      <c r="F197" s="38">
        <f>F$69/IF(B$97="kVA",IF(F$69,F$69,1),IF(B$97="MPAN",IF(E$69,E$69,1),IF(H$69,H$69,1)))</f>
        <v>0</v>
      </c>
      <c r="G197" s="38">
        <f>G$69/IF(B$97="kVA",IF(F$69,F$69,1),IF(B$97="MPAN",IF(E$69,E$69,1),IF(H$69,H$69,1)))</f>
        <v>0</v>
      </c>
      <c r="H197" s="46">
        <f>0.01*'Input'!F$58*('Adjust'!$E$274*E197+'Adjust'!$F$274*F197)+10*('Adjust'!$B$274*B197+'Adjust'!$C$274*C197+'Adjust'!$D$274*D197+'Adjust'!$G$274*G197)</f>
        <v>0</v>
      </c>
      <c r="I197" s="17"/>
    </row>
    <row r="198" spans="1:9">
      <c r="A198" s="4" t="s">
        <v>276</v>
      </c>
      <c r="B198" s="38">
        <f>B$69/IF(B$97="kVA",IF(F$69,F$69,1),IF(B$97="MPAN",IF(E$69,E$69,1),IF(H$69,H$69,1)))</f>
        <v>0</v>
      </c>
      <c r="C198" s="38">
        <f>C$69/IF(B$97="kVA",IF(F$69,F$69,1),IF(B$97="MPAN",IF(E$69,E$69,1),IF(H$69,H$69,1)))</f>
        <v>0</v>
      </c>
      <c r="D198" s="38">
        <f>D$69/IF(B$97="kVA",IF(F$69,F$69,1),IF(B$97="MPAN",IF(E$69,E$69,1),IF(H$69,H$69,1)))</f>
        <v>0</v>
      </c>
      <c r="E198" s="38">
        <f>E$69/IF(B$97="kVA",IF(F$69,F$69,1),IF(B$97="MPAN",IF(E$69,E$69,1),IF(H$69,H$69,1)))</f>
        <v>0</v>
      </c>
      <c r="F198" s="38">
        <f>F$69/IF(B$97="kVA",IF(F$69,F$69,1),IF(B$97="MPAN",IF(E$69,E$69,1),IF(H$69,H$69,1)))</f>
        <v>0</v>
      </c>
      <c r="G198" s="38">
        <f>G$69/IF(B$97="kVA",IF(F$69,F$69,1),IF(B$97="MPAN",IF(E$69,E$69,1),IF(H$69,H$69,1)))</f>
        <v>0</v>
      </c>
      <c r="H198" s="46">
        <f>0.01*'Input'!F$58*('Adjust'!$E$275*E198+'Adjust'!$F$275*F198)+10*('Adjust'!$B$275*B198+'Adjust'!$C$275*C198+'Adjust'!$D$275*D198+'Adjust'!$G$275*G198)</f>
        <v>0</v>
      </c>
      <c r="I198" s="17"/>
    </row>
    <row r="199" spans="1:9">
      <c r="A199" s="29" t="s">
        <v>183</v>
      </c>
      <c r="I199" s="17"/>
    </row>
    <row r="200" spans="1:9">
      <c r="A200" s="4" t="s">
        <v>183</v>
      </c>
      <c r="B200" s="38">
        <f>B$70/IF(B$98="kVA",IF(F$70,F$70,1),IF(B$98="MPAN",IF(E$70,E$70,1),IF(H$70,H$70,1)))</f>
        <v>0</v>
      </c>
      <c r="C200" s="38">
        <f>C$70/IF(B$98="kVA",IF(F$70,F$70,1),IF(B$98="MPAN",IF(E$70,E$70,1),IF(H$70,H$70,1)))</f>
        <v>0</v>
      </c>
      <c r="D200" s="38">
        <f>D$70/IF(B$98="kVA",IF(F$70,F$70,1),IF(B$98="MPAN",IF(E$70,E$70,1),IF(H$70,H$70,1)))</f>
        <v>0</v>
      </c>
      <c r="E200" s="38">
        <f>E$70/IF(B$98="kVA",IF(F$70,F$70,1),IF(B$98="MPAN",IF(E$70,E$70,1),IF(H$70,H$70,1)))</f>
        <v>0</v>
      </c>
      <c r="F200" s="38">
        <f>F$70/IF(B$98="kVA",IF(F$70,F$70,1),IF(B$98="MPAN",IF(E$70,E$70,1),IF(H$70,H$70,1)))</f>
        <v>0</v>
      </c>
      <c r="G200" s="38">
        <f>G$70/IF(B$98="kVA",IF(F$70,F$70,1),IF(B$98="MPAN",IF(E$70,E$70,1),IF(H$70,H$70,1)))</f>
        <v>0</v>
      </c>
      <c r="H200" s="46">
        <f>0.01*'Input'!F$58*('Adjust'!$E$277*E200+'Adjust'!$F$277*F200)+10*('Adjust'!$B$277*B200+'Adjust'!$C$277*C200+'Adjust'!$D$277*D200+'Adjust'!$G$277*G200)</f>
        <v>0</v>
      </c>
      <c r="I200" s="17"/>
    </row>
    <row r="201" spans="1:9">
      <c r="A201" s="4" t="s">
        <v>278</v>
      </c>
      <c r="B201" s="38">
        <f>B$70/IF(B$98="kVA",IF(F$70,F$70,1),IF(B$98="MPAN",IF(E$70,E$70,1),IF(H$70,H$70,1)))</f>
        <v>0</v>
      </c>
      <c r="C201" s="38">
        <f>C$70/IF(B$98="kVA",IF(F$70,F$70,1),IF(B$98="MPAN",IF(E$70,E$70,1),IF(H$70,H$70,1)))</f>
        <v>0</v>
      </c>
      <c r="D201" s="38">
        <f>D$70/IF(B$98="kVA",IF(F$70,F$70,1),IF(B$98="MPAN",IF(E$70,E$70,1),IF(H$70,H$70,1)))</f>
        <v>0</v>
      </c>
      <c r="E201" s="38">
        <f>E$70/IF(B$98="kVA",IF(F$70,F$70,1),IF(B$98="MPAN",IF(E$70,E$70,1),IF(H$70,H$70,1)))</f>
        <v>0</v>
      </c>
      <c r="F201" s="38">
        <f>F$70/IF(B$98="kVA",IF(F$70,F$70,1),IF(B$98="MPAN",IF(E$70,E$70,1),IF(H$70,H$70,1)))</f>
        <v>0</v>
      </c>
      <c r="G201" s="38">
        <f>G$70/IF(B$98="kVA",IF(F$70,F$70,1),IF(B$98="MPAN",IF(E$70,E$70,1),IF(H$70,H$70,1)))</f>
        <v>0</v>
      </c>
      <c r="H201" s="46">
        <f>0.01*'Input'!F$58*('Adjust'!$E$278*E201+'Adjust'!$F$278*F201)+10*('Adjust'!$B$278*B201+'Adjust'!$C$278*C201+'Adjust'!$D$278*D201+'Adjust'!$G$278*G201)</f>
        <v>0</v>
      </c>
      <c r="I201" s="17"/>
    </row>
    <row r="202" spans="1:9">
      <c r="A202" s="29" t="s">
        <v>184</v>
      </c>
      <c r="I202" s="17"/>
    </row>
    <row r="203" spans="1:9">
      <c r="A203" s="4" t="s">
        <v>184</v>
      </c>
      <c r="B203" s="38">
        <f>B$71/IF(B$99="kVA",IF(F$71,F$71,1),IF(B$99="MPAN",IF(E$71,E$71,1),IF(H$71,H$71,1)))</f>
        <v>0</v>
      </c>
      <c r="C203" s="38">
        <f>C$71/IF(B$99="kVA",IF(F$71,F$71,1),IF(B$99="MPAN",IF(E$71,E$71,1),IF(H$71,H$71,1)))</f>
        <v>0</v>
      </c>
      <c r="D203" s="38">
        <f>D$71/IF(B$99="kVA",IF(F$71,F$71,1),IF(B$99="MPAN",IF(E$71,E$71,1),IF(H$71,H$71,1)))</f>
        <v>0</v>
      </c>
      <c r="E203" s="38">
        <f>E$71/IF(B$99="kVA",IF(F$71,F$71,1),IF(B$99="MPAN",IF(E$71,E$71,1),IF(H$71,H$71,1)))</f>
        <v>0</v>
      </c>
      <c r="F203" s="38">
        <f>F$71/IF(B$99="kVA",IF(F$71,F$71,1),IF(B$99="MPAN",IF(E$71,E$71,1),IF(H$71,H$71,1)))</f>
        <v>0</v>
      </c>
      <c r="G203" s="38">
        <f>G$71/IF(B$99="kVA",IF(F$71,F$71,1),IF(B$99="MPAN",IF(E$71,E$71,1),IF(H$71,H$71,1)))</f>
        <v>0</v>
      </c>
      <c r="H203" s="46">
        <f>0.01*'Input'!F$58*('Adjust'!$E$280*E203+'Adjust'!$F$280*F203)+10*('Adjust'!$B$280*B203+'Adjust'!$C$280*C203+'Adjust'!$D$280*D203+'Adjust'!$G$280*G203)</f>
        <v>0</v>
      </c>
      <c r="I203" s="17"/>
    </row>
    <row r="204" spans="1:9">
      <c r="A204" s="4" t="s">
        <v>280</v>
      </c>
      <c r="B204" s="38">
        <f>B$71/IF(B$99="kVA",IF(F$71,F$71,1),IF(B$99="MPAN",IF(E$71,E$71,1),IF(H$71,H$71,1)))</f>
        <v>0</v>
      </c>
      <c r="C204" s="38">
        <f>C$71/IF(B$99="kVA",IF(F$71,F$71,1),IF(B$99="MPAN",IF(E$71,E$71,1),IF(H$71,H$71,1)))</f>
        <v>0</v>
      </c>
      <c r="D204" s="38">
        <f>D$71/IF(B$99="kVA",IF(F$71,F$71,1),IF(B$99="MPAN",IF(E$71,E$71,1),IF(H$71,H$71,1)))</f>
        <v>0</v>
      </c>
      <c r="E204" s="38">
        <f>E$71/IF(B$99="kVA",IF(F$71,F$71,1),IF(B$99="MPAN",IF(E$71,E$71,1),IF(H$71,H$71,1)))</f>
        <v>0</v>
      </c>
      <c r="F204" s="38">
        <f>F$71/IF(B$99="kVA",IF(F$71,F$71,1),IF(B$99="MPAN",IF(E$71,E$71,1),IF(H$71,H$71,1)))</f>
        <v>0</v>
      </c>
      <c r="G204" s="38">
        <f>G$71/IF(B$99="kVA",IF(F$71,F$71,1),IF(B$99="MPAN",IF(E$71,E$71,1),IF(H$71,H$71,1)))</f>
        <v>0</v>
      </c>
      <c r="H204" s="46">
        <f>0.01*'Input'!F$58*('Adjust'!$E$281*E204+'Adjust'!$F$281*F204)+10*('Adjust'!$B$281*B204+'Adjust'!$C$281*C204+'Adjust'!$D$281*D204+'Adjust'!$G$281*G204)</f>
        <v>0</v>
      </c>
      <c r="I204" s="17"/>
    </row>
    <row r="205" spans="1:9">
      <c r="A205" s="4" t="s">
        <v>281</v>
      </c>
      <c r="B205" s="38">
        <f>B$71/IF(B$99="kVA",IF(F$71,F$71,1),IF(B$99="MPAN",IF(E$71,E$71,1),IF(H$71,H$71,1)))</f>
        <v>0</v>
      </c>
      <c r="C205" s="38">
        <f>C$71/IF(B$99="kVA",IF(F$71,F$71,1),IF(B$99="MPAN",IF(E$71,E$71,1),IF(H$71,H$71,1)))</f>
        <v>0</v>
      </c>
      <c r="D205" s="38">
        <f>D$71/IF(B$99="kVA",IF(F$71,F$71,1),IF(B$99="MPAN",IF(E$71,E$71,1),IF(H$71,H$71,1)))</f>
        <v>0</v>
      </c>
      <c r="E205" s="38">
        <f>E$71/IF(B$99="kVA",IF(F$71,F$71,1),IF(B$99="MPAN",IF(E$71,E$71,1),IF(H$71,H$71,1)))</f>
        <v>0</v>
      </c>
      <c r="F205" s="38">
        <f>F$71/IF(B$99="kVA",IF(F$71,F$71,1),IF(B$99="MPAN",IF(E$71,E$71,1),IF(H$71,H$71,1)))</f>
        <v>0</v>
      </c>
      <c r="G205" s="38">
        <f>G$71/IF(B$99="kVA",IF(F$71,F$71,1),IF(B$99="MPAN",IF(E$71,E$71,1),IF(H$71,H$71,1)))</f>
        <v>0</v>
      </c>
      <c r="H205" s="46">
        <f>0.01*'Input'!F$58*('Adjust'!$E$282*E205+'Adjust'!$F$282*F205)+10*('Adjust'!$B$282*B205+'Adjust'!$C$282*C205+'Adjust'!$D$282*D205+'Adjust'!$G$282*G205)</f>
        <v>0</v>
      </c>
      <c r="I205" s="17"/>
    </row>
    <row r="206" spans="1:9">
      <c r="A206" s="29" t="s">
        <v>185</v>
      </c>
      <c r="I206" s="17"/>
    </row>
    <row r="207" spans="1:9">
      <c r="A207" s="4" t="s">
        <v>185</v>
      </c>
      <c r="B207" s="38">
        <f>B$72/IF(B$100="kVA",IF(F$72,F$72,1),IF(B$100="MPAN",IF(E$72,E$72,1),IF(H$72,H$72,1)))</f>
        <v>0</v>
      </c>
      <c r="C207" s="38">
        <f>C$72/IF(B$100="kVA",IF(F$72,F$72,1),IF(B$100="MPAN",IF(E$72,E$72,1),IF(H$72,H$72,1)))</f>
        <v>0</v>
      </c>
      <c r="D207" s="38">
        <f>D$72/IF(B$100="kVA",IF(F$72,F$72,1),IF(B$100="MPAN",IF(E$72,E$72,1),IF(H$72,H$72,1)))</f>
        <v>0</v>
      </c>
      <c r="E207" s="38">
        <f>E$72/IF(B$100="kVA",IF(F$72,F$72,1),IF(B$100="MPAN",IF(E$72,E$72,1),IF(H$72,H$72,1)))</f>
        <v>0</v>
      </c>
      <c r="F207" s="38">
        <f>F$72/IF(B$100="kVA",IF(F$72,F$72,1),IF(B$100="MPAN",IF(E$72,E$72,1),IF(H$72,H$72,1)))</f>
        <v>0</v>
      </c>
      <c r="G207" s="38">
        <f>G$72/IF(B$100="kVA",IF(F$72,F$72,1),IF(B$100="MPAN",IF(E$72,E$72,1),IF(H$72,H$72,1)))</f>
        <v>0</v>
      </c>
      <c r="H207" s="46">
        <f>0.01*'Input'!F$58*('Adjust'!$E$284*E207+'Adjust'!$F$284*F207)+10*('Adjust'!$B$284*B207+'Adjust'!$C$284*C207+'Adjust'!$D$284*D207+'Adjust'!$G$284*G207)</f>
        <v>0</v>
      </c>
      <c r="I207" s="17"/>
    </row>
    <row r="208" spans="1:9">
      <c r="A208" s="4" t="s">
        <v>283</v>
      </c>
      <c r="B208" s="38">
        <f>B$72/IF(B$100="kVA",IF(F$72,F$72,1),IF(B$100="MPAN",IF(E$72,E$72,1),IF(H$72,H$72,1)))</f>
        <v>0</v>
      </c>
      <c r="C208" s="38">
        <f>C$72/IF(B$100="kVA",IF(F$72,F$72,1),IF(B$100="MPAN",IF(E$72,E$72,1),IF(H$72,H$72,1)))</f>
        <v>0</v>
      </c>
      <c r="D208" s="38">
        <f>D$72/IF(B$100="kVA",IF(F$72,F$72,1),IF(B$100="MPAN",IF(E$72,E$72,1),IF(H$72,H$72,1)))</f>
        <v>0</v>
      </c>
      <c r="E208" s="38">
        <f>E$72/IF(B$100="kVA",IF(F$72,F$72,1),IF(B$100="MPAN",IF(E$72,E$72,1),IF(H$72,H$72,1)))</f>
        <v>0</v>
      </c>
      <c r="F208" s="38">
        <f>F$72/IF(B$100="kVA",IF(F$72,F$72,1),IF(B$100="MPAN",IF(E$72,E$72,1),IF(H$72,H$72,1)))</f>
        <v>0</v>
      </c>
      <c r="G208" s="38">
        <f>G$72/IF(B$100="kVA",IF(F$72,F$72,1),IF(B$100="MPAN",IF(E$72,E$72,1),IF(H$72,H$72,1)))</f>
        <v>0</v>
      </c>
      <c r="H208" s="46">
        <f>0.01*'Input'!F$58*('Adjust'!$E$285*E208+'Adjust'!$F$285*F208)+10*('Adjust'!$B$285*B208+'Adjust'!$C$285*C208+'Adjust'!$D$285*D208+'Adjust'!$G$285*G208)</f>
        <v>0</v>
      </c>
      <c r="I208" s="17"/>
    </row>
    <row r="209" spans="1:9">
      <c r="A209" s="4" t="s">
        <v>284</v>
      </c>
      <c r="B209" s="38">
        <f>B$72/IF(B$100="kVA",IF(F$72,F$72,1),IF(B$100="MPAN",IF(E$72,E$72,1),IF(H$72,H$72,1)))</f>
        <v>0</v>
      </c>
      <c r="C209" s="38">
        <f>C$72/IF(B$100="kVA",IF(F$72,F$72,1),IF(B$100="MPAN",IF(E$72,E$72,1),IF(H$72,H$72,1)))</f>
        <v>0</v>
      </c>
      <c r="D209" s="38">
        <f>D$72/IF(B$100="kVA",IF(F$72,F$72,1),IF(B$100="MPAN",IF(E$72,E$72,1),IF(H$72,H$72,1)))</f>
        <v>0</v>
      </c>
      <c r="E209" s="38">
        <f>E$72/IF(B$100="kVA",IF(F$72,F$72,1),IF(B$100="MPAN",IF(E$72,E$72,1),IF(H$72,H$72,1)))</f>
        <v>0</v>
      </c>
      <c r="F209" s="38">
        <f>F$72/IF(B$100="kVA",IF(F$72,F$72,1),IF(B$100="MPAN",IF(E$72,E$72,1),IF(H$72,H$72,1)))</f>
        <v>0</v>
      </c>
      <c r="G209" s="38">
        <f>G$72/IF(B$100="kVA",IF(F$72,F$72,1),IF(B$100="MPAN",IF(E$72,E$72,1),IF(H$72,H$72,1)))</f>
        <v>0</v>
      </c>
      <c r="H209" s="46">
        <f>0.01*'Input'!F$58*('Adjust'!$E$286*E209+'Adjust'!$F$286*F209)+10*('Adjust'!$B$286*B209+'Adjust'!$C$286*C209+'Adjust'!$D$286*D209+'Adjust'!$G$286*G209)</f>
        <v>0</v>
      </c>
      <c r="I209" s="17"/>
    </row>
    <row r="210" spans="1:9">
      <c r="A210" s="29" t="s">
        <v>186</v>
      </c>
      <c r="I210" s="17"/>
    </row>
    <row r="211" spans="1:9">
      <c r="A211" s="4" t="s">
        <v>186</v>
      </c>
      <c r="B211" s="38">
        <f>B$73/IF(B$101="kVA",IF(F$73,F$73,1),IF(B$101="MPAN",IF(E$73,E$73,1),IF(H$73,H$73,1)))</f>
        <v>0</v>
      </c>
      <c r="C211" s="38">
        <f>C$73/IF(B$101="kVA",IF(F$73,F$73,1),IF(B$101="MPAN",IF(E$73,E$73,1),IF(H$73,H$73,1)))</f>
        <v>0</v>
      </c>
      <c r="D211" s="38">
        <f>D$73/IF(B$101="kVA",IF(F$73,F$73,1),IF(B$101="MPAN",IF(E$73,E$73,1),IF(H$73,H$73,1)))</f>
        <v>0</v>
      </c>
      <c r="E211" s="38">
        <f>E$73/IF(B$101="kVA",IF(F$73,F$73,1),IF(B$101="MPAN",IF(E$73,E$73,1),IF(H$73,H$73,1)))</f>
        <v>0</v>
      </c>
      <c r="F211" s="38">
        <f>F$73/IF(B$101="kVA",IF(F$73,F$73,1),IF(B$101="MPAN",IF(E$73,E$73,1),IF(H$73,H$73,1)))</f>
        <v>0</v>
      </c>
      <c r="G211" s="38">
        <f>G$73/IF(B$101="kVA",IF(F$73,F$73,1),IF(B$101="MPAN",IF(E$73,E$73,1),IF(H$73,H$73,1)))</f>
        <v>0</v>
      </c>
      <c r="H211" s="46">
        <f>0.01*'Input'!F$58*('Adjust'!$E$288*E211+'Adjust'!$F$288*F211)+10*('Adjust'!$B$288*B211+'Adjust'!$C$288*C211+'Adjust'!$D$288*D211+'Adjust'!$G$288*G211)</f>
        <v>0</v>
      </c>
      <c r="I211" s="17"/>
    </row>
    <row r="212" spans="1:9">
      <c r="A212" s="4" t="s">
        <v>286</v>
      </c>
      <c r="B212" s="38">
        <f>B$73/IF(B$101="kVA",IF(F$73,F$73,1),IF(B$101="MPAN",IF(E$73,E$73,1),IF(H$73,H$73,1)))</f>
        <v>0</v>
      </c>
      <c r="C212" s="38">
        <f>C$73/IF(B$101="kVA",IF(F$73,F$73,1),IF(B$101="MPAN",IF(E$73,E$73,1),IF(H$73,H$73,1)))</f>
        <v>0</v>
      </c>
      <c r="D212" s="38">
        <f>D$73/IF(B$101="kVA",IF(F$73,F$73,1),IF(B$101="MPAN",IF(E$73,E$73,1),IF(H$73,H$73,1)))</f>
        <v>0</v>
      </c>
      <c r="E212" s="38">
        <f>E$73/IF(B$101="kVA",IF(F$73,F$73,1),IF(B$101="MPAN",IF(E$73,E$73,1),IF(H$73,H$73,1)))</f>
        <v>0</v>
      </c>
      <c r="F212" s="38">
        <f>F$73/IF(B$101="kVA",IF(F$73,F$73,1),IF(B$101="MPAN",IF(E$73,E$73,1),IF(H$73,H$73,1)))</f>
        <v>0</v>
      </c>
      <c r="G212" s="38">
        <f>G$73/IF(B$101="kVA",IF(F$73,F$73,1),IF(B$101="MPAN",IF(E$73,E$73,1),IF(H$73,H$73,1)))</f>
        <v>0</v>
      </c>
      <c r="H212" s="46">
        <f>0.01*'Input'!F$58*('Adjust'!$E$289*E212+'Adjust'!$F$289*F212)+10*('Adjust'!$B$289*B212+'Adjust'!$C$289*C212+'Adjust'!$D$289*D212+'Adjust'!$G$289*G212)</f>
        <v>0</v>
      </c>
      <c r="I212" s="17"/>
    </row>
    <row r="213" spans="1:9">
      <c r="A213" s="29" t="s">
        <v>187</v>
      </c>
      <c r="I213" s="17"/>
    </row>
    <row r="214" spans="1:9">
      <c r="A214" s="4" t="s">
        <v>187</v>
      </c>
      <c r="B214" s="38">
        <f>B$74/IF(B$102="kVA",IF(F$74,F$74,1),IF(B$102="MPAN",IF(E$74,E$74,1),IF(H$74,H$74,1)))</f>
        <v>0</v>
      </c>
      <c r="C214" s="38">
        <f>C$74/IF(B$102="kVA",IF(F$74,F$74,1),IF(B$102="MPAN",IF(E$74,E$74,1),IF(H$74,H$74,1)))</f>
        <v>0</v>
      </c>
      <c r="D214" s="38">
        <f>D$74/IF(B$102="kVA",IF(F$74,F$74,1),IF(B$102="MPAN",IF(E$74,E$74,1),IF(H$74,H$74,1)))</f>
        <v>0</v>
      </c>
      <c r="E214" s="38">
        <f>E$74/IF(B$102="kVA",IF(F$74,F$74,1),IF(B$102="MPAN",IF(E$74,E$74,1),IF(H$74,H$74,1)))</f>
        <v>0</v>
      </c>
      <c r="F214" s="38">
        <f>F$74/IF(B$102="kVA",IF(F$74,F$74,1),IF(B$102="MPAN",IF(E$74,E$74,1),IF(H$74,H$74,1)))</f>
        <v>0</v>
      </c>
      <c r="G214" s="38">
        <f>G$74/IF(B$102="kVA",IF(F$74,F$74,1),IF(B$102="MPAN",IF(E$74,E$74,1),IF(H$74,H$74,1)))</f>
        <v>0</v>
      </c>
      <c r="H214" s="46">
        <f>0.01*'Input'!F$58*('Adjust'!$E$291*E214+'Adjust'!$F$291*F214)+10*('Adjust'!$B$291*B214+'Adjust'!$C$291*C214+'Adjust'!$D$291*D214+'Adjust'!$G$291*G214)</f>
        <v>0</v>
      </c>
      <c r="I214" s="17"/>
    </row>
    <row r="215" spans="1:9">
      <c r="A215" s="4" t="s">
        <v>288</v>
      </c>
      <c r="B215" s="38">
        <f>B$74/IF(B$102="kVA",IF(F$74,F$74,1),IF(B$102="MPAN",IF(E$74,E$74,1),IF(H$74,H$74,1)))</f>
        <v>0</v>
      </c>
      <c r="C215" s="38">
        <f>C$74/IF(B$102="kVA",IF(F$74,F$74,1),IF(B$102="MPAN",IF(E$74,E$74,1),IF(H$74,H$74,1)))</f>
        <v>0</v>
      </c>
      <c r="D215" s="38">
        <f>D$74/IF(B$102="kVA",IF(F$74,F$74,1),IF(B$102="MPAN",IF(E$74,E$74,1),IF(H$74,H$74,1)))</f>
        <v>0</v>
      </c>
      <c r="E215" s="38">
        <f>E$74/IF(B$102="kVA",IF(F$74,F$74,1),IF(B$102="MPAN",IF(E$74,E$74,1),IF(H$74,H$74,1)))</f>
        <v>0</v>
      </c>
      <c r="F215" s="38">
        <f>F$74/IF(B$102="kVA",IF(F$74,F$74,1),IF(B$102="MPAN",IF(E$74,E$74,1),IF(H$74,H$74,1)))</f>
        <v>0</v>
      </c>
      <c r="G215" s="38">
        <f>G$74/IF(B$102="kVA",IF(F$74,F$74,1),IF(B$102="MPAN",IF(E$74,E$74,1),IF(H$74,H$74,1)))</f>
        <v>0</v>
      </c>
      <c r="H215" s="46">
        <f>0.01*'Input'!F$58*('Adjust'!$E$292*E215+'Adjust'!$F$292*F215)+10*('Adjust'!$B$292*B215+'Adjust'!$C$292*C215+'Adjust'!$D$292*D215+'Adjust'!$G$292*G215)</f>
        <v>0</v>
      </c>
      <c r="I215" s="17"/>
    </row>
    <row r="216" spans="1:9">
      <c r="A216" s="29" t="s">
        <v>194</v>
      </c>
      <c r="I216" s="17"/>
    </row>
    <row r="217" spans="1:9">
      <c r="A217" s="4" t="s">
        <v>194</v>
      </c>
      <c r="B217" s="38">
        <f>B$75/IF(B$103="kVA",IF(F$75,F$75,1),IF(B$103="MPAN",IF(E$75,E$75,1),IF(H$75,H$75,1)))</f>
        <v>0</v>
      </c>
      <c r="C217" s="38">
        <f>C$75/IF(B$103="kVA",IF(F$75,F$75,1),IF(B$103="MPAN",IF(E$75,E$75,1),IF(H$75,H$75,1)))</f>
        <v>0</v>
      </c>
      <c r="D217" s="38">
        <f>D$75/IF(B$103="kVA",IF(F$75,F$75,1),IF(B$103="MPAN",IF(E$75,E$75,1),IF(H$75,H$75,1)))</f>
        <v>0</v>
      </c>
      <c r="E217" s="38">
        <f>E$75/IF(B$103="kVA",IF(F$75,F$75,1),IF(B$103="MPAN",IF(E$75,E$75,1),IF(H$75,H$75,1)))</f>
        <v>0</v>
      </c>
      <c r="F217" s="38">
        <f>F$75/IF(B$103="kVA",IF(F$75,F$75,1),IF(B$103="MPAN",IF(E$75,E$75,1),IF(H$75,H$75,1)))</f>
        <v>0</v>
      </c>
      <c r="G217" s="38">
        <f>G$75/IF(B$103="kVA",IF(F$75,F$75,1),IF(B$103="MPAN",IF(E$75,E$75,1),IF(H$75,H$75,1)))</f>
        <v>0</v>
      </c>
      <c r="H217" s="46">
        <f>0.01*'Input'!F$58*('Adjust'!$E$294*E217+'Adjust'!$F$294*F217)+10*('Adjust'!$B$294*B217+'Adjust'!$C$294*C217+'Adjust'!$D$294*D217+'Adjust'!$G$294*G217)</f>
        <v>0</v>
      </c>
      <c r="I217" s="17"/>
    </row>
    <row r="218" spans="1:9">
      <c r="A218" s="4" t="s">
        <v>290</v>
      </c>
      <c r="B218" s="38">
        <f>B$75/IF(B$103="kVA",IF(F$75,F$75,1),IF(B$103="MPAN",IF(E$75,E$75,1),IF(H$75,H$75,1)))</f>
        <v>0</v>
      </c>
      <c r="C218" s="38">
        <f>C$75/IF(B$103="kVA",IF(F$75,F$75,1),IF(B$103="MPAN",IF(E$75,E$75,1),IF(H$75,H$75,1)))</f>
        <v>0</v>
      </c>
      <c r="D218" s="38">
        <f>D$75/IF(B$103="kVA",IF(F$75,F$75,1),IF(B$103="MPAN",IF(E$75,E$75,1),IF(H$75,H$75,1)))</f>
        <v>0</v>
      </c>
      <c r="E218" s="38">
        <f>E$75/IF(B$103="kVA",IF(F$75,F$75,1),IF(B$103="MPAN",IF(E$75,E$75,1),IF(H$75,H$75,1)))</f>
        <v>0</v>
      </c>
      <c r="F218" s="38">
        <f>F$75/IF(B$103="kVA",IF(F$75,F$75,1),IF(B$103="MPAN",IF(E$75,E$75,1),IF(H$75,H$75,1)))</f>
        <v>0</v>
      </c>
      <c r="G218" s="38">
        <f>G$75/IF(B$103="kVA",IF(F$75,F$75,1),IF(B$103="MPAN",IF(E$75,E$75,1),IF(H$75,H$75,1)))</f>
        <v>0</v>
      </c>
      <c r="H218" s="46">
        <f>0.01*'Input'!F$58*('Adjust'!$E$295*E218+'Adjust'!$F$295*F218)+10*('Adjust'!$B$295*B218+'Adjust'!$C$295*C218+'Adjust'!$D$295*D218+'Adjust'!$G$295*G218)</f>
        <v>0</v>
      </c>
      <c r="I218" s="17"/>
    </row>
    <row r="219" spans="1:9">
      <c r="A219" s="29" t="s">
        <v>195</v>
      </c>
      <c r="I219" s="17"/>
    </row>
    <row r="220" spans="1:9">
      <c r="A220" s="4" t="s">
        <v>195</v>
      </c>
      <c r="B220" s="38">
        <f>B$76/IF(B$104="kVA",IF(F$76,F$76,1),IF(B$104="MPAN",IF(E$76,E$76,1),IF(H$76,H$76,1)))</f>
        <v>0</v>
      </c>
      <c r="C220" s="38">
        <f>C$76/IF(B$104="kVA",IF(F$76,F$76,1),IF(B$104="MPAN",IF(E$76,E$76,1),IF(H$76,H$76,1)))</f>
        <v>0</v>
      </c>
      <c r="D220" s="38">
        <f>D$76/IF(B$104="kVA",IF(F$76,F$76,1),IF(B$104="MPAN",IF(E$76,E$76,1),IF(H$76,H$76,1)))</f>
        <v>0</v>
      </c>
      <c r="E220" s="38">
        <f>E$76/IF(B$104="kVA",IF(F$76,F$76,1),IF(B$104="MPAN",IF(E$76,E$76,1),IF(H$76,H$76,1)))</f>
        <v>0</v>
      </c>
      <c r="F220" s="38">
        <f>F$76/IF(B$104="kVA",IF(F$76,F$76,1),IF(B$104="MPAN",IF(E$76,E$76,1),IF(H$76,H$76,1)))</f>
        <v>0</v>
      </c>
      <c r="G220" s="38">
        <f>G$76/IF(B$104="kVA",IF(F$76,F$76,1),IF(B$104="MPAN",IF(E$76,E$76,1),IF(H$76,H$76,1)))</f>
        <v>0</v>
      </c>
      <c r="H220" s="46">
        <f>0.01*'Input'!F$58*('Adjust'!$E$297*E220+'Adjust'!$F$297*F220)+10*('Adjust'!$B$297*B220+'Adjust'!$C$297*C220+'Adjust'!$D$297*D220+'Adjust'!$G$297*G220)</f>
        <v>0</v>
      </c>
      <c r="I220" s="17"/>
    </row>
    <row r="221" spans="1:9">
      <c r="A221" s="4" t="s">
        <v>292</v>
      </c>
      <c r="B221" s="38">
        <f>B$76/IF(B$104="kVA",IF(F$76,F$76,1),IF(B$104="MPAN",IF(E$76,E$76,1),IF(H$76,H$76,1)))</f>
        <v>0</v>
      </c>
      <c r="C221" s="38">
        <f>C$76/IF(B$104="kVA",IF(F$76,F$76,1),IF(B$104="MPAN",IF(E$76,E$76,1),IF(H$76,H$76,1)))</f>
        <v>0</v>
      </c>
      <c r="D221" s="38">
        <f>D$76/IF(B$104="kVA",IF(F$76,F$76,1),IF(B$104="MPAN",IF(E$76,E$76,1),IF(H$76,H$76,1)))</f>
        <v>0</v>
      </c>
      <c r="E221" s="38">
        <f>E$76/IF(B$104="kVA",IF(F$76,F$76,1),IF(B$104="MPAN",IF(E$76,E$76,1),IF(H$76,H$76,1)))</f>
        <v>0</v>
      </c>
      <c r="F221" s="38">
        <f>F$76/IF(B$104="kVA",IF(F$76,F$76,1),IF(B$104="MPAN",IF(E$76,E$76,1),IF(H$76,H$76,1)))</f>
        <v>0</v>
      </c>
      <c r="G221" s="38">
        <f>G$76/IF(B$104="kVA",IF(F$76,F$76,1),IF(B$104="MPAN",IF(E$76,E$76,1),IF(H$76,H$76,1)))</f>
        <v>0</v>
      </c>
      <c r="H221" s="46">
        <f>0.01*'Input'!F$58*('Adjust'!$E$298*E221+'Adjust'!$F$298*F221)+10*('Adjust'!$B$298*B221+'Adjust'!$C$298*C221+'Adjust'!$D$298*D221+'Adjust'!$G$298*G221)</f>
        <v>0</v>
      </c>
      <c r="I221" s="17"/>
    </row>
    <row r="223" spans="1:9" ht="21" customHeight="1">
      <c r="A223" s="1" t="s">
        <v>1724</v>
      </c>
    </row>
    <row r="224" spans="1:9">
      <c r="A224" s="2" t="s">
        <v>351</v>
      </c>
    </row>
    <row r="225" spans="1:3">
      <c r="A225" s="33" t="s">
        <v>1725</v>
      </c>
    </row>
    <row r="226" spans="1:3">
      <c r="A226" s="2" t="s">
        <v>633</v>
      </c>
    </row>
    <row r="228" spans="1:3">
      <c r="B228" s="15" t="s">
        <v>1726</v>
      </c>
    </row>
    <row r="229" spans="1:3">
      <c r="A229" s="4" t="s">
        <v>229</v>
      </c>
      <c r="B229" s="47">
        <f>H$135</f>
        <v>0</v>
      </c>
      <c r="C229" s="17"/>
    </row>
    <row r="230" spans="1:3">
      <c r="A230" s="4" t="s">
        <v>232</v>
      </c>
      <c r="B230" s="47">
        <f>H$139</f>
        <v>0</v>
      </c>
      <c r="C230" s="17"/>
    </row>
    <row r="231" spans="1:3">
      <c r="A231" s="4" t="s">
        <v>235</v>
      </c>
      <c r="B231" s="47">
        <f>H$143</f>
        <v>0</v>
      </c>
      <c r="C231" s="17"/>
    </row>
    <row r="232" spans="1:3">
      <c r="A232" s="4" t="s">
        <v>238</v>
      </c>
      <c r="B232" s="47">
        <f>H$147</f>
        <v>0</v>
      </c>
      <c r="C232" s="17"/>
    </row>
    <row r="233" spans="1:3">
      <c r="A233" s="4" t="s">
        <v>241</v>
      </c>
      <c r="B233" s="47">
        <f>H$151</f>
        <v>0</v>
      </c>
      <c r="C233" s="17"/>
    </row>
    <row r="234" spans="1:3">
      <c r="A234" s="4" t="s">
        <v>244</v>
      </c>
      <c r="B234" s="47">
        <f>H$155</f>
        <v>0</v>
      </c>
      <c r="C234" s="17"/>
    </row>
    <row r="235" spans="1:3">
      <c r="A235" s="4" t="s">
        <v>247</v>
      </c>
      <c r="B235" s="47">
        <f>H$159</f>
        <v>0</v>
      </c>
      <c r="C235" s="17"/>
    </row>
    <row r="236" spans="1:3">
      <c r="A236" s="4" t="s">
        <v>250</v>
      </c>
      <c r="B236" s="47">
        <f>H$163</f>
        <v>0</v>
      </c>
      <c r="C236" s="17"/>
    </row>
    <row r="237" spans="1:3">
      <c r="A237" s="4" t="s">
        <v>253</v>
      </c>
      <c r="B237" s="47">
        <f>H$167</f>
        <v>0</v>
      </c>
      <c r="C237" s="17"/>
    </row>
    <row r="238" spans="1:3">
      <c r="A238" s="4" t="s">
        <v>1727</v>
      </c>
      <c r="B238" s="10"/>
      <c r="C238" s="17"/>
    </row>
    <row r="239" spans="1:3">
      <c r="A239" s="4" t="s">
        <v>1727</v>
      </c>
      <c r="B239" s="10"/>
      <c r="C239" s="17"/>
    </row>
    <row r="240" spans="1:3">
      <c r="A240" s="4" t="s">
        <v>260</v>
      </c>
      <c r="B240" s="47">
        <f>H$177</f>
        <v>0</v>
      </c>
      <c r="C240" s="17"/>
    </row>
    <row r="241" spans="1:3">
      <c r="A241" s="4" t="s">
        <v>263</v>
      </c>
      <c r="B241" s="47">
        <f>H$181</f>
        <v>0</v>
      </c>
      <c r="C241" s="17"/>
    </row>
    <row r="242" spans="1:3">
      <c r="A242" s="4" t="s">
        <v>266</v>
      </c>
      <c r="B242" s="47">
        <f>H$185</f>
        <v>0</v>
      </c>
      <c r="C242" s="17"/>
    </row>
    <row r="243" spans="1:3">
      <c r="A243" s="4" t="s">
        <v>269</v>
      </c>
      <c r="B243" s="47">
        <f>H$189</f>
        <v>0</v>
      </c>
      <c r="C243" s="17"/>
    </row>
    <row r="244" spans="1:3">
      <c r="A244" s="4" t="s">
        <v>272</v>
      </c>
      <c r="B244" s="47">
        <f>H$193</f>
        <v>0</v>
      </c>
      <c r="C244" s="17"/>
    </row>
    <row r="245" spans="1:3">
      <c r="A245" s="4" t="s">
        <v>275</v>
      </c>
      <c r="B245" s="47">
        <f>H$197</f>
        <v>0</v>
      </c>
      <c r="C245" s="17"/>
    </row>
    <row r="246" spans="1:3">
      <c r="A246" s="4" t="s">
        <v>1727</v>
      </c>
      <c r="B246" s="10"/>
      <c r="C246" s="17"/>
    </row>
    <row r="247" spans="1:3">
      <c r="A247" s="4" t="s">
        <v>280</v>
      </c>
      <c r="B247" s="47">
        <f>H$204</f>
        <v>0</v>
      </c>
      <c r="C247" s="17"/>
    </row>
    <row r="248" spans="1:3">
      <c r="A248" s="4" t="s">
        <v>283</v>
      </c>
      <c r="B248" s="47">
        <f>H$208</f>
        <v>0</v>
      </c>
      <c r="C248" s="17"/>
    </row>
    <row r="249" spans="1:3">
      <c r="A249" s="4" t="s">
        <v>1727</v>
      </c>
      <c r="B249" s="10"/>
      <c r="C249" s="17"/>
    </row>
    <row r="250" spans="1:3">
      <c r="A250" s="4" t="s">
        <v>1727</v>
      </c>
      <c r="B250" s="10"/>
      <c r="C250" s="17"/>
    </row>
    <row r="251" spans="1:3">
      <c r="A251" s="4" t="s">
        <v>1727</v>
      </c>
      <c r="B251" s="10"/>
      <c r="C251" s="17"/>
    </row>
    <row r="252" spans="1:3">
      <c r="A252" s="4" t="s">
        <v>1727</v>
      </c>
      <c r="B252" s="10"/>
      <c r="C252" s="17"/>
    </row>
    <row r="254" spans="1:3" ht="21" customHeight="1">
      <c r="A254" s="1" t="s">
        <v>1728</v>
      </c>
    </row>
    <row r="255" spans="1:3">
      <c r="A255" s="2" t="s">
        <v>351</v>
      </c>
    </row>
    <row r="256" spans="1:3">
      <c r="A256" s="33" t="s">
        <v>1725</v>
      </c>
    </row>
    <row r="257" spans="1:3">
      <c r="A257" s="2" t="s">
        <v>633</v>
      </c>
    </row>
    <row r="259" spans="1:3">
      <c r="B259" s="15" t="s">
        <v>1729</v>
      </c>
    </row>
    <row r="260" spans="1:3">
      <c r="A260" s="4" t="s">
        <v>230</v>
      </c>
      <c r="B260" s="47">
        <f>H$136</f>
        <v>0</v>
      </c>
      <c r="C260" s="17"/>
    </row>
    <row r="261" spans="1:3">
      <c r="A261" s="4" t="s">
        <v>233</v>
      </c>
      <c r="B261" s="47">
        <f>H$140</f>
        <v>0</v>
      </c>
      <c r="C261" s="17"/>
    </row>
    <row r="262" spans="1:3">
      <c r="A262" s="4" t="s">
        <v>236</v>
      </c>
      <c r="B262" s="47">
        <f>H$144</f>
        <v>0</v>
      </c>
      <c r="C262" s="17"/>
    </row>
    <row r="263" spans="1:3">
      <c r="A263" s="4" t="s">
        <v>239</v>
      </c>
      <c r="B263" s="47">
        <f>H$148</f>
        <v>0</v>
      </c>
      <c r="C263" s="17"/>
    </row>
    <row r="264" spans="1:3">
      <c r="A264" s="4" t="s">
        <v>242</v>
      </c>
      <c r="B264" s="47">
        <f>H$152</f>
        <v>0</v>
      </c>
      <c r="C264" s="17"/>
    </row>
    <row r="265" spans="1:3">
      <c r="A265" s="4" t="s">
        <v>245</v>
      </c>
      <c r="B265" s="47">
        <f>H$156</f>
        <v>0</v>
      </c>
      <c r="C265" s="17"/>
    </row>
    <row r="266" spans="1:3">
      <c r="A266" s="4" t="s">
        <v>248</v>
      </c>
      <c r="B266" s="47">
        <f>H$160</f>
        <v>0</v>
      </c>
      <c r="C266" s="17"/>
    </row>
    <row r="267" spans="1:3">
      <c r="A267" s="4" t="s">
        <v>251</v>
      </c>
      <c r="B267" s="47">
        <f>H$164</f>
        <v>0</v>
      </c>
      <c r="C267" s="17"/>
    </row>
    <row r="268" spans="1:3">
      <c r="A268" s="4" t="s">
        <v>254</v>
      </c>
      <c r="B268" s="47">
        <f>H$168</f>
        <v>0</v>
      </c>
      <c r="C268" s="17"/>
    </row>
    <row r="269" spans="1:3">
      <c r="A269" s="4" t="s">
        <v>256</v>
      </c>
      <c r="B269" s="47">
        <f>H$171</f>
        <v>0</v>
      </c>
      <c r="C269" s="17"/>
    </row>
    <row r="270" spans="1:3">
      <c r="A270" s="4" t="s">
        <v>258</v>
      </c>
      <c r="B270" s="47">
        <f>H$174</f>
        <v>0</v>
      </c>
      <c r="C270" s="17"/>
    </row>
    <row r="271" spans="1:3">
      <c r="A271" s="4" t="s">
        <v>261</v>
      </c>
      <c r="B271" s="47">
        <f>H$178</f>
        <v>0</v>
      </c>
      <c r="C271" s="17"/>
    </row>
    <row r="272" spans="1:3">
      <c r="A272" s="4" t="s">
        <v>264</v>
      </c>
      <c r="B272" s="47">
        <f>H$182</f>
        <v>0</v>
      </c>
      <c r="C272" s="17"/>
    </row>
    <row r="273" spans="1:3">
      <c r="A273" s="4" t="s">
        <v>267</v>
      </c>
      <c r="B273" s="47">
        <f>H$186</f>
        <v>0</v>
      </c>
      <c r="C273" s="17"/>
    </row>
    <row r="274" spans="1:3">
      <c r="A274" s="4" t="s">
        <v>270</v>
      </c>
      <c r="B274" s="47">
        <f>H$190</f>
        <v>0</v>
      </c>
      <c r="C274" s="17"/>
    </row>
    <row r="275" spans="1:3">
      <c r="A275" s="4" t="s">
        <v>273</v>
      </c>
      <c r="B275" s="47">
        <f>H$194</f>
        <v>0</v>
      </c>
      <c r="C275" s="17"/>
    </row>
    <row r="276" spans="1:3">
      <c r="A276" s="4" t="s">
        <v>276</v>
      </c>
      <c r="B276" s="47">
        <f>H$198</f>
        <v>0</v>
      </c>
      <c r="C276" s="17"/>
    </row>
    <row r="277" spans="1:3">
      <c r="A277" s="4" t="s">
        <v>278</v>
      </c>
      <c r="B277" s="47">
        <f>H$201</f>
        <v>0</v>
      </c>
      <c r="C277" s="17"/>
    </row>
    <row r="278" spans="1:3">
      <c r="A278" s="4" t="s">
        <v>281</v>
      </c>
      <c r="B278" s="47">
        <f>H$205</f>
        <v>0</v>
      </c>
      <c r="C278" s="17"/>
    </row>
    <row r="279" spans="1:3">
      <c r="A279" s="4" t="s">
        <v>284</v>
      </c>
      <c r="B279" s="47">
        <f>H$209</f>
        <v>0</v>
      </c>
      <c r="C279" s="17"/>
    </row>
    <row r="280" spans="1:3">
      <c r="A280" s="4" t="s">
        <v>286</v>
      </c>
      <c r="B280" s="47">
        <f>H$212</f>
        <v>0</v>
      </c>
      <c r="C280" s="17"/>
    </row>
    <row r="281" spans="1:3">
      <c r="A281" s="4" t="s">
        <v>288</v>
      </c>
      <c r="B281" s="47">
        <f>H$215</f>
        <v>0</v>
      </c>
      <c r="C281" s="17"/>
    </row>
    <row r="282" spans="1:3">
      <c r="A282" s="4" t="s">
        <v>290</v>
      </c>
      <c r="B282" s="47">
        <f>H$218</f>
        <v>0</v>
      </c>
      <c r="C282" s="17"/>
    </row>
    <row r="283" spans="1:3">
      <c r="A283" s="4" t="s">
        <v>292</v>
      </c>
      <c r="B283" s="47">
        <f>H$221</f>
        <v>0</v>
      </c>
      <c r="C283" s="17"/>
    </row>
  </sheetData>
  <sheetProtection sheet="1" objects="1" scenarios="1"/>
  <hyperlinks>
    <hyperlink ref="A6" location="'Input'!B354" display="x1 = 1201. Current revenues if known (£) (in Current tariff information)"/>
    <hyperlink ref="A7" location="'Input'!F57" display="x2 = 1010. Days in the charging year (in Financial and general assumptions)"/>
    <hyperlink ref="A8" location="'Input'!F354" display="x3 = 1201. Current Fixed charge p/MPAN/day (in Current tariff information)"/>
    <hyperlink ref="A9" location="'Input'!E179" display="x4 = 1053. MPANs by tariff (in Volume forecasts for the charging year)"/>
    <hyperlink ref="A10" location="'Input'!G354" display="x5 = 1201. Current Capacity charge p/kVA/day (in Current tariff information)"/>
    <hyperlink ref="A11" location="'Input'!F179" display="x6 = 1053. Import capacity (kVA) by tariff (in Volume forecasts for the charging year)"/>
    <hyperlink ref="A12" location="'Input'!C354" display="x7 = 1201. Current Unit rate 1 p/kWh (in Current tariff information)"/>
    <hyperlink ref="A13" location="'Input'!B179" display="x8 = 1053. Rate 1 units (MWh) by tariff (in Volume forecasts for the charging year)"/>
    <hyperlink ref="A14" location="'Input'!D354" display="x9 = 1201. Current Unit rate 2 p/kWh (in Current tariff information)"/>
    <hyperlink ref="A15" location="'Input'!C179" display="x10 = 1053. Rate 2 units (MWh) by tariff (in Volume forecasts for the charging year)"/>
    <hyperlink ref="A16" location="'Input'!E354" display="x11 = 1201. Current Unit rate 3 p/kWh (in Current tariff information)"/>
    <hyperlink ref="A17" location="'Input'!D179" display="x12 = 1053. Rate 3 units (MWh) by tariff (in Volume forecasts for the charging year)"/>
    <hyperlink ref="A18" location="'Input'!H354" display="x13 = 1201. Current Reactive power charge p/kVArh (in Current tariff information)"/>
    <hyperlink ref="A19" location="'Input'!G179" display="x14 = 1053. Reactive power units (MVArh) by tariff (in Volume forecasts for the charging year)"/>
    <hyperlink ref="A42" location="'Input'!B179" display="x1 = 1053. Rate 1 units (MWh) by tariff (in Volume forecasts for the charging year)"/>
    <hyperlink ref="A43" location="'Input'!C179" display="x2 = 1053. Rate 2 units (MWh) by tariff (in Volume forecasts for the charging year)"/>
    <hyperlink ref="A44" location="'Input'!D179" display="x3 = 1053. Rate 3 units (MWh) by tariff (in Volume forecasts for the charging year)"/>
    <hyperlink ref="A45" location="'Input'!E179" display="x4 = 1053. MPANs by tariff (in Volume forecasts for the charging year)"/>
    <hyperlink ref="A46" location="'Input'!F179" display="x5 = 1053. Import capacity (kVA) by tariff (in Volume forecasts for the charging year)"/>
    <hyperlink ref="A47" location="'Input'!G179" display="x6 = 1053. Reactive power units (MVArh) by tariff (in Volume forecasts for the charging year)"/>
    <hyperlink ref="A48" location="'Summary'!B44" display="x7 = 3802. All units (MWh) (in Revenue summary)"/>
    <hyperlink ref="A108" location="'CData'!B52" display="x1 = 4002. Rate 1 units (MWh) by tariff (in Volume forecasts for the charging year) (in All-the-way volumes)"/>
    <hyperlink ref="A109" location="'CData'!B80" display="x2 = 4003. Normalised to"/>
    <hyperlink ref="A110" location="'CData'!F52" display="x3 = 4002. Import capacity (kVA) by tariff (in Volume forecasts for the charging year) (in All-the-way volumes)"/>
    <hyperlink ref="A111" location="'CData'!E52" display="x4 = 4002. MPANs by tariff (in Volume forecasts for the charging year) (in All-the-way volumes)"/>
    <hyperlink ref="A112" location="'CData'!H52" display="x5 = 4002. All units (MWh) (in Revenue summary) (in All-the-way volumes)"/>
    <hyperlink ref="A113" location="'CData'!C52" display="x6 = 4002. Rate 2 units (MWh) by tariff (in Volume forecasts for the charging year) (in All-the-way volumes)"/>
    <hyperlink ref="A114" location="'CData'!D52" display="x7 = 4002. Rate 3 units (MWh) by tariff (in Volume forecasts for the charging year) (in All-the-way volumes)"/>
    <hyperlink ref="A115" location="'CData'!G52" display="x8 = 4002. Reactive power units (MVArh) by tariff (in Volume forecasts for the charging year) (in All-the-way volumes)"/>
    <hyperlink ref="A116" location="'Input'!F57" display="x9 = 1010. Days in the charging year (in Financial and general assumptions)"/>
    <hyperlink ref="A117" location="'Adjust'!E209" display="x10 = 3607. Fixed charge p/MPAN/day (in Tariffs)"/>
    <hyperlink ref="A118" location="'CData'!E132" display="x11 = Normalised MPANs (in Normalised volumes for comparisons)"/>
    <hyperlink ref="A119" location="'Adjust'!F209" display="x12 = 3607. Capacity charge p/kVA/day (in Tariffs)"/>
    <hyperlink ref="A120" location="'CData'!F132" display="x13 = Normalised Import capacity (kVA) (in Normalised volumes for comparisons)"/>
    <hyperlink ref="A121" location="'Adjust'!B209" display="x14 = 3607. Unit rate 1 p/kWh (in Tariffs)"/>
    <hyperlink ref="A122" location="'CData'!B132" display="x15 = Normalised Rate 1 units (MWh) (in Normalised volumes for comparisons)"/>
    <hyperlink ref="A123" location="'Adjust'!C209" display="x16 = 3607. Unit rate 2 p/kWh (in Tariffs)"/>
    <hyperlink ref="A124" location="'CData'!C132" display="x17 = Normalised Rate 2 units (MWh) (in Normalised volumes for comparisons)"/>
    <hyperlink ref="A125" location="'Adjust'!D209" display="x18 = 3607. Unit rate 3 p/kWh (in Tariffs)"/>
    <hyperlink ref="A126" location="'CData'!D132" display="x19 = Normalised Rate 3 units (MWh) (in Normalised volumes for comparisons)"/>
    <hyperlink ref="A127" location="'Adjust'!G209" display="x20 = 3607. Reactive power charge p/kVArh (in Tariffs)"/>
    <hyperlink ref="A128" location="'CData'!G132" display="x21 = Normalised Reactive power units (MVArh) (in Normalised volumes for comparisons)"/>
    <hyperlink ref="A225" location="'CData'!H132" display="x1 = 4004. Normalised revenues (£) (in Normalised volumes for comparisons)"/>
    <hyperlink ref="A256" location="'CData'!H132" display="x1 = 4004. Normalised revenues (£) (in Normalised volumes for comparison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16.7109375" customWidth="1"/>
  </cols>
  <sheetData>
    <row r="1" spans="1:5" ht="21" customHeight="1">
      <c r="A1" s="1">
        <f>"Tariff comparisons for "&amp;'Input'!B7&amp;" in "&amp;'Input'!C7&amp;" ("&amp;'Input'!D7&amp;")"</f>
        <v>0</v>
      </c>
    </row>
    <row r="2" spans="1:5">
      <c r="A2" s="2" t="s">
        <v>1552</v>
      </c>
    </row>
    <row r="4" spans="1:5" ht="21" customHeight="1">
      <c r="A4" s="1" t="s">
        <v>1730</v>
      </c>
    </row>
    <row r="5" spans="1:5">
      <c r="A5" s="2" t="s">
        <v>351</v>
      </c>
    </row>
    <row r="6" spans="1:5">
      <c r="A6" s="33" t="s">
        <v>1731</v>
      </c>
    </row>
    <row r="7" spans="1:5">
      <c r="A7" s="33" t="s">
        <v>1732</v>
      </c>
    </row>
    <row r="8" spans="1:5">
      <c r="A8" s="33" t="s">
        <v>1733</v>
      </c>
    </row>
    <row r="9" spans="1:5">
      <c r="A9" s="33" t="s">
        <v>1564</v>
      </c>
    </row>
    <row r="10" spans="1:5">
      <c r="A10" s="34" t="s">
        <v>354</v>
      </c>
      <c r="B10" s="34" t="s">
        <v>484</v>
      </c>
      <c r="C10" s="34" t="s">
        <v>484</v>
      </c>
      <c r="D10" s="34" t="s">
        <v>413</v>
      </c>
    </row>
    <row r="11" spans="1:5">
      <c r="A11" s="34" t="s">
        <v>357</v>
      </c>
      <c r="B11" s="34" t="s">
        <v>1734</v>
      </c>
      <c r="C11" s="34" t="s">
        <v>1735</v>
      </c>
      <c r="D11" s="34" t="s">
        <v>1014</v>
      </c>
    </row>
    <row r="13" spans="1:5">
      <c r="B13" s="15" t="s">
        <v>1736</v>
      </c>
      <c r="C13" s="15" t="s">
        <v>1737</v>
      </c>
      <c r="D13" s="15" t="s">
        <v>225</v>
      </c>
    </row>
    <row r="14" spans="1:5">
      <c r="A14" s="4" t="s">
        <v>174</v>
      </c>
      <c r="B14" s="49">
        <f>IF('CData'!B23,'Summary'!D$46/'CData'!B23-1,"")</f>
        <v>0</v>
      </c>
      <c r="C14" s="50">
        <f>('Summary'!D$46-'CData'!B23)/IF('Summary'!B$46,'Summary'!B$46,1)/10</f>
        <v>0</v>
      </c>
      <c r="D14" s="44">
        <f>'Input'!E$181</f>
        <v>0</v>
      </c>
      <c r="E14" s="17"/>
    </row>
    <row r="15" spans="1:5">
      <c r="A15" s="4" t="s">
        <v>175</v>
      </c>
      <c r="B15" s="49">
        <f>IF('CData'!B24,'Summary'!D$50/'CData'!B24-1,"")</f>
        <v>0</v>
      </c>
      <c r="C15" s="50">
        <f>('Summary'!D$50-'CData'!B24)/IF('Summary'!B$50,'Summary'!B$50,1)/10</f>
        <v>0</v>
      </c>
      <c r="D15" s="44">
        <f>'Input'!E$185</f>
        <v>0</v>
      </c>
      <c r="E15" s="17"/>
    </row>
    <row r="16" spans="1:5">
      <c r="A16" s="4" t="s">
        <v>211</v>
      </c>
      <c r="B16" s="49">
        <f>IF('CData'!B25,'Summary'!D$54/'CData'!B25-1,"")</f>
        <v>0</v>
      </c>
      <c r="C16" s="50">
        <f>('Summary'!D$54-'CData'!B25)/IF('Summary'!B$54,'Summary'!B$54,1)/10</f>
        <v>0</v>
      </c>
      <c r="D16" s="44">
        <f>'Input'!E$189</f>
        <v>0</v>
      </c>
      <c r="E16" s="17"/>
    </row>
    <row r="17" spans="1:5">
      <c r="A17" s="4" t="s">
        <v>176</v>
      </c>
      <c r="B17" s="49">
        <f>IF('CData'!B26,'Summary'!D$58/'CData'!B26-1,"")</f>
        <v>0</v>
      </c>
      <c r="C17" s="50">
        <f>('Summary'!D$58-'CData'!B26)/IF('Summary'!B$58,'Summary'!B$58,1)/10</f>
        <v>0</v>
      </c>
      <c r="D17" s="44">
        <f>'Input'!E$193</f>
        <v>0</v>
      </c>
      <c r="E17" s="17"/>
    </row>
    <row r="18" spans="1:5">
      <c r="A18" s="4" t="s">
        <v>177</v>
      </c>
      <c r="B18" s="49">
        <f>IF('CData'!B27,'Summary'!D$62/'CData'!B27-1,"")</f>
        <v>0</v>
      </c>
      <c r="C18" s="50">
        <f>('Summary'!D$62-'CData'!B27)/IF('Summary'!B$62,'Summary'!B$62,1)/10</f>
        <v>0</v>
      </c>
      <c r="D18" s="44">
        <f>'Input'!E$197</f>
        <v>0</v>
      </c>
      <c r="E18" s="17"/>
    </row>
    <row r="19" spans="1:5">
      <c r="A19" s="4" t="s">
        <v>212</v>
      </c>
      <c r="B19" s="49">
        <f>IF('CData'!B28,'Summary'!D$66/'CData'!B28-1,"")</f>
        <v>0</v>
      </c>
      <c r="C19" s="50">
        <f>('Summary'!D$66-'CData'!B28)/IF('Summary'!B$66,'Summary'!B$66,1)/10</f>
        <v>0</v>
      </c>
      <c r="D19" s="44">
        <f>'Input'!E$201</f>
        <v>0</v>
      </c>
      <c r="E19" s="17"/>
    </row>
    <row r="20" spans="1:5">
      <c r="A20" s="4" t="s">
        <v>178</v>
      </c>
      <c r="B20" s="49">
        <f>IF('CData'!B29,'Summary'!D$70/'CData'!B29-1,"")</f>
        <v>0</v>
      </c>
      <c r="C20" s="50">
        <f>('Summary'!D$70-'CData'!B29)/IF('Summary'!B$70,'Summary'!B$70,1)/10</f>
        <v>0</v>
      </c>
      <c r="D20" s="44">
        <f>'Input'!E$205</f>
        <v>0</v>
      </c>
      <c r="E20" s="17"/>
    </row>
    <row r="21" spans="1:5">
      <c r="A21" s="4" t="s">
        <v>179</v>
      </c>
      <c r="B21" s="49">
        <f>IF('CData'!B30,'Summary'!D$74/'CData'!B30-1,"")</f>
        <v>0</v>
      </c>
      <c r="C21" s="50">
        <f>('Summary'!D$74-'CData'!B30)/IF('Summary'!B$74,'Summary'!B$74,1)/10</f>
        <v>0</v>
      </c>
      <c r="D21" s="44">
        <f>'Input'!E$209</f>
        <v>0</v>
      </c>
      <c r="E21" s="17"/>
    </row>
    <row r="22" spans="1:5">
      <c r="A22" s="4" t="s">
        <v>180</v>
      </c>
      <c r="B22" s="49">
        <f>IF('CData'!B31,'Summary'!D$78/'CData'!B31-1,"")</f>
        <v>0</v>
      </c>
      <c r="C22" s="50">
        <f>('Summary'!D$78-'CData'!B31)/IF('Summary'!B$78,'Summary'!B$78,1)/10</f>
        <v>0</v>
      </c>
      <c r="D22" s="44">
        <f>'Input'!E$213</f>
        <v>0</v>
      </c>
      <c r="E22" s="17"/>
    </row>
    <row r="23" spans="1:5">
      <c r="A23" s="4" t="s">
        <v>181</v>
      </c>
      <c r="B23" s="49">
        <f>IF('CData'!B32,'Summary'!D$82/'CData'!B32-1,"")</f>
        <v>0</v>
      </c>
      <c r="C23" s="50">
        <f>('Summary'!D$82-'CData'!B32)/IF('Summary'!B$82,'Summary'!B$82,1)/10</f>
        <v>0</v>
      </c>
      <c r="D23" s="44">
        <f>'Input'!E$217</f>
        <v>0</v>
      </c>
      <c r="E23" s="17"/>
    </row>
    <row r="24" spans="1:5">
      <c r="A24" s="4" t="s">
        <v>193</v>
      </c>
      <c r="B24" s="49">
        <f>IF('CData'!B33,'Summary'!D$85/'CData'!B33-1,"")</f>
        <v>0</v>
      </c>
      <c r="C24" s="50">
        <f>('Summary'!D$85-'CData'!B33)/IF('Summary'!B$85,'Summary'!B$85,1)/10</f>
        <v>0</v>
      </c>
      <c r="D24" s="44">
        <f>'Input'!E$220</f>
        <v>0</v>
      </c>
      <c r="E24" s="17"/>
    </row>
    <row r="25" spans="1:5">
      <c r="A25" s="4" t="s">
        <v>213</v>
      </c>
      <c r="B25" s="49">
        <f>IF('CData'!B34,'Summary'!D$88/'CData'!B34-1,"")</f>
        <v>0</v>
      </c>
      <c r="C25" s="50">
        <f>('Summary'!D$88-'CData'!B34)/IF('Summary'!B$88,'Summary'!B$88,1)/10</f>
        <v>0</v>
      </c>
      <c r="D25" s="44">
        <f>'Input'!E$223</f>
        <v>0</v>
      </c>
      <c r="E25" s="17"/>
    </row>
    <row r="26" spans="1:5">
      <c r="A26" s="4" t="s">
        <v>214</v>
      </c>
      <c r="B26" s="49">
        <f>IF('CData'!B35,'Summary'!D$92/'CData'!B35-1,"")</f>
        <v>0</v>
      </c>
      <c r="C26" s="50">
        <f>('Summary'!D$92-'CData'!B35)/IF('Summary'!B$92,'Summary'!B$92,1)/10</f>
        <v>0</v>
      </c>
      <c r="D26" s="44">
        <f>'Input'!E$227</f>
        <v>0</v>
      </c>
      <c r="E26" s="17"/>
    </row>
    <row r="27" spans="1:5">
      <c r="A27" s="4" t="s">
        <v>215</v>
      </c>
      <c r="B27" s="49">
        <f>IF('CData'!B36,'Summary'!D$96/'CData'!B36-1,"")</f>
        <v>0</v>
      </c>
      <c r="C27" s="50">
        <f>('Summary'!D$96-'CData'!B36)/IF('Summary'!B$96,'Summary'!B$96,1)/10</f>
        <v>0</v>
      </c>
      <c r="D27" s="44">
        <f>'Input'!E$231</f>
        <v>0</v>
      </c>
      <c r="E27" s="17"/>
    </row>
    <row r="28" spans="1:5">
      <c r="A28" s="4" t="s">
        <v>216</v>
      </c>
      <c r="B28" s="49">
        <f>IF('CData'!B37,'Summary'!D$100/'CData'!B37-1,"")</f>
        <v>0</v>
      </c>
      <c r="C28" s="50">
        <f>('Summary'!D$100-'CData'!B37)/IF('Summary'!B$100,'Summary'!B$100,1)/10</f>
        <v>0</v>
      </c>
      <c r="D28" s="44">
        <f>'Input'!E$235</f>
        <v>0</v>
      </c>
      <c r="E28" s="17"/>
    </row>
    <row r="29" spans="1:5">
      <c r="A29" s="4" t="s">
        <v>217</v>
      </c>
      <c r="B29" s="49">
        <f>IF('CData'!B38,'Summary'!D$104/'CData'!B38-1,"")</f>
        <v>0</v>
      </c>
      <c r="C29" s="50">
        <f>('Summary'!D$104-'CData'!B38)/IF('Summary'!B$104,'Summary'!B$104,1)/10</f>
        <v>0</v>
      </c>
      <c r="D29" s="44">
        <f>'Input'!E$239</f>
        <v>0</v>
      </c>
      <c r="E29" s="17"/>
    </row>
    <row r="31" spans="1:5" ht="21" customHeight="1">
      <c r="A31" s="1" t="s">
        <v>1738</v>
      </c>
    </row>
    <row r="32" spans="1:5">
      <c r="A32" s="2" t="s">
        <v>351</v>
      </c>
    </row>
    <row r="33" spans="1:6">
      <c r="A33" s="33" t="s">
        <v>1739</v>
      </c>
    </row>
    <row r="34" spans="1:6">
      <c r="A34" s="33" t="s">
        <v>1740</v>
      </c>
    </row>
    <row r="35" spans="1:6">
      <c r="A35" s="33" t="s">
        <v>1741</v>
      </c>
    </row>
    <row r="36" spans="1:6">
      <c r="A36" s="33" t="s">
        <v>1742</v>
      </c>
    </row>
    <row r="37" spans="1:6">
      <c r="A37" s="33" t="s">
        <v>1743</v>
      </c>
    </row>
    <row r="38" spans="1:6">
      <c r="A38" s="34" t="s">
        <v>354</v>
      </c>
      <c r="B38" s="34" t="s">
        <v>413</v>
      </c>
      <c r="C38" s="34" t="s">
        <v>413</v>
      </c>
      <c r="D38" s="34" t="s">
        <v>484</v>
      </c>
      <c r="E38" s="34" t="s">
        <v>484</v>
      </c>
    </row>
    <row r="39" spans="1:6">
      <c r="A39" s="34" t="s">
        <v>357</v>
      </c>
      <c r="B39" s="34" t="s">
        <v>1545</v>
      </c>
      <c r="C39" s="34" t="s">
        <v>416</v>
      </c>
      <c r="D39" s="34" t="s">
        <v>1744</v>
      </c>
      <c r="E39" s="34" t="s">
        <v>1745</v>
      </c>
    </row>
    <row r="41" spans="1:6">
      <c r="B41" s="15" t="s">
        <v>1685</v>
      </c>
      <c r="C41" s="15" t="s">
        <v>1746</v>
      </c>
      <c r="D41" s="15" t="s">
        <v>1747</v>
      </c>
      <c r="E41" s="15" t="s">
        <v>1748</v>
      </c>
    </row>
    <row r="42" spans="1:6">
      <c r="A42" s="4" t="s">
        <v>174</v>
      </c>
      <c r="B42" s="28">
        <f>'CData'!B$81</f>
        <v>0</v>
      </c>
      <c r="C42" s="46">
        <f>'CData'!H$134</f>
        <v>0</v>
      </c>
      <c r="D42" s="46">
        <f>IF('CData'!B229,C42-'CData'!B229,"")</f>
        <v>0</v>
      </c>
      <c r="E42" s="46">
        <f>IF('CData'!B260,C42-'CData'!B260,"")</f>
        <v>0</v>
      </c>
      <c r="F42" s="17"/>
    </row>
    <row r="43" spans="1:6">
      <c r="A43" s="4" t="s">
        <v>175</v>
      </c>
      <c r="B43" s="28">
        <f>'CData'!B$82</f>
        <v>0</v>
      </c>
      <c r="C43" s="46">
        <f>'CData'!H$138</f>
        <v>0</v>
      </c>
      <c r="D43" s="46">
        <f>IF('CData'!B230,C43-'CData'!B230,"")</f>
        <v>0</v>
      </c>
      <c r="E43" s="46">
        <f>IF('CData'!B261,C43-'CData'!B261,"")</f>
        <v>0</v>
      </c>
      <c r="F43" s="17"/>
    </row>
    <row r="44" spans="1:6">
      <c r="A44" s="4" t="s">
        <v>211</v>
      </c>
      <c r="B44" s="28">
        <f>'CData'!B$83</f>
        <v>0</v>
      </c>
      <c r="C44" s="46">
        <f>'CData'!H$142</f>
        <v>0</v>
      </c>
      <c r="D44" s="46">
        <f>IF('CData'!B231,C44-'CData'!B231,"")</f>
        <v>0</v>
      </c>
      <c r="E44" s="46">
        <f>IF('CData'!B262,C44-'CData'!B262,"")</f>
        <v>0</v>
      </c>
      <c r="F44" s="17"/>
    </row>
    <row r="45" spans="1:6">
      <c r="A45" s="4" t="s">
        <v>176</v>
      </c>
      <c r="B45" s="28">
        <f>'CData'!B$84</f>
        <v>0</v>
      </c>
      <c r="C45" s="46">
        <f>'CData'!H$146</f>
        <v>0</v>
      </c>
      <c r="D45" s="46">
        <f>IF('CData'!B232,C45-'CData'!B232,"")</f>
        <v>0</v>
      </c>
      <c r="E45" s="46">
        <f>IF('CData'!B263,C45-'CData'!B263,"")</f>
        <v>0</v>
      </c>
      <c r="F45" s="17"/>
    </row>
    <row r="46" spans="1:6">
      <c r="A46" s="4" t="s">
        <v>177</v>
      </c>
      <c r="B46" s="28">
        <f>'CData'!B$85</f>
        <v>0</v>
      </c>
      <c r="C46" s="46">
        <f>'CData'!H$150</f>
        <v>0</v>
      </c>
      <c r="D46" s="46">
        <f>IF('CData'!B233,C46-'CData'!B233,"")</f>
        <v>0</v>
      </c>
      <c r="E46" s="46">
        <f>IF('CData'!B264,C46-'CData'!B264,"")</f>
        <v>0</v>
      </c>
      <c r="F46" s="17"/>
    </row>
    <row r="47" spans="1:6">
      <c r="A47" s="4" t="s">
        <v>212</v>
      </c>
      <c r="B47" s="28">
        <f>'CData'!B$86</f>
        <v>0</v>
      </c>
      <c r="C47" s="46">
        <f>'CData'!H$154</f>
        <v>0</v>
      </c>
      <c r="D47" s="46">
        <f>IF('CData'!B234,C47-'CData'!B234,"")</f>
        <v>0</v>
      </c>
      <c r="E47" s="46">
        <f>IF('CData'!B265,C47-'CData'!B265,"")</f>
        <v>0</v>
      </c>
      <c r="F47" s="17"/>
    </row>
    <row r="48" spans="1:6">
      <c r="A48" s="4" t="s">
        <v>178</v>
      </c>
      <c r="B48" s="28">
        <f>'CData'!B$87</f>
        <v>0</v>
      </c>
      <c r="C48" s="46">
        <f>'CData'!H$158</f>
        <v>0</v>
      </c>
      <c r="D48" s="46">
        <f>IF('CData'!B235,C48-'CData'!B235,"")</f>
        <v>0</v>
      </c>
      <c r="E48" s="46">
        <f>IF('CData'!B266,C48-'CData'!B266,"")</f>
        <v>0</v>
      </c>
      <c r="F48" s="17"/>
    </row>
    <row r="49" spans="1:6">
      <c r="A49" s="4" t="s">
        <v>179</v>
      </c>
      <c r="B49" s="28">
        <f>'CData'!B$88</f>
        <v>0</v>
      </c>
      <c r="C49" s="46">
        <f>'CData'!H$162</f>
        <v>0</v>
      </c>
      <c r="D49" s="46">
        <f>IF('CData'!B236,C49-'CData'!B236,"")</f>
        <v>0</v>
      </c>
      <c r="E49" s="46">
        <f>IF('CData'!B267,C49-'CData'!B267,"")</f>
        <v>0</v>
      </c>
      <c r="F49" s="17"/>
    </row>
    <row r="50" spans="1:6">
      <c r="A50" s="4" t="s">
        <v>180</v>
      </c>
      <c r="B50" s="28">
        <f>'CData'!B$89</f>
        <v>0</v>
      </c>
      <c r="C50" s="46">
        <f>'CData'!H$166</f>
        <v>0</v>
      </c>
      <c r="D50" s="46">
        <f>IF('CData'!B237,C50-'CData'!B237,"")</f>
        <v>0</v>
      </c>
      <c r="E50" s="46">
        <f>IF('CData'!B268,C50-'CData'!B268,"")</f>
        <v>0</v>
      </c>
      <c r="F50" s="17"/>
    </row>
    <row r="51" spans="1:6">
      <c r="A51" s="4" t="s">
        <v>181</v>
      </c>
      <c r="B51" s="28">
        <f>'CData'!B$90</f>
        <v>0</v>
      </c>
      <c r="C51" s="46">
        <f>'CData'!H$170</f>
        <v>0</v>
      </c>
      <c r="D51" s="10"/>
      <c r="E51" s="46">
        <f>IF('CData'!B269,C51-'CData'!B269,"")</f>
        <v>0</v>
      </c>
      <c r="F51" s="17"/>
    </row>
    <row r="52" spans="1:6">
      <c r="A52" s="4" t="s">
        <v>193</v>
      </c>
      <c r="B52" s="28">
        <f>'CData'!B$91</f>
        <v>0</v>
      </c>
      <c r="C52" s="46">
        <f>'CData'!H$173</f>
        <v>0</v>
      </c>
      <c r="D52" s="10"/>
      <c r="E52" s="46">
        <f>IF('CData'!B270,C52-'CData'!B270,"")</f>
        <v>0</v>
      </c>
      <c r="F52" s="17"/>
    </row>
    <row r="53" spans="1:6">
      <c r="A53" s="4" t="s">
        <v>213</v>
      </c>
      <c r="B53" s="28">
        <f>'CData'!B$92</f>
        <v>0</v>
      </c>
      <c r="C53" s="46">
        <f>'CData'!H$176</f>
        <v>0</v>
      </c>
      <c r="D53" s="46">
        <f>IF('CData'!B240,C53-'CData'!B240,"")</f>
        <v>0</v>
      </c>
      <c r="E53" s="46">
        <f>IF('CData'!B271,C53-'CData'!B271,"")</f>
        <v>0</v>
      </c>
      <c r="F53" s="17"/>
    </row>
    <row r="54" spans="1:6">
      <c r="A54" s="4" t="s">
        <v>214</v>
      </c>
      <c r="B54" s="28">
        <f>'CData'!B$93</f>
        <v>0</v>
      </c>
      <c r="C54" s="46">
        <f>'CData'!H$180</f>
        <v>0</v>
      </c>
      <c r="D54" s="46">
        <f>IF('CData'!B241,C54-'CData'!B241,"")</f>
        <v>0</v>
      </c>
      <c r="E54" s="46">
        <f>IF('CData'!B272,C54-'CData'!B272,"")</f>
        <v>0</v>
      </c>
      <c r="F54" s="17"/>
    </row>
    <row r="55" spans="1:6">
      <c r="A55" s="4" t="s">
        <v>215</v>
      </c>
      <c r="B55" s="28">
        <f>'CData'!B$94</f>
        <v>0</v>
      </c>
      <c r="C55" s="46">
        <f>'CData'!H$184</f>
        <v>0</v>
      </c>
      <c r="D55" s="46">
        <f>IF('CData'!B242,C55-'CData'!B242,"")</f>
        <v>0</v>
      </c>
      <c r="E55" s="46">
        <f>IF('CData'!B273,C55-'CData'!B273,"")</f>
        <v>0</v>
      </c>
      <c r="F55" s="17"/>
    </row>
    <row r="56" spans="1:6">
      <c r="A56" s="4" t="s">
        <v>216</v>
      </c>
      <c r="B56" s="28">
        <f>'CData'!B$95</f>
        <v>0</v>
      </c>
      <c r="C56" s="46">
        <f>'CData'!H$188</f>
        <v>0</v>
      </c>
      <c r="D56" s="46">
        <f>IF('CData'!B243,C56-'CData'!B243,"")</f>
        <v>0</v>
      </c>
      <c r="E56" s="46">
        <f>IF('CData'!B274,C56-'CData'!B274,"")</f>
        <v>0</v>
      </c>
      <c r="F56" s="17"/>
    </row>
    <row r="57" spans="1:6">
      <c r="A57" s="4" t="s">
        <v>217</v>
      </c>
      <c r="B57" s="28">
        <f>'CData'!B$96</f>
        <v>0</v>
      </c>
      <c r="C57" s="46">
        <f>'CData'!H$192</f>
        <v>0</v>
      </c>
      <c r="D57" s="46">
        <f>IF('CData'!B244,C57-'CData'!B244,"")</f>
        <v>0</v>
      </c>
      <c r="E57" s="46">
        <f>IF('CData'!B275,C57-'CData'!B275,"")</f>
        <v>0</v>
      </c>
      <c r="F57" s="17"/>
    </row>
    <row r="58" spans="1:6">
      <c r="A58" s="4" t="s">
        <v>182</v>
      </c>
      <c r="B58" s="28">
        <f>'CData'!B$97</f>
        <v>0</v>
      </c>
      <c r="C58" s="46">
        <f>'CData'!H$196</f>
        <v>0</v>
      </c>
      <c r="D58" s="46">
        <f>IF('CData'!B245,C58-'CData'!B245,"")</f>
        <v>0</v>
      </c>
      <c r="E58" s="46">
        <f>IF('CData'!B276,C58-'CData'!B276,"")</f>
        <v>0</v>
      </c>
      <c r="F58" s="17"/>
    </row>
    <row r="59" spans="1:6">
      <c r="A59" s="4" t="s">
        <v>183</v>
      </c>
      <c r="B59" s="28">
        <f>'CData'!B$98</f>
        <v>0</v>
      </c>
      <c r="C59" s="46">
        <f>'CData'!H$200</f>
        <v>0</v>
      </c>
      <c r="D59" s="10"/>
      <c r="E59" s="46">
        <f>IF('CData'!B277,C59-'CData'!B277,"")</f>
        <v>0</v>
      </c>
      <c r="F59" s="17"/>
    </row>
    <row r="60" spans="1:6">
      <c r="A60" s="4" t="s">
        <v>184</v>
      </c>
      <c r="B60" s="28">
        <f>'CData'!B$99</f>
        <v>0</v>
      </c>
      <c r="C60" s="46">
        <f>'CData'!H$203</f>
        <v>0</v>
      </c>
      <c r="D60" s="46">
        <f>IF('CData'!B247,C60-'CData'!B247,"")</f>
        <v>0</v>
      </c>
      <c r="E60" s="46">
        <f>IF('CData'!B278,C60-'CData'!B278,"")</f>
        <v>0</v>
      </c>
      <c r="F60" s="17"/>
    </row>
    <row r="61" spans="1:6">
      <c r="A61" s="4" t="s">
        <v>185</v>
      </c>
      <c r="B61" s="28">
        <f>'CData'!B$100</f>
        <v>0</v>
      </c>
      <c r="C61" s="46">
        <f>'CData'!H$207</f>
        <v>0</v>
      </c>
      <c r="D61" s="46">
        <f>IF('CData'!B248,C61-'CData'!B248,"")</f>
        <v>0</v>
      </c>
      <c r="E61" s="46">
        <f>IF('CData'!B279,C61-'CData'!B279,"")</f>
        <v>0</v>
      </c>
      <c r="F61" s="17"/>
    </row>
    <row r="62" spans="1:6">
      <c r="A62" s="4" t="s">
        <v>186</v>
      </c>
      <c r="B62" s="28">
        <f>'CData'!B$101</f>
        <v>0</v>
      </c>
      <c r="C62" s="46">
        <f>'CData'!H$211</f>
        <v>0</v>
      </c>
      <c r="D62" s="10"/>
      <c r="E62" s="46">
        <f>IF('CData'!B280,C62-'CData'!B280,"")</f>
        <v>0</v>
      </c>
      <c r="F62" s="17"/>
    </row>
    <row r="63" spans="1:6">
      <c r="A63" s="4" t="s">
        <v>187</v>
      </c>
      <c r="B63" s="28">
        <f>'CData'!B$102</f>
        <v>0</v>
      </c>
      <c r="C63" s="46">
        <f>'CData'!H$214</f>
        <v>0</v>
      </c>
      <c r="D63" s="10"/>
      <c r="E63" s="46">
        <f>IF('CData'!B281,C63-'CData'!B281,"")</f>
        <v>0</v>
      </c>
      <c r="F63" s="17"/>
    </row>
    <row r="64" spans="1:6">
      <c r="A64" s="4" t="s">
        <v>194</v>
      </c>
      <c r="B64" s="28">
        <f>'CData'!B$103</f>
        <v>0</v>
      </c>
      <c r="C64" s="46">
        <f>'CData'!H$217</f>
        <v>0</v>
      </c>
      <c r="D64" s="10"/>
      <c r="E64" s="46">
        <f>IF('CData'!B282,C64-'CData'!B282,"")</f>
        <v>0</v>
      </c>
      <c r="F64" s="17"/>
    </row>
    <row r="65" spans="1:6">
      <c r="A65" s="4" t="s">
        <v>195</v>
      </c>
      <c r="B65" s="28">
        <f>'CData'!B$104</f>
        <v>0</v>
      </c>
      <c r="C65" s="46">
        <f>'CData'!H$220</f>
        <v>0</v>
      </c>
      <c r="D65" s="10"/>
      <c r="E65" s="46">
        <f>IF('CData'!B283,C65-'CData'!B283,"")</f>
        <v>0</v>
      </c>
      <c r="F65" s="17"/>
    </row>
  </sheetData>
  <sheetProtection sheet="1" objects="1" scenarios="1"/>
  <hyperlinks>
    <hyperlink ref="A6" location="'CData'!B22" display="x1 = 4001. Revenues under current tariffs (£)"/>
    <hyperlink ref="A7" location="'Summary'!D44" display="x2 = 3802. Net revenues (£) (in Revenue summary)"/>
    <hyperlink ref="A8" location="'Summary'!B44" display="x3 = 3802. All units (MWh) (in Revenue summary)"/>
    <hyperlink ref="A9" location="'Input'!E179" display="x4 = 1053. MPANs by tariff (in Volume forecasts for the charging year)"/>
    <hyperlink ref="A33" location="'CData'!B80" display="x1 = 4003. Normalised to"/>
    <hyperlink ref="A34" location="'CData'!H132" display="x2 = 4004. Normalised revenues (£) (in Normalised volumes for comparisons)"/>
    <hyperlink ref="A35" location="'CData'!B228" display="x3 = 4005. LDNO LV charges (normalised £)"/>
    <hyperlink ref="A36" location="'CTables'!C41" display="x4 = All-the-way charges (normalised £) (in LDNO margins in use of system charges)"/>
    <hyperlink ref="A37" location="'CData'!B259" display="x5 = 4006. LDNO HV charges (normalised £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0" ht="21" customHeight="1">
      <c r="A1" s="1">
        <f>"Loss adjustment factors and network use matrices for "&amp;'Input'!B7&amp;" in "&amp;'Input'!C7&amp;" ("&amp;'Input'!D7&amp;")"</f>
        <v>0</v>
      </c>
    </row>
    <row r="2" spans="1:10">
      <c r="A2" s="2" t="s">
        <v>348</v>
      </c>
    </row>
    <row r="3" spans="1:10">
      <c r="A3" s="2" t="s">
        <v>349</v>
      </c>
    </row>
    <row r="5" spans="1:10" ht="21" customHeight="1">
      <c r="A5" s="1" t="s">
        <v>350</v>
      </c>
    </row>
    <row r="6" spans="1:10">
      <c r="A6" s="2" t="s">
        <v>351</v>
      </c>
    </row>
    <row r="7" spans="1:10">
      <c r="A7" s="33" t="s">
        <v>352</v>
      </c>
    </row>
    <row r="8" spans="1:10">
      <c r="A8" s="33" t="s">
        <v>353</v>
      </c>
    </row>
    <row r="9" spans="1:10">
      <c r="A9" s="34" t="s">
        <v>354</v>
      </c>
      <c r="B9" s="35" t="s">
        <v>355</v>
      </c>
      <c r="C9" s="35"/>
      <c r="D9" s="35"/>
      <c r="E9" s="35"/>
      <c r="F9" s="35"/>
      <c r="G9" s="35"/>
      <c r="H9" s="35"/>
      <c r="I9" s="34" t="s">
        <v>356</v>
      </c>
    </row>
    <row r="10" spans="1:10">
      <c r="A10" s="34" t="s">
        <v>357</v>
      </c>
      <c r="B10" s="35" t="s">
        <v>358</v>
      </c>
      <c r="C10" s="35"/>
      <c r="D10" s="35"/>
      <c r="E10" s="35"/>
      <c r="F10" s="35"/>
      <c r="G10" s="35"/>
      <c r="H10" s="35"/>
      <c r="I10" s="34" t="s">
        <v>359</v>
      </c>
    </row>
    <row r="12" spans="1:10">
      <c r="B12" s="36" t="s">
        <v>360</v>
      </c>
      <c r="C12" s="36"/>
      <c r="D12" s="36"/>
      <c r="E12" s="36"/>
      <c r="F12" s="36"/>
      <c r="G12" s="36"/>
      <c r="H12" s="36"/>
    </row>
    <row r="13" spans="1:10">
      <c r="B13" s="15" t="s">
        <v>143</v>
      </c>
      <c r="C13" s="15" t="s">
        <v>144</v>
      </c>
      <c r="D13" s="15" t="s">
        <v>145</v>
      </c>
      <c r="E13" s="15" t="s">
        <v>146</v>
      </c>
      <c r="F13" s="15" t="s">
        <v>147</v>
      </c>
      <c r="G13" s="15" t="s">
        <v>148</v>
      </c>
      <c r="H13" s="15" t="s">
        <v>149</v>
      </c>
      <c r="I13" s="15" t="s">
        <v>198</v>
      </c>
    </row>
    <row r="14" spans="1:10">
      <c r="A14" s="4" t="s">
        <v>174</v>
      </c>
      <c r="B14" s="37">
        <v>0</v>
      </c>
      <c r="C14" s="37">
        <v>0</v>
      </c>
      <c r="D14" s="37">
        <v>0</v>
      </c>
      <c r="E14" s="37">
        <v>0</v>
      </c>
      <c r="F14" s="37">
        <v>0</v>
      </c>
      <c r="G14" s="37">
        <v>0</v>
      </c>
      <c r="H14" s="37">
        <v>1</v>
      </c>
      <c r="I14" s="38">
        <f>SUMPRODUCT($B14:$H14,'Input'!$B$145:$H$145)</f>
        <v>0</v>
      </c>
      <c r="J14" s="17"/>
    </row>
    <row r="15" spans="1:10">
      <c r="A15" s="4" t="s">
        <v>175</v>
      </c>
      <c r="B15" s="37">
        <v>0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1</v>
      </c>
      <c r="I15" s="38">
        <f>SUMPRODUCT($B15:$H15,'Input'!$B$145:$H$145)</f>
        <v>0</v>
      </c>
      <c r="J15" s="17"/>
    </row>
    <row r="16" spans="1:10">
      <c r="A16" s="4" t="s">
        <v>211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1</v>
      </c>
      <c r="I16" s="38">
        <f>SUMPRODUCT($B16:$H16,'Input'!$B$145:$H$145)</f>
        <v>0</v>
      </c>
      <c r="J16" s="17"/>
    </row>
    <row r="17" spans="1:10">
      <c r="A17" s="4" t="s">
        <v>176</v>
      </c>
      <c r="B17" s="37">
        <v>0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1</v>
      </c>
      <c r="I17" s="38">
        <f>SUMPRODUCT($B17:$H17,'Input'!$B$145:$H$145)</f>
        <v>0</v>
      </c>
      <c r="J17" s="17"/>
    </row>
    <row r="18" spans="1:10">
      <c r="A18" s="4" t="s">
        <v>177</v>
      </c>
      <c r="B18" s="37">
        <v>0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1</v>
      </c>
      <c r="I18" s="38">
        <f>SUMPRODUCT($B18:$H18,'Input'!$B$145:$H$145)</f>
        <v>0</v>
      </c>
      <c r="J18" s="17"/>
    </row>
    <row r="19" spans="1:10">
      <c r="A19" s="4" t="s">
        <v>212</v>
      </c>
      <c r="B19" s="37">
        <v>0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1</v>
      </c>
      <c r="I19" s="38">
        <f>SUMPRODUCT($B19:$H19,'Input'!$B$145:$H$145)</f>
        <v>0</v>
      </c>
      <c r="J19" s="17"/>
    </row>
    <row r="20" spans="1:10">
      <c r="A20" s="4" t="s">
        <v>178</v>
      </c>
      <c r="B20" s="37">
        <v>0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1</v>
      </c>
      <c r="I20" s="38">
        <f>SUMPRODUCT($B20:$H20,'Input'!$B$145:$H$145)</f>
        <v>0</v>
      </c>
      <c r="J20" s="17"/>
    </row>
    <row r="21" spans="1:10">
      <c r="A21" s="4" t="s">
        <v>179</v>
      </c>
      <c r="B21" s="37">
        <v>0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1</v>
      </c>
      <c r="I21" s="38">
        <f>SUMPRODUCT($B21:$H21,'Input'!$B$145:$H$145)</f>
        <v>0</v>
      </c>
      <c r="J21" s="17"/>
    </row>
    <row r="22" spans="1:10">
      <c r="A22" s="4" t="s">
        <v>180</v>
      </c>
      <c r="B22" s="37">
        <v>0</v>
      </c>
      <c r="C22" s="37">
        <v>0</v>
      </c>
      <c r="D22" s="37">
        <v>0</v>
      </c>
      <c r="E22" s="37">
        <v>0</v>
      </c>
      <c r="F22" s="37">
        <v>0</v>
      </c>
      <c r="G22" s="37">
        <v>0</v>
      </c>
      <c r="H22" s="37">
        <v>1</v>
      </c>
      <c r="I22" s="38">
        <f>SUMPRODUCT($B22:$H22,'Input'!$B$145:$H$145)</f>
        <v>0</v>
      </c>
      <c r="J22" s="17"/>
    </row>
    <row r="23" spans="1:10">
      <c r="A23" s="4" t="s">
        <v>181</v>
      </c>
      <c r="B23" s="37">
        <v>0</v>
      </c>
      <c r="C23" s="37">
        <v>0</v>
      </c>
      <c r="D23" s="37">
        <v>0</v>
      </c>
      <c r="E23" s="37">
        <v>0</v>
      </c>
      <c r="F23" s="37">
        <v>0</v>
      </c>
      <c r="G23" s="37">
        <v>1</v>
      </c>
      <c r="H23" s="37">
        <v>0</v>
      </c>
      <c r="I23" s="38">
        <f>SUMPRODUCT($B23:$H23,'Input'!$B$145:$H$145)</f>
        <v>0</v>
      </c>
      <c r="J23" s="17"/>
    </row>
    <row r="24" spans="1:10">
      <c r="A24" s="4" t="s">
        <v>193</v>
      </c>
      <c r="B24" s="37">
        <v>0</v>
      </c>
      <c r="C24" s="37">
        <v>0</v>
      </c>
      <c r="D24" s="37">
        <v>0</v>
      </c>
      <c r="E24" s="37">
        <v>0</v>
      </c>
      <c r="F24" s="37">
        <v>1</v>
      </c>
      <c r="G24" s="37">
        <v>0</v>
      </c>
      <c r="H24" s="37">
        <v>0</v>
      </c>
      <c r="I24" s="38">
        <f>SUMPRODUCT($B24:$H24,'Input'!$B$145:$H$145)</f>
        <v>0</v>
      </c>
      <c r="J24" s="17"/>
    </row>
    <row r="25" spans="1:10">
      <c r="A25" s="4" t="s">
        <v>213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1</v>
      </c>
      <c r="I25" s="38">
        <f>SUMPRODUCT($B25:$H25,'Input'!$B$145:$H$145)</f>
        <v>0</v>
      </c>
      <c r="J25" s="17"/>
    </row>
    <row r="26" spans="1:10">
      <c r="A26" s="4" t="s">
        <v>214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1</v>
      </c>
      <c r="I26" s="38">
        <f>SUMPRODUCT($B26:$H26,'Input'!$B$145:$H$145)</f>
        <v>0</v>
      </c>
      <c r="J26" s="17"/>
    </row>
    <row r="27" spans="1:10">
      <c r="A27" s="4" t="s">
        <v>215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1</v>
      </c>
      <c r="I27" s="38">
        <f>SUMPRODUCT($B27:$H27,'Input'!$B$145:$H$145)</f>
        <v>0</v>
      </c>
      <c r="J27" s="17"/>
    </row>
    <row r="28" spans="1:10">
      <c r="A28" s="4" t="s">
        <v>216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1</v>
      </c>
      <c r="I28" s="38">
        <f>SUMPRODUCT($B28:$H28,'Input'!$B$145:$H$145)</f>
        <v>0</v>
      </c>
      <c r="J28" s="17"/>
    </row>
    <row r="29" spans="1:10">
      <c r="A29" s="4" t="s">
        <v>217</v>
      </c>
      <c r="B29" s="37">
        <v>0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1</v>
      </c>
      <c r="I29" s="38">
        <f>SUMPRODUCT($B29:$H29,'Input'!$B$145:$H$145)</f>
        <v>0</v>
      </c>
      <c r="J29" s="17"/>
    </row>
    <row r="30" spans="1:10">
      <c r="A30" s="4" t="s">
        <v>182</v>
      </c>
      <c r="B30" s="37">
        <v>0</v>
      </c>
      <c r="C30" s="37">
        <v>0</v>
      </c>
      <c r="D30" s="37">
        <v>0</v>
      </c>
      <c r="E30" s="37">
        <v>0</v>
      </c>
      <c r="F30" s="37">
        <v>0</v>
      </c>
      <c r="G30" s="37">
        <v>0</v>
      </c>
      <c r="H30" s="37">
        <v>1</v>
      </c>
      <c r="I30" s="38">
        <f>SUMPRODUCT($B30:$H30,'Input'!$B$145:$H$145)</f>
        <v>0</v>
      </c>
      <c r="J30" s="17"/>
    </row>
    <row r="31" spans="1:10">
      <c r="A31" s="4" t="s">
        <v>183</v>
      </c>
      <c r="B31" s="37">
        <v>0</v>
      </c>
      <c r="C31" s="37">
        <v>0</v>
      </c>
      <c r="D31" s="37">
        <v>0</v>
      </c>
      <c r="E31" s="37">
        <v>0</v>
      </c>
      <c r="F31" s="37">
        <v>0</v>
      </c>
      <c r="G31" s="37">
        <v>1</v>
      </c>
      <c r="H31" s="37">
        <v>0</v>
      </c>
      <c r="I31" s="38">
        <f>SUMPRODUCT($B31:$H31,'Input'!$B$145:$H$145)</f>
        <v>0</v>
      </c>
      <c r="J31" s="17"/>
    </row>
    <row r="32" spans="1:10">
      <c r="A32" s="4" t="s">
        <v>184</v>
      </c>
      <c r="B32" s="37">
        <v>0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1</v>
      </c>
      <c r="I32" s="38">
        <f>SUMPRODUCT($B32:$H32,'Input'!$B$145:$H$145)</f>
        <v>0</v>
      </c>
      <c r="J32" s="17"/>
    </row>
    <row r="33" spans="1:10">
      <c r="A33" s="4" t="s">
        <v>185</v>
      </c>
      <c r="B33" s="37">
        <v>0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1</v>
      </c>
      <c r="I33" s="38">
        <f>SUMPRODUCT($B33:$H33,'Input'!$B$145:$H$145)</f>
        <v>0</v>
      </c>
      <c r="J33" s="17"/>
    </row>
    <row r="34" spans="1:10">
      <c r="A34" s="4" t="s">
        <v>186</v>
      </c>
      <c r="B34" s="37">
        <v>0</v>
      </c>
      <c r="C34" s="37">
        <v>0</v>
      </c>
      <c r="D34" s="37">
        <v>0</v>
      </c>
      <c r="E34" s="37">
        <v>0</v>
      </c>
      <c r="F34" s="37">
        <v>0</v>
      </c>
      <c r="G34" s="37">
        <v>1</v>
      </c>
      <c r="H34" s="37">
        <v>0</v>
      </c>
      <c r="I34" s="38">
        <f>SUMPRODUCT($B34:$H34,'Input'!$B$145:$H$145)</f>
        <v>0</v>
      </c>
      <c r="J34" s="17"/>
    </row>
    <row r="35" spans="1:10">
      <c r="A35" s="4" t="s">
        <v>187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1</v>
      </c>
      <c r="H35" s="37">
        <v>0</v>
      </c>
      <c r="I35" s="38">
        <f>SUMPRODUCT($B35:$H35,'Input'!$B$145:$H$145)</f>
        <v>0</v>
      </c>
      <c r="J35" s="17"/>
    </row>
    <row r="36" spans="1:10">
      <c r="A36" s="4" t="s">
        <v>194</v>
      </c>
      <c r="B36" s="37">
        <v>0</v>
      </c>
      <c r="C36" s="37">
        <v>0</v>
      </c>
      <c r="D36" s="37">
        <v>0</v>
      </c>
      <c r="E36" s="37">
        <v>0</v>
      </c>
      <c r="F36" s="37">
        <v>1</v>
      </c>
      <c r="G36" s="37">
        <v>0</v>
      </c>
      <c r="H36" s="37">
        <v>0</v>
      </c>
      <c r="I36" s="38">
        <f>SUMPRODUCT($B36:$H36,'Input'!$B$145:$H$145)</f>
        <v>0</v>
      </c>
      <c r="J36" s="17"/>
    </row>
    <row r="37" spans="1:10">
      <c r="A37" s="4" t="s">
        <v>195</v>
      </c>
      <c r="B37" s="37">
        <v>0</v>
      </c>
      <c r="C37" s="37">
        <v>0</v>
      </c>
      <c r="D37" s="37">
        <v>0</v>
      </c>
      <c r="E37" s="37">
        <v>0</v>
      </c>
      <c r="F37" s="37">
        <v>1</v>
      </c>
      <c r="G37" s="37">
        <v>0</v>
      </c>
      <c r="H37" s="37">
        <v>0</v>
      </c>
      <c r="I37" s="38">
        <f>SUMPRODUCT($B37:$H37,'Input'!$B$145:$H$145)</f>
        <v>0</v>
      </c>
      <c r="J37" s="17"/>
    </row>
    <row r="39" spans="1:10" ht="21" customHeight="1">
      <c r="A39" s="1" t="s">
        <v>361</v>
      </c>
    </row>
    <row r="41" spans="1:10">
      <c r="B41" s="15" t="s">
        <v>143</v>
      </c>
      <c r="C41" s="15" t="s">
        <v>144</v>
      </c>
      <c r="D41" s="15" t="s">
        <v>145</v>
      </c>
      <c r="E41" s="15" t="s">
        <v>146</v>
      </c>
      <c r="F41" s="15" t="s">
        <v>147</v>
      </c>
      <c r="G41" s="15" t="s">
        <v>148</v>
      </c>
      <c r="H41" s="15" t="s">
        <v>149</v>
      </c>
    </row>
    <row r="42" spans="1:10">
      <c r="A42" s="4" t="s">
        <v>143</v>
      </c>
      <c r="B42" s="37">
        <v>1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17"/>
    </row>
    <row r="43" spans="1:10">
      <c r="A43" s="4" t="s">
        <v>144</v>
      </c>
      <c r="B43" s="37">
        <v>0</v>
      </c>
      <c r="C43" s="37">
        <v>1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17"/>
    </row>
    <row r="44" spans="1:10">
      <c r="A44" s="4" t="s">
        <v>145</v>
      </c>
      <c r="B44" s="37">
        <v>0</v>
      </c>
      <c r="C44" s="37">
        <v>0</v>
      </c>
      <c r="D44" s="37">
        <v>1</v>
      </c>
      <c r="E44" s="37">
        <v>0</v>
      </c>
      <c r="F44" s="37">
        <v>0</v>
      </c>
      <c r="G44" s="37">
        <v>0</v>
      </c>
      <c r="H44" s="37">
        <v>0</v>
      </c>
      <c r="I44" s="17"/>
    </row>
    <row r="45" spans="1:10">
      <c r="A45" s="4" t="s">
        <v>146</v>
      </c>
      <c r="B45" s="37">
        <v>0</v>
      </c>
      <c r="C45" s="37">
        <v>0</v>
      </c>
      <c r="D45" s="37">
        <v>0</v>
      </c>
      <c r="E45" s="37">
        <v>1</v>
      </c>
      <c r="F45" s="37">
        <v>0</v>
      </c>
      <c r="G45" s="37">
        <v>0</v>
      </c>
      <c r="H45" s="37">
        <v>0</v>
      </c>
      <c r="I45" s="17"/>
    </row>
    <row r="46" spans="1:10">
      <c r="A46" s="4" t="s">
        <v>151</v>
      </c>
      <c r="B46" s="37">
        <v>0</v>
      </c>
      <c r="C46" s="37">
        <v>0</v>
      </c>
      <c r="D46" s="37">
        <v>0</v>
      </c>
      <c r="E46" s="37">
        <v>1</v>
      </c>
      <c r="F46" s="37">
        <v>0</v>
      </c>
      <c r="G46" s="37">
        <v>0</v>
      </c>
      <c r="H46" s="37">
        <v>0</v>
      </c>
      <c r="I46" s="17"/>
    </row>
    <row r="47" spans="1:10">
      <c r="A47" s="4" t="s">
        <v>147</v>
      </c>
      <c r="B47" s="37">
        <v>0</v>
      </c>
      <c r="C47" s="37">
        <v>0</v>
      </c>
      <c r="D47" s="37">
        <v>0</v>
      </c>
      <c r="E47" s="37">
        <v>0</v>
      </c>
      <c r="F47" s="37">
        <v>1</v>
      </c>
      <c r="G47" s="37">
        <v>0</v>
      </c>
      <c r="H47" s="37">
        <v>0</v>
      </c>
      <c r="I47" s="17"/>
    </row>
    <row r="48" spans="1:10">
      <c r="A48" s="4" t="s">
        <v>148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1</v>
      </c>
      <c r="H48" s="37">
        <v>0</v>
      </c>
      <c r="I48" s="17"/>
    </row>
    <row r="49" spans="1:9">
      <c r="A49" s="4" t="s">
        <v>149</v>
      </c>
      <c r="B49" s="37">
        <v>0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1</v>
      </c>
      <c r="I49" s="17"/>
    </row>
    <row r="51" spans="1:9" ht="21" customHeight="1">
      <c r="A51" s="1" t="s">
        <v>362</v>
      </c>
    </row>
    <row r="52" spans="1:9">
      <c r="A52" s="2" t="s">
        <v>351</v>
      </c>
    </row>
    <row r="53" spans="1:9">
      <c r="A53" s="33" t="s">
        <v>363</v>
      </c>
    </row>
    <row r="54" spans="1:9">
      <c r="A54" s="33" t="s">
        <v>353</v>
      </c>
    </row>
    <row r="55" spans="1:9">
      <c r="A55" s="2" t="s">
        <v>364</v>
      </c>
    </row>
    <row r="57" spans="1:9">
      <c r="B57" s="15" t="s">
        <v>365</v>
      </c>
    </row>
    <row r="58" spans="1:9">
      <c r="A58" s="4" t="s">
        <v>143</v>
      </c>
      <c r="B58" s="38">
        <f>SUMPRODUCT($B42:$H42,'Input'!$B$145:$H$145)</f>
        <v>0</v>
      </c>
      <c r="C58" s="17"/>
    </row>
    <row r="59" spans="1:9">
      <c r="A59" s="4" t="s">
        <v>144</v>
      </c>
      <c r="B59" s="38">
        <f>SUMPRODUCT($B43:$H43,'Input'!$B$145:$H$145)</f>
        <v>0</v>
      </c>
      <c r="C59" s="17"/>
    </row>
    <row r="60" spans="1:9">
      <c r="A60" s="4" t="s">
        <v>145</v>
      </c>
      <c r="B60" s="38">
        <f>SUMPRODUCT($B44:$H44,'Input'!$B$145:$H$145)</f>
        <v>0</v>
      </c>
      <c r="C60" s="17"/>
    </row>
    <row r="61" spans="1:9">
      <c r="A61" s="4" t="s">
        <v>146</v>
      </c>
      <c r="B61" s="38">
        <f>SUMPRODUCT($B45:$H45,'Input'!$B$145:$H$145)</f>
        <v>0</v>
      </c>
      <c r="C61" s="17"/>
    </row>
    <row r="62" spans="1:9">
      <c r="A62" s="4" t="s">
        <v>151</v>
      </c>
      <c r="B62" s="38">
        <f>SUMPRODUCT($B46:$H46,'Input'!$B$145:$H$145)</f>
        <v>0</v>
      </c>
      <c r="C62" s="17"/>
    </row>
    <row r="63" spans="1:9">
      <c r="A63" s="4" t="s">
        <v>147</v>
      </c>
      <c r="B63" s="38">
        <f>SUMPRODUCT($B47:$H47,'Input'!$B$145:$H$145)</f>
        <v>0</v>
      </c>
      <c r="C63" s="17"/>
    </row>
    <row r="64" spans="1:9">
      <c r="A64" s="4" t="s">
        <v>148</v>
      </c>
      <c r="B64" s="38">
        <f>SUMPRODUCT($B48:$H48,'Input'!$B$145:$H$145)</f>
        <v>0</v>
      </c>
      <c r="C64" s="17"/>
    </row>
    <row r="65" spans="1:11">
      <c r="A65" s="4" t="s">
        <v>149</v>
      </c>
      <c r="B65" s="38">
        <f>SUMPRODUCT($B49:$H49,'Input'!$B$145:$H$145)</f>
        <v>0</v>
      </c>
      <c r="C65" s="17"/>
    </row>
    <row r="67" spans="1:11" ht="21" customHeight="1">
      <c r="A67" s="1" t="s">
        <v>366</v>
      </c>
    </row>
    <row r="68" spans="1:11">
      <c r="A68" s="2" t="s">
        <v>351</v>
      </c>
    </row>
    <row r="69" spans="1:11">
      <c r="A69" s="33" t="s">
        <v>367</v>
      </c>
    </row>
    <row r="70" spans="1:11">
      <c r="A70" s="2" t="s">
        <v>368</v>
      </c>
    </row>
    <row r="71" spans="1:11">
      <c r="A71" s="2" t="s">
        <v>369</v>
      </c>
    </row>
    <row r="73" spans="1:11">
      <c r="B73" s="15" t="s">
        <v>142</v>
      </c>
      <c r="C73" s="15" t="s">
        <v>143</v>
      </c>
      <c r="D73" s="15" t="s">
        <v>144</v>
      </c>
      <c r="E73" s="15" t="s">
        <v>145</v>
      </c>
      <c r="F73" s="15" t="s">
        <v>146</v>
      </c>
      <c r="G73" s="15" t="s">
        <v>151</v>
      </c>
      <c r="H73" s="15" t="s">
        <v>147</v>
      </c>
      <c r="I73" s="15" t="s">
        <v>148</v>
      </c>
      <c r="J73" s="15" t="s">
        <v>149</v>
      </c>
    </row>
    <row r="74" spans="1:11">
      <c r="A74" s="4" t="s">
        <v>370</v>
      </c>
      <c r="B74" s="28">
        <v>1</v>
      </c>
      <c r="C74" s="39">
        <f>$B$58</f>
        <v>0</v>
      </c>
      <c r="D74" s="39">
        <f>$B$59</f>
        <v>0</v>
      </c>
      <c r="E74" s="39">
        <f>$B$60</f>
        <v>0</v>
      </c>
      <c r="F74" s="39">
        <f>$B$61</f>
        <v>0</v>
      </c>
      <c r="G74" s="39">
        <f>$B$62</f>
        <v>0</v>
      </c>
      <c r="H74" s="39">
        <f>$B$63</f>
        <v>0</v>
      </c>
      <c r="I74" s="39">
        <f>$B$64</f>
        <v>0</v>
      </c>
      <c r="J74" s="39">
        <f>$B$65</f>
        <v>0</v>
      </c>
      <c r="K74" s="17"/>
    </row>
    <row r="76" spans="1:11" ht="21" customHeight="1">
      <c r="A76" s="1" t="s">
        <v>371</v>
      </c>
    </row>
    <row r="77" spans="1:11">
      <c r="A77" s="2" t="s">
        <v>372</v>
      </c>
    </row>
    <row r="78" spans="1:11">
      <c r="A78" s="2" t="s">
        <v>373</v>
      </c>
    </row>
    <row r="79" spans="1:11">
      <c r="A79" s="2" t="s">
        <v>374</v>
      </c>
    </row>
    <row r="81" spans="1:10">
      <c r="B81" s="15" t="s">
        <v>142</v>
      </c>
      <c r="C81" s="15" t="s">
        <v>143</v>
      </c>
      <c r="D81" s="15" t="s">
        <v>144</v>
      </c>
      <c r="E81" s="15" t="s">
        <v>145</v>
      </c>
      <c r="F81" s="15" t="s">
        <v>146</v>
      </c>
      <c r="G81" s="15" t="s">
        <v>147</v>
      </c>
      <c r="H81" s="15" t="s">
        <v>148</v>
      </c>
      <c r="I81" s="15" t="s">
        <v>149</v>
      </c>
    </row>
    <row r="82" spans="1:10">
      <c r="A82" s="4" t="s">
        <v>174</v>
      </c>
      <c r="B82" s="28">
        <v>1</v>
      </c>
      <c r="C82" s="28">
        <v>1</v>
      </c>
      <c r="D82" s="28">
        <v>1</v>
      </c>
      <c r="E82" s="28">
        <v>1</v>
      </c>
      <c r="F82" s="28">
        <v>1</v>
      </c>
      <c r="G82" s="28">
        <v>1</v>
      </c>
      <c r="H82" s="28">
        <v>1</v>
      </c>
      <c r="I82" s="28">
        <v>1</v>
      </c>
      <c r="J82" s="17"/>
    </row>
    <row r="83" spans="1:10">
      <c r="A83" s="4" t="s">
        <v>175</v>
      </c>
      <c r="B83" s="28">
        <v>1</v>
      </c>
      <c r="C83" s="28">
        <v>1</v>
      </c>
      <c r="D83" s="28">
        <v>1</v>
      </c>
      <c r="E83" s="28">
        <v>1</v>
      </c>
      <c r="F83" s="28">
        <v>1</v>
      </c>
      <c r="G83" s="28">
        <v>1</v>
      </c>
      <c r="H83" s="28">
        <v>1</v>
      </c>
      <c r="I83" s="28">
        <v>1</v>
      </c>
      <c r="J83" s="17"/>
    </row>
    <row r="84" spans="1:10">
      <c r="A84" s="4" t="s">
        <v>211</v>
      </c>
      <c r="B84" s="28">
        <v>1</v>
      </c>
      <c r="C84" s="28">
        <v>1</v>
      </c>
      <c r="D84" s="28">
        <v>1</v>
      </c>
      <c r="E84" s="28">
        <v>1</v>
      </c>
      <c r="F84" s="28">
        <v>1</v>
      </c>
      <c r="G84" s="28">
        <v>1</v>
      </c>
      <c r="H84" s="28">
        <v>1</v>
      </c>
      <c r="I84" s="28">
        <v>1</v>
      </c>
      <c r="J84" s="17"/>
    </row>
    <row r="85" spans="1:10">
      <c r="A85" s="4" t="s">
        <v>176</v>
      </c>
      <c r="B85" s="28">
        <v>1</v>
      </c>
      <c r="C85" s="28">
        <v>1</v>
      </c>
      <c r="D85" s="28">
        <v>1</v>
      </c>
      <c r="E85" s="28">
        <v>1</v>
      </c>
      <c r="F85" s="28">
        <v>1</v>
      </c>
      <c r="G85" s="28">
        <v>1</v>
      </c>
      <c r="H85" s="28">
        <v>1</v>
      </c>
      <c r="I85" s="28">
        <v>1</v>
      </c>
      <c r="J85" s="17"/>
    </row>
    <row r="86" spans="1:10">
      <c r="A86" s="4" t="s">
        <v>177</v>
      </c>
      <c r="B86" s="28">
        <v>1</v>
      </c>
      <c r="C86" s="28">
        <v>1</v>
      </c>
      <c r="D86" s="28">
        <v>1</v>
      </c>
      <c r="E86" s="28">
        <v>1</v>
      </c>
      <c r="F86" s="28">
        <v>1</v>
      </c>
      <c r="G86" s="28">
        <v>1</v>
      </c>
      <c r="H86" s="28">
        <v>1</v>
      </c>
      <c r="I86" s="28">
        <v>1</v>
      </c>
      <c r="J86" s="17"/>
    </row>
    <row r="87" spans="1:10">
      <c r="A87" s="4" t="s">
        <v>212</v>
      </c>
      <c r="B87" s="28">
        <v>1</v>
      </c>
      <c r="C87" s="28">
        <v>1</v>
      </c>
      <c r="D87" s="28">
        <v>1</v>
      </c>
      <c r="E87" s="28">
        <v>1</v>
      </c>
      <c r="F87" s="28">
        <v>1</v>
      </c>
      <c r="G87" s="28">
        <v>1</v>
      </c>
      <c r="H87" s="28">
        <v>1</v>
      </c>
      <c r="I87" s="28">
        <v>1</v>
      </c>
      <c r="J87" s="17"/>
    </row>
    <row r="88" spans="1:10">
      <c r="A88" s="4" t="s">
        <v>178</v>
      </c>
      <c r="B88" s="28">
        <v>1</v>
      </c>
      <c r="C88" s="28">
        <v>1</v>
      </c>
      <c r="D88" s="28">
        <v>1</v>
      </c>
      <c r="E88" s="28">
        <v>1</v>
      </c>
      <c r="F88" s="28">
        <v>1</v>
      </c>
      <c r="G88" s="28">
        <v>1</v>
      </c>
      <c r="H88" s="28">
        <v>1</v>
      </c>
      <c r="I88" s="28">
        <v>1</v>
      </c>
      <c r="J88" s="17"/>
    </row>
    <row r="89" spans="1:10">
      <c r="A89" s="4" t="s">
        <v>179</v>
      </c>
      <c r="B89" s="28">
        <v>1</v>
      </c>
      <c r="C89" s="28">
        <v>1</v>
      </c>
      <c r="D89" s="28">
        <v>1</v>
      </c>
      <c r="E89" s="28">
        <v>1</v>
      </c>
      <c r="F89" s="28">
        <v>1</v>
      </c>
      <c r="G89" s="28">
        <v>1</v>
      </c>
      <c r="H89" s="28">
        <v>1</v>
      </c>
      <c r="I89" s="28">
        <v>1</v>
      </c>
      <c r="J89" s="17"/>
    </row>
    <row r="90" spans="1:10">
      <c r="A90" s="4" t="s">
        <v>180</v>
      </c>
      <c r="B90" s="28">
        <v>1</v>
      </c>
      <c r="C90" s="28">
        <v>1</v>
      </c>
      <c r="D90" s="28">
        <v>1</v>
      </c>
      <c r="E90" s="28">
        <v>1</v>
      </c>
      <c r="F90" s="28">
        <v>1</v>
      </c>
      <c r="G90" s="28">
        <v>1</v>
      </c>
      <c r="H90" s="28">
        <v>1</v>
      </c>
      <c r="I90" s="28">
        <v>1</v>
      </c>
      <c r="J90" s="17"/>
    </row>
    <row r="91" spans="1:10">
      <c r="A91" s="4" t="s">
        <v>181</v>
      </c>
      <c r="B91" s="28">
        <v>1</v>
      </c>
      <c r="C91" s="28">
        <v>1</v>
      </c>
      <c r="D91" s="28">
        <v>1</v>
      </c>
      <c r="E91" s="28">
        <v>1</v>
      </c>
      <c r="F91" s="28">
        <v>1</v>
      </c>
      <c r="G91" s="28">
        <v>1</v>
      </c>
      <c r="H91" s="28">
        <v>1</v>
      </c>
      <c r="I91" s="28">
        <v>0</v>
      </c>
      <c r="J91" s="17"/>
    </row>
    <row r="92" spans="1:10">
      <c r="A92" s="4" t="s">
        <v>193</v>
      </c>
      <c r="B92" s="28">
        <v>1</v>
      </c>
      <c r="C92" s="28">
        <v>1</v>
      </c>
      <c r="D92" s="28">
        <v>1</v>
      </c>
      <c r="E92" s="28">
        <v>1</v>
      </c>
      <c r="F92" s="28">
        <v>1</v>
      </c>
      <c r="G92" s="28">
        <v>1</v>
      </c>
      <c r="H92" s="28">
        <v>0</v>
      </c>
      <c r="I92" s="28">
        <v>0</v>
      </c>
      <c r="J92" s="17"/>
    </row>
    <row r="93" spans="1:10">
      <c r="A93" s="4" t="s">
        <v>213</v>
      </c>
      <c r="B93" s="28">
        <v>1</v>
      </c>
      <c r="C93" s="28">
        <v>1</v>
      </c>
      <c r="D93" s="28">
        <v>1</v>
      </c>
      <c r="E93" s="28">
        <v>1</v>
      </c>
      <c r="F93" s="28">
        <v>1</v>
      </c>
      <c r="G93" s="28">
        <v>1</v>
      </c>
      <c r="H93" s="28">
        <v>1</v>
      </c>
      <c r="I93" s="28">
        <v>1</v>
      </c>
      <c r="J93" s="17"/>
    </row>
    <row r="94" spans="1:10">
      <c r="A94" s="4" t="s">
        <v>214</v>
      </c>
      <c r="B94" s="28">
        <v>1</v>
      </c>
      <c r="C94" s="28">
        <v>1</v>
      </c>
      <c r="D94" s="28">
        <v>1</v>
      </c>
      <c r="E94" s="28">
        <v>1</v>
      </c>
      <c r="F94" s="28">
        <v>1</v>
      </c>
      <c r="G94" s="28">
        <v>1</v>
      </c>
      <c r="H94" s="28">
        <v>1</v>
      </c>
      <c r="I94" s="28">
        <v>1</v>
      </c>
      <c r="J94" s="17"/>
    </row>
    <row r="95" spans="1:10">
      <c r="A95" s="4" t="s">
        <v>215</v>
      </c>
      <c r="B95" s="28">
        <v>1</v>
      </c>
      <c r="C95" s="28">
        <v>1</v>
      </c>
      <c r="D95" s="28">
        <v>1</v>
      </c>
      <c r="E95" s="28">
        <v>1</v>
      </c>
      <c r="F95" s="28">
        <v>1</v>
      </c>
      <c r="G95" s="28">
        <v>1</v>
      </c>
      <c r="H95" s="28">
        <v>1</v>
      </c>
      <c r="I95" s="28">
        <v>1</v>
      </c>
      <c r="J95" s="17"/>
    </row>
    <row r="96" spans="1:10">
      <c r="A96" s="4" t="s">
        <v>216</v>
      </c>
      <c r="B96" s="28">
        <v>1</v>
      </c>
      <c r="C96" s="28">
        <v>1</v>
      </c>
      <c r="D96" s="28">
        <v>1</v>
      </c>
      <c r="E96" s="28">
        <v>1</v>
      </c>
      <c r="F96" s="28">
        <v>1</v>
      </c>
      <c r="G96" s="28">
        <v>1</v>
      </c>
      <c r="H96" s="28">
        <v>1</v>
      </c>
      <c r="I96" s="28">
        <v>1</v>
      </c>
      <c r="J96" s="17"/>
    </row>
    <row r="97" spans="1:10">
      <c r="A97" s="4" t="s">
        <v>217</v>
      </c>
      <c r="B97" s="28">
        <v>1</v>
      </c>
      <c r="C97" s="28">
        <v>1</v>
      </c>
      <c r="D97" s="28">
        <v>1</v>
      </c>
      <c r="E97" s="28">
        <v>1</v>
      </c>
      <c r="F97" s="28">
        <v>1</v>
      </c>
      <c r="G97" s="28">
        <v>1</v>
      </c>
      <c r="H97" s="28">
        <v>1</v>
      </c>
      <c r="I97" s="28">
        <v>1</v>
      </c>
      <c r="J97" s="17"/>
    </row>
    <row r="98" spans="1:10">
      <c r="A98" s="4" t="s">
        <v>182</v>
      </c>
      <c r="B98" s="28">
        <v>1</v>
      </c>
      <c r="C98" s="28">
        <v>1</v>
      </c>
      <c r="D98" s="28">
        <v>1</v>
      </c>
      <c r="E98" s="28">
        <v>1</v>
      </c>
      <c r="F98" s="28">
        <v>1</v>
      </c>
      <c r="G98" s="28">
        <v>1</v>
      </c>
      <c r="H98" s="28">
        <v>1</v>
      </c>
      <c r="I98" s="28">
        <v>0</v>
      </c>
      <c r="J98" s="17"/>
    </row>
    <row r="99" spans="1:10">
      <c r="A99" s="4" t="s">
        <v>183</v>
      </c>
      <c r="B99" s="28">
        <v>1</v>
      </c>
      <c r="C99" s="28">
        <v>1</v>
      </c>
      <c r="D99" s="28">
        <v>1</v>
      </c>
      <c r="E99" s="28">
        <v>1</v>
      </c>
      <c r="F99" s="28">
        <v>1</v>
      </c>
      <c r="G99" s="28">
        <v>1</v>
      </c>
      <c r="H99" s="28">
        <v>0</v>
      </c>
      <c r="I99" s="28">
        <v>0</v>
      </c>
      <c r="J99" s="17"/>
    </row>
    <row r="100" spans="1:10">
      <c r="A100" s="4" t="s">
        <v>184</v>
      </c>
      <c r="B100" s="28">
        <v>1</v>
      </c>
      <c r="C100" s="28">
        <v>1</v>
      </c>
      <c r="D100" s="28">
        <v>1</v>
      </c>
      <c r="E100" s="28">
        <v>1</v>
      </c>
      <c r="F100" s="28">
        <v>1</v>
      </c>
      <c r="G100" s="28">
        <v>1</v>
      </c>
      <c r="H100" s="28">
        <v>1</v>
      </c>
      <c r="I100" s="28">
        <v>0</v>
      </c>
      <c r="J100" s="17"/>
    </row>
    <row r="101" spans="1:10">
      <c r="A101" s="4" t="s">
        <v>185</v>
      </c>
      <c r="B101" s="28">
        <v>1</v>
      </c>
      <c r="C101" s="28">
        <v>1</v>
      </c>
      <c r="D101" s="28">
        <v>1</v>
      </c>
      <c r="E101" s="28">
        <v>1</v>
      </c>
      <c r="F101" s="28">
        <v>1</v>
      </c>
      <c r="G101" s="28">
        <v>1</v>
      </c>
      <c r="H101" s="28">
        <v>1</v>
      </c>
      <c r="I101" s="28">
        <v>0</v>
      </c>
      <c r="J101" s="17"/>
    </row>
    <row r="102" spans="1:10">
      <c r="A102" s="4" t="s">
        <v>186</v>
      </c>
      <c r="B102" s="28">
        <v>1</v>
      </c>
      <c r="C102" s="28">
        <v>1</v>
      </c>
      <c r="D102" s="28">
        <v>1</v>
      </c>
      <c r="E102" s="28">
        <v>1</v>
      </c>
      <c r="F102" s="28">
        <v>1</v>
      </c>
      <c r="G102" s="28">
        <v>1</v>
      </c>
      <c r="H102" s="28">
        <v>0</v>
      </c>
      <c r="I102" s="28">
        <v>0</v>
      </c>
      <c r="J102" s="17"/>
    </row>
    <row r="103" spans="1:10">
      <c r="A103" s="4" t="s">
        <v>187</v>
      </c>
      <c r="B103" s="28">
        <v>1</v>
      </c>
      <c r="C103" s="28">
        <v>1</v>
      </c>
      <c r="D103" s="28">
        <v>1</v>
      </c>
      <c r="E103" s="28">
        <v>1</v>
      </c>
      <c r="F103" s="28">
        <v>1</v>
      </c>
      <c r="G103" s="28">
        <v>1</v>
      </c>
      <c r="H103" s="28">
        <v>0</v>
      </c>
      <c r="I103" s="28">
        <v>0</v>
      </c>
      <c r="J103" s="17"/>
    </row>
    <row r="104" spans="1:10">
      <c r="A104" s="4" t="s">
        <v>194</v>
      </c>
      <c r="B104" s="28">
        <v>1</v>
      </c>
      <c r="C104" s="28">
        <v>1</v>
      </c>
      <c r="D104" s="28">
        <v>1</v>
      </c>
      <c r="E104" s="28">
        <v>1</v>
      </c>
      <c r="F104" s="28">
        <v>1</v>
      </c>
      <c r="G104" s="28">
        <v>0</v>
      </c>
      <c r="H104" s="28">
        <v>0</v>
      </c>
      <c r="I104" s="28">
        <v>0</v>
      </c>
      <c r="J104" s="17"/>
    </row>
    <row r="105" spans="1:10">
      <c r="A105" s="4" t="s">
        <v>195</v>
      </c>
      <c r="B105" s="28">
        <v>1</v>
      </c>
      <c r="C105" s="28">
        <v>1</v>
      </c>
      <c r="D105" s="28">
        <v>1</v>
      </c>
      <c r="E105" s="28">
        <v>1</v>
      </c>
      <c r="F105" s="28">
        <v>1</v>
      </c>
      <c r="G105" s="28">
        <v>0</v>
      </c>
      <c r="H105" s="28">
        <v>0</v>
      </c>
      <c r="I105" s="28">
        <v>0</v>
      </c>
      <c r="J105" s="17"/>
    </row>
    <row r="107" spans="1:10" ht="21" customHeight="1">
      <c r="A107" s="1" t="s">
        <v>375</v>
      </c>
    </row>
    <row r="108" spans="1:10">
      <c r="A108" s="2" t="s">
        <v>351</v>
      </c>
    </row>
    <row r="109" spans="1:10">
      <c r="A109" s="33" t="s">
        <v>376</v>
      </c>
    </row>
    <row r="110" spans="1:10">
      <c r="A110" s="2" t="s">
        <v>377</v>
      </c>
    </row>
    <row r="112" spans="1:10">
      <c r="B112" s="15" t="s">
        <v>144</v>
      </c>
    </row>
    <row r="113" spans="1:3">
      <c r="A113" s="4" t="s">
        <v>144</v>
      </c>
      <c r="B113" s="40">
        <f>1-'Input'!$B$80</f>
        <v>0</v>
      </c>
      <c r="C113" s="17"/>
    </row>
    <row r="115" spans="1:3" ht="21" customHeight="1">
      <c r="A115" s="1" t="s">
        <v>378</v>
      </c>
    </row>
    <row r="116" spans="1:3">
      <c r="A116" s="2" t="s">
        <v>351</v>
      </c>
    </row>
    <row r="117" spans="1:3">
      <c r="A117" s="33" t="s">
        <v>376</v>
      </c>
    </row>
    <row r="118" spans="1:3">
      <c r="A118" s="2" t="s">
        <v>377</v>
      </c>
    </row>
    <row r="120" spans="1:3">
      <c r="B120" s="15" t="s">
        <v>145</v>
      </c>
    </row>
    <row r="121" spans="1:3">
      <c r="A121" s="4" t="s">
        <v>145</v>
      </c>
      <c r="B121" s="40">
        <f>1-'Input'!$B$80</f>
        <v>0</v>
      </c>
      <c r="C121" s="17"/>
    </row>
    <row r="123" spans="1:3" ht="21" customHeight="1">
      <c r="A123" s="1" t="s">
        <v>379</v>
      </c>
    </row>
    <row r="124" spans="1:3">
      <c r="A124" s="2" t="s">
        <v>351</v>
      </c>
    </row>
    <row r="125" spans="1:3">
      <c r="A125" s="33" t="s">
        <v>376</v>
      </c>
    </row>
    <row r="126" spans="1:3">
      <c r="A126" s="2" t="s">
        <v>377</v>
      </c>
    </row>
    <row r="128" spans="1:3">
      <c r="B128" s="15" t="s">
        <v>146</v>
      </c>
    </row>
    <row r="129" spans="1:10">
      <c r="A129" s="4" t="s">
        <v>146</v>
      </c>
      <c r="B129" s="40">
        <f>1-'Input'!$B$80</f>
        <v>0</v>
      </c>
      <c r="C129" s="17"/>
    </row>
    <row r="131" spans="1:10" ht="21" customHeight="1">
      <c r="A131" s="1" t="s">
        <v>380</v>
      </c>
    </row>
    <row r="132" spans="1:10">
      <c r="A132" s="2" t="s">
        <v>351</v>
      </c>
    </row>
    <row r="133" spans="1:10">
      <c r="A133" s="33" t="s">
        <v>376</v>
      </c>
    </row>
    <row r="134" spans="1:10">
      <c r="A134" s="33" t="s">
        <v>381</v>
      </c>
    </row>
    <row r="135" spans="1:10">
      <c r="A135" s="33" t="s">
        <v>382</v>
      </c>
    </row>
    <row r="136" spans="1:10">
      <c r="A136" s="33" t="s">
        <v>383</v>
      </c>
    </row>
    <row r="137" spans="1:10">
      <c r="A137" s="2" t="s">
        <v>384</v>
      </c>
    </row>
    <row r="138" spans="1:10">
      <c r="A138" s="2" t="s">
        <v>385</v>
      </c>
    </row>
    <row r="139" spans="1:10">
      <c r="A139" s="2" t="s">
        <v>386</v>
      </c>
    </row>
    <row r="141" spans="1:10">
      <c r="B141" s="15" t="s">
        <v>142</v>
      </c>
      <c r="C141" s="15" t="s">
        <v>143</v>
      </c>
      <c r="D141" s="15" t="s">
        <v>144</v>
      </c>
      <c r="E141" s="15" t="s">
        <v>145</v>
      </c>
      <c r="F141" s="15" t="s">
        <v>146</v>
      </c>
      <c r="G141" s="15" t="s">
        <v>147</v>
      </c>
      <c r="H141" s="15" t="s">
        <v>148</v>
      </c>
      <c r="I141" s="15" t="s">
        <v>149</v>
      </c>
    </row>
    <row r="142" spans="1:10">
      <c r="A142" s="4" t="s">
        <v>142</v>
      </c>
      <c r="B142" s="28">
        <v>1</v>
      </c>
      <c r="C142" s="10"/>
      <c r="D142" s="10"/>
      <c r="E142" s="10"/>
      <c r="F142" s="10"/>
      <c r="G142" s="10"/>
      <c r="H142" s="10"/>
      <c r="I142" s="10"/>
      <c r="J142" s="17"/>
    </row>
    <row r="143" spans="1:10">
      <c r="A143" s="4" t="s">
        <v>143</v>
      </c>
      <c r="B143" s="10"/>
      <c r="C143" s="41">
        <v>1</v>
      </c>
      <c r="D143" s="41">
        <v>0</v>
      </c>
      <c r="E143" s="41">
        <v>0</v>
      </c>
      <c r="F143" s="41">
        <v>0</v>
      </c>
      <c r="G143" s="41">
        <v>0</v>
      </c>
      <c r="H143" s="41">
        <v>0</v>
      </c>
      <c r="I143" s="41">
        <v>0</v>
      </c>
      <c r="J143" s="17"/>
    </row>
    <row r="144" spans="1:10">
      <c r="A144" s="4" t="s">
        <v>144</v>
      </c>
      <c r="B144" s="10"/>
      <c r="C144" s="41">
        <v>0</v>
      </c>
      <c r="D144" s="42">
        <f>$B$113</f>
        <v>0</v>
      </c>
      <c r="E144" s="41">
        <v>0</v>
      </c>
      <c r="F144" s="41">
        <v>0</v>
      </c>
      <c r="G144" s="41">
        <v>0</v>
      </c>
      <c r="H144" s="41">
        <v>0</v>
      </c>
      <c r="I144" s="41">
        <v>0</v>
      </c>
      <c r="J144" s="17"/>
    </row>
    <row r="145" spans="1:11">
      <c r="A145" s="4" t="s">
        <v>145</v>
      </c>
      <c r="B145" s="10"/>
      <c r="C145" s="41">
        <v>0</v>
      </c>
      <c r="D145" s="41">
        <v>0</v>
      </c>
      <c r="E145" s="42">
        <f>$B$121</f>
        <v>0</v>
      </c>
      <c r="F145" s="41">
        <v>0</v>
      </c>
      <c r="G145" s="41">
        <v>0</v>
      </c>
      <c r="H145" s="41">
        <v>0</v>
      </c>
      <c r="I145" s="41">
        <v>0</v>
      </c>
      <c r="J145" s="17"/>
    </row>
    <row r="146" spans="1:11">
      <c r="A146" s="4" t="s">
        <v>146</v>
      </c>
      <c r="B146" s="10"/>
      <c r="C146" s="41">
        <v>0</v>
      </c>
      <c r="D146" s="41">
        <v>0</v>
      </c>
      <c r="E146" s="41">
        <v>0</v>
      </c>
      <c r="F146" s="42">
        <f>$B$129</f>
        <v>0</v>
      </c>
      <c r="G146" s="41">
        <v>0</v>
      </c>
      <c r="H146" s="41">
        <v>0</v>
      </c>
      <c r="I146" s="41">
        <v>0</v>
      </c>
      <c r="J146" s="17"/>
    </row>
    <row r="147" spans="1:11">
      <c r="A147" s="4" t="s">
        <v>151</v>
      </c>
      <c r="B147" s="10"/>
      <c r="C147" s="41">
        <v>0</v>
      </c>
      <c r="D147" s="41">
        <v>0</v>
      </c>
      <c r="E147" s="41">
        <v>0</v>
      </c>
      <c r="F147" s="42">
        <f>'Input'!$B$80</f>
        <v>0</v>
      </c>
      <c r="G147" s="41">
        <v>0</v>
      </c>
      <c r="H147" s="41">
        <v>0</v>
      </c>
      <c r="I147" s="41">
        <v>0</v>
      </c>
      <c r="J147" s="17"/>
    </row>
    <row r="148" spans="1:11">
      <c r="A148" s="4" t="s">
        <v>147</v>
      </c>
      <c r="B148" s="10"/>
      <c r="C148" s="41">
        <v>0</v>
      </c>
      <c r="D148" s="41">
        <v>0</v>
      </c>
      <c r="E148" s="41">
        <v>0</v>
      </c>
      <c r="F148" s="41">
        <v>0</v>
      </c>
      <c r="G148" s="41">
        <v>1</v>
      </c>
      <c r="H148" s="41">
        <v>0</v>
      </c>
      <c r="I148" s="41">
        <v>0</v>
      </c>
      <c r="J148" s="17"/>
    </row>
    <row r="149" spans="1:11">
      <c r="A149" s="4" t="s">
        <v>148</v>
      </c>
      <c r="B149" s="10"/>
      <c r="C149" s="41">
        <v>0</v>
      </c>
      <c r="D149" s="41">
        <v>0</v>
      </c>
      <c r="E149" s="41">
        <v>0</v>
      </c>
      <c r="F149" s="41">
        <v>0</v>
      </c>
      <c r="G149" s="41">
        <v>0</v>
      </c>
      <c r="H149" s="41">
        <v>1</v>
      </c>
      <c r="I149" s="41">
        <v>0</v>
      </c>
      <c r="J149" s="17"/>
    </row>
    <row r="150" spans="1:11">
      <c r="A150" s="4" t="s">
        <v>149</v>
      </c>
      <c r="B150" s="10"/>
      <c r="C150" s="41">
        <v>0</v>
      </c>
      <c r="D150" s="41">
        <v>0</v>
      </c>
      <c r="E150" s="41">
        <v>0</v>
      </c>
      <c r="F150" s="41">
        <v>0</v>
      </c>
      <c r="G150" s="41">
        <v>0</v>
      </c>
      <c r="H150" s="41">
        <v>0</v>
      </c>
      <c r="I150" s="41">
        <v>1</v>
      </c>
      <c r="J150" s="17"/>
    </row>
    <row r="152" spans="1:11" ht="21" customHeight="1">
      <c r="A152" s="1" t="s">
        <v>387</v>
      </c>
    </row>
    <row r="153" spans="1:11">
      <c r="A153" s="2" t="s">
        <v>351</v>
      </c>
    </row>
    <row r="154" spans="1:11">
      <c r="A154" s="33" t="s">
        <v>388</v>
      </c>
    </row>
    <row r="155" spans="1:11">
      <c r="A155" s="33" t="s">
        <v>389</v>
      </c>
    </row>
    <row r="156" spans="1:11">
      <c r="A156" s="2" t="s">
        <v>364</v>
      </c>
    </row>
    <row r="158" spans="1:11">
      <c r="B158" s="15" t="s">
        <v>142</v>
      </c>
      <c r="C158" s="15" t="s">
        <v>143</v>
      </c>
      <c r="D158" s="15" t="s">
        <v>144</v>
      </c>
      <c r="E158" s="15" t="s">
        <v>145</v>
      </c>
      <c r="F158" s="15" t="s">
        <v>146</v>
      </c>
      <c r="G158" s="15" t="s">
        <v>151</v>
      </c>
      <c r="H158" s="15" t="s">
        <v>147</v>
      </c>
      <c r="I158" s="15" t="s">
        <v>148</v>
      </c>
      <c r="J158" s="15" t="s">
        <v>149</v>
      </c>
    </row>
    <row r="159" spans="1:11">
      <c r="A159" s="4" t="s">
        <v>174</v>
      </c>
      <c r="B159" s="38">
        <f>SUMPRODUCT($B82:$I82,$B$142:$I$142)</f>
        <v>0</v>
      </c>
      <c r="C159" s="38">
        <f>SUMPRODUCT($B82:$I82,$B$143:$I$143)</f>
        <v>0</v>
      </c>
      <c r="D159" s="38">
        <f>SUMPRODUCT($B82:$I82,$B$144:$I$144)</f>
        <v>0</v>
      </c>
      <c r="E159" s="38">
        <f>SUMPRODUCT($B82:$I82,$B$145:$I$145)</f>
        <v>0</v>
      </c>
      <c r="F159" s="38">
        <f>SUMPRODUCT($B82:$I82,$B$146:$I$146)</f>
        <v>0</v>
      </c>
      <c r="G159" s="38">
        <f>SUMPRODUCT($B82:$I82,$B$147:$I$147)</f>
        <v>0</v>
      </c>
      <c r="H159" s="38">
        <f>SUMPRODUCT($B82:$I82,$B$148:$I$148)</f>
        <v>0</v>
      </c>
      <c r="I159" s="38">
        <f>SUMPRODUCT($B82:$I82,$B$149:$I$149)</f>
        <v>0</v>
      </c>
      <c r="J159" s="38">
        <f>SUMPRODUCT($B82:$I82,$B$150:$I$150)</f>
        <v>0</v>
      </c>
      <c r="K159" s="17"/>
    </row>
    <row r="160" spans="1:11">
      <c r="A160" s="4" t="s">
        <v>175</v>
      </c>
      <c r="B160" s="38">
        <f>SUMPRODUCT($B83:$I83,$B$142:$I$142)</f>
        <v>0</v>
      </c>
      <c r="C160" s="38">
        <f>SUMPRODUCT($B83:$I83,$B$143:$I$143)</f>
        <v>0</v>
      </c>
      <c r="D160" s="38">
        <f>SUMPRODUCT($B83:$I83,$B$144:$I$144)</f>
        <v>0</v>
      </c>
      <c r="E160" s="38">
        <f>SUMPRODUCT($B83:$I83,$B$145:$I$145)</f>
        <v>0</v>
      </c>
      <c r="F160" s="38">
        <f>SUMPRODUCT($B83:$I83,$B$146:$I$146)</f>
        <v>0</v>
      </c>
      <c r="G160" s="38">
        <f>SUMPRODUCT($B83:$I83,$B$147:$I$147)</f>
        <v>0</v>
      </c>
      <c r="H160" s="38">
        <f>SUMPRODUCT($B83:$I83,$B$148:$I$148)</f>
        <v>0</v>
      </c>
      <c r="I160" s="38">
        <f>SUMPRODUCT($B83:$I83,$B$149:$I$149)</f>
        <v>0</v>
      </c>
      <c r="J160" s="38">
        <f>SUMPRODUCT($B83:$I83,$B$150:$I$150)</f>
        <v>0</v>
      </c>
      <c r="K160" s="17"/>
    </row>
    <row r="161" spans="1:11">
      <c r="A161" s="4" t="s">
        <v>211</v>
      </c>
      <c r="B161" s="38">
        <f>SUMPRODUCT($B84:$I84,$B$142:$I$142)</f>
        <v>0</v>
      </c>
      <c r="C161" s="38">
        <f>SUMPRODUCT($B84:$I84,$B$143:$I$143)</f>
        <v>0</v>
      </c>
      <c r="D161" s="38">
        <f>SUMPRODUCT($B84:$I84,$B$144:$I$144)</f>
        <v>0</v>
      </c>
      <c r="E161" s="38">
        <f>SUMPRODUCT($B84:$I84,$B$145:$I$145)</f>
        <v>0</v>
      </c>
      <c r="F161" s="38">
        <f>SUMPRODUCT($B84:$I84,$B$146:$I$146)</f>
        <v>0</v>
      </c>
      <c r="G161" s="38">
        <f>SUMPRODUCT($B84:$I84,$B$147:$I$147)</f>
        <v>0</v>
      </c>
      <c r="H161" s="38">
        <f>SUMPRODUCT($B84:$I84,$B$148:$I$148)</f>
        <v>0</v>
      </c>
      <c r="I161" s="38">
        <f>SUMPRODUCT($B84:$I84,$B$149:$I$149)</f>
        <v>0</v>
      </c>
      <c r="J161" s="38">
        <f>SUMPRODUCT($B84:$I84,$B$150:$I$150)</f>
        <v>0</v>
      </c>
      <c r="K161" s="17"/>
    </row>
    <row r="162" spans="1:11">
      <c r="A162" s="4" t="s">
        <v>176</v>
      </c>
      <c r="B162" s="38">
        <f>SUMPRODUCT($B85:$I85,$B$142:$I$142)</f>
        <v>0</v>
      </c>
      <c r="C162" s="38">
        <f>SUMPRODUCT($B85:$I85,$B$143:$I$143)</f>
        <v>0</v>
      </c>
      <c r="D162" s="38">
        <f>SUMPRODUCT($B85:$I85,$B$144:$I$144)</f>
        <v>0</v>
      </c>
      <c r="E162" s="38">
        <f>SUMPRODUCT($B85:$I85,$B$145:$I$145)</f>
        <v>0</v>
      </c>
      <c r="F162" s="38">
        <f>SUMPRODUCT($B85:$I85,$B$146:$I$146)</f>
        <v>0</v>
      </c>
      <c r="G162" s="38">
        <f>SUMPRODUCT($B85:$I85,$B$147:$I$147)</f>
        <v>0</v>
      </c>
      <c r="H162" s="38">
        <f>SUMPRODUCT($B85:$I85,$B$148:$I$148)</f>
        <v>0</v>
      </c>
      <c r="I162" s="38">
        <f>SUMPRODUCT($B85:$I85,$B$149:$I$149)</f>
        <v>0</v>
      </c>
      <c r="J162" s="38">
        <f>SUMPRODUCT($B85:$I85,$B$150:$I$150)</f>
        <v>0</v>
      </c>
      <c r="K162" s="17"/>
    </row>
    <row r="163" spans="1:11">
      <c r="A163" s="4" t="s">
        <v>177</v>
      </c>
      <c r="B163" s="38">
        <f>SUMPRODUCT($B86:$I86,$B$142:$I$142)</f>
        <v>0</v>
      </c>
      <c r="C163" s="38">
        <f>SUMPRODUCT($B86:$I86,$B$143:$I$143)</f>
        <v>0</v>
      </c>
      <c r="D163" s="38">
        <f>SUMPRODUCT($B86:$I86,$B$144:$I$144)</f>
        <v>0</v>
      </c>
      <c r="E163" s="38">
        <f>SUMPRODUCT($B86:$I86,$B$145:$I$145)</f>
        <v>0</v>
      </c>
      <c r="F163" s="38">
        <f>SUMPRODUCT($B86:$I86,$B$146:$I$146)</f>
        <v>0</v>
      </c>
      <c r="G163" s="38">
        <f>SUMPRODUCT($B86:$I86,$B$147:$I$147)</f>
        <v>0</v>
      </c>
      <c r="H163" s="38">
        <f>SUMPRODUCT($B86:$I86,$B$148:$I$148)</f>
        <v>0</v>
      </c>
      <c r="I163" s="38">
        <f>SUMPRODUCT($B86:$I86,$B$149:$I$149)</f>
        <v>0</v>
      </c>
      <c r="J163" s="38">
        <f>SUMPRODUCT($B86:$I86,$B$150:$I$150)</f>
        <v>0</v>
      </c>
      <c r="K163" s="17"/>
    </row>
    <row r="164" spans="1:11">
      <c r="A164" s="4" t="s">
        <v>212</v>
      </c>
      <c r="B164" s="38">
        <f>SUMPRODUCT($B87:$I87,$B$142:$I$142)</f>
        <v>0</v>
      </c>
      <c r="C164" s="38">
        <f>SUMPRODUCT($B87:$I87,$B$143:$I$143)</f>
        <v>0</v>
      </c>
      <c r="D164" s="38">
        <f>SUMPRODUCT($B87:$I87,$B$144:$I$144)</f>
        <v>0</v>
      </c>
      <c r="E164" s="38">
        <f>SUMPRODUCT($B87:$I87,$B$145:$I$145)</f>
        <v>0</v>
      </c>
      <c r="F164" s="38">
        <f>SUMPRODUCT($B87:$I87,$B$146:$I$146)</f>
        <v>0</v>
      </c>
      <c r="G164" s="38">
        <f>SUMPRODUCT($B87:$I87,$B$147:$I$147)</f>
        <v>0</v>
      </c>
      <c r="H164" s="38">
        <f>SUMPRODUCT($B87:$I87,$B$148:$I$148)</f>
        <v>0</v>
      </c>
      <c r="I164" s="38">
        <f>SUMPRODUCT($B87:$I87,$B$149:$I$149)</f>
        <v>0</v>
      </c>
      <c r="J164" s="38">
        <f>SUMPRODUCT($B87:$I87,$B$150:$I$150)</f>
        <v>0</v>
      </c>
      <c r="K164" s="17"/>
    </row>
    <row r="165" spans="1:11">
      <c r="A165" s="4" t="s">
        <v>178</v>
      </c>
      <c r="B165" s="38">
        <f>SUMPRODUCT($B88:$I88,$B$142:$I$142)</f>
        <v>0</v>
      </c>
      <c r="C165" s="38">
        <f>SUMPRODUCT($B88:$I88,$B$143:$I$143)</f>
        <v>0</v>
      </c>
      <c r="D165" s="38">
        <f>SUMPRODUCT($B88:$I88,$B$144:$I$144)</f>
        <v>0</v>
      </c>
      <c r="E165" s="38">
        <f>SUMPRODUCT($B88:$I88,$B$145:$I$145)</f>
        <v>0</v>
      </c>
      <c r="F165" s="38">
        <f>SUMPRODUCT($B88:$I88,$B$146:$I$146)</f>
        <v>0</v>
      </c>
      <c r="G165" s="38">
        <f>SUMPRODUCT($B88:$I88,$B$147:$I$147)</f>
        <v>0</v>
      </c>
      <c r="H165" s="38">
        <f>SUMPRODUCT($B88:$I88,$B$148:$I$148)</f>
        <v>0</v>
      </c>
      <c r="I165" s="38">
        <f>SUMPRODUCT($B88:$I88,$B$149:$I$149)</f>
        <v>0</v>
      </c>
      <c r="J165" s="38">
        <f>SUMPRODUCT($B88:$I88,$B$150:$I$150)</f>
        <v>0</v>
      </c>
      <c r="K165" s="17"/>
    </row>
    <row r="166" spans="1:11">
      <c r="A166" s="4" t="s">
        <v>179</v>
      </c>
      <c r="B166" s="38">
        <f>SUMPRODUCT($B89:$I89,$B$142:$I$142)</f>
        <v>0</v>
      </c>
      <c r="C166" s="38">
        <f>SUMPRODUCT($B89:$I89,$B$143:$I$143)</f>
        <v>0</v>
      </c>
      <c r="D166" s="38">
        <f>SUMPRODUCT($B89:$I89,$B$144:$I$144)</f>
        <v>0</v>
      </c>
      <c r="E166" s="38">
        <f>SUMPRODUCT($B89:$I89,$B$145:$I$145)</f>
        <v>0</v>
      </c>
      <c r="F166" s="38">
        <f>SUMPRODUCT($B89:$I89,$B$146:$I$146)</f>
        <v>0</v>
      </c>
      <c r="G166" s="38">
        <f>SUMPRODUCT($B89:$I89,$B$147:$I$147)</f>
        <v>0</v>
      </c>
      <c r="H166" s="38">
        <f>SUMPRODUCT($B89:$I89,$B$148:$I$148)</f>
        <v>0</v>
      </c>
      <c r="I166" s="38">
        <f>SUMPRODUCT($B89:$I89,$B$149:$I$149)</f>
        <v>0</v>
      </c>
      <c r="J166" s="38">
        <f>SUMPRODUCT($B89:$I89,$B$150:$I$150)</f>
        <v>0</v>
      </c>
      <c r="K166" s="17"/>
    </row>
    <row r="167" spans="1:11">
      <c r="A167" s="4" t="s">
        <v>180</v>
      </c>
      <c r="B167" s="38">
        <f>SUMPRODUCT($B90:$I90,$B$142:$I$142)</f>
        <v>0</v>
      </c>
      <c r="C167" s="38">
        <f>SUMPRODUCT($B90:$I90,$B$143:$I$143)</f>
        <v>0</v>
      </c>
      <c r="D167" s="38">
        <f>SUMPRODUCT($B90:$I90,$B$144:$I$144)</f>
        <v>0</v>
      </c>
      <c r="E167" s="38">
        <f>SUMPRODUCT($B90:$I90,$B$145:$I$145)</f>
        <v>0</v>
      </c>
      <c r="F167" s="38">
        <f>SUMPRODUCT($B90:$I90,$B$146:$I$146)</f>
        <v>0</v>
      </c>
      <c r="G167" s="38">
        <f>SUMPRODUCT($B90:$I90,$B$147:$I$147)</f>
        <v>0</v>
      </c>
      <c r="H167" s="38">
        <f>SUMPRODUCT($B90:$I90,$B$148:$I$148)</f>
        <v>0</v>
      </c>
      <c r="I167" s="38">
        <f>SUMPRODUCT($B90:$I90,$B$149:$I$149)</f>
        <v>0</v>
      </c>
      <c r="J167" s="38">
        <f>SUMPRODUCT($B90:$I90,$B$150:$I$150)</f>
        <v>0</v>
      </c>
      <c r="K167" s="17"/>
    </row>
    <row r="168" spans="1:11">
      <c r="A168" s="4" t="s">
        <v>181</v>
      </c>
      <c r="B168" s="38">
        <f>SUMPRODUCT($B91:$I91,$B$142:$I$142)</f>
        <v>0</v>
      </c>
      <c r="C168" s="38">
        <f>SUMPRODUCT($B91:$I91,$B$143:$I$143)</f>
        <v>0</v>
      </c>
      <c r="D168" s="38">
        <f>SUMPRODUCT($B91:$I91,$B$144:$I$144)</f>
        <v>0</v>
      </c>
      <c r="E168" s="38">
        <f>SUMPRODUCT($B91:$I91,$B$145:$I$145)</f>
        <v>0</v>
      </c>
      <c r="F168" s="38">
        <f>SUMPRODUCT($B91:$I91,$B$146:$I$146)</f>
        <v>0</v>
      </c>
      <c r="G168" s="38">
        <f>SUMPRODUCT($B91:$I91,$B$147:$I$147)</f>
        <v>0</v>
      </c>
      <c r="H168" s="38">
        <f>SUMPRODUCT($B91:$I91,$B$148:$I$148)</f>
        <v>0</v>
      </c>
      <c r="I168" s="38">
        <f>SUMPRODUCT($B91:$I91,$B$149:$I$149)</f>
        <v>0</v>
      </c>
      <c r="J168" s="38">
        <f>SUMPRODUCT($B91:$I91,$B$150:$I$150)</f>
        <v>0</v>
      </c>
      <c r="K168" s="17"/>
    </row>
    <row r="169" spans="1:11">
      <c r="A169" s="4" t="s">
        <v>193</v>
      </c>
      <c r="B169" s="38">
        <f>SUMPRODUCT($B92:$I92,$B$142:$I$142)</f>
        <v>0</v>
      </c>
      <c r="C169" s="38">
        <f>SUMPRODUCT($B92:$I92,$B$143:$I$143)</f>
        <v>0</v>
      </c>
      <c r="D169" s="38">
        <f>SUMPRODUCT($B92:$I92,$B$144:$I$144)</f>
        <v>0</v>
      </c>
      <c r="E169" s="38">
        <f>SUMPRODUCT($B92:$I92,$B$145:$I$145)</f>
        <v>0</v>
      </c>
      <c r="F169" s="38">
        <f>SUMPRODUCT($B92:$I92,$B$146:$I$146)</f>
        <v>0</v>
      </c>
      <c r="G169" s="38">
        <f>SUMPRODUCT($B92:$I92,$B$147:$I$147)</f>
        <v>0</v>
      </c>
      <c r="H169" s="38">
        <f>SUMPRODUCT($B92:$I92,$B$148:$I$148)</f>
        <v>0</v>
      </c>
      <c r="I169" s="38">
        <f>SUMPRODUCT($B92:$I92,$B$149:$I$149)</f>
        <v>0</v>
      </c>
      <c r="J169" s="38">
        <f>SUMPRODUCT($B92:$I92,$B$150:$I$150)</f>
        <v>0</v>
      </c>
      <c r="K169" s="17"/>
    </row>
    <row r="170" spans="1:11">
      <c r="A170" s="4" t="s">
        <v>213</v>
      </c>
      <c r="B170" s="38">
        <f>SUMPRODUCT($B93:$I93,$B$142:$I$142)</f>
        <v>0</v>
      </c>
      <c r="C170" s="38">
        <f>SUMPRODUCT($B93:$I93,$B$143:$I$143)</f>
        <v>0</v>
      </c>
      <c r="D170" s="38">
        <f>SUMPRODUCT($B93:$I93,$B$144:$I$144)</f>
        <v>0</v>
      </c>
      <c r="E170" s="38">
        <f>SUMPRODUCT($B93:$I93,$B$145:$I$145)</f>
        <v>0</v>
      </c>
      <c r="F170" s="38">
        <f>SUMPRODUCT($B93:$I93,$B$146:$I$146)</f>
        <v>0</v>
      </c>
      <c r="G170" s="38">
        <f>SUMPRODUCT($B93:$I93,$B$147:$I$147)</f>
        <v>0</v>
      </c>
      <c r="H170" s="38">
        <f>SUMPRODUCT($B93:$I93,$B$148:$I$148)</f>
        <v>0</v>
      </c>
      <c r="I170" s="38">
        <f>SUMPRODUCT($B93:$I93,$B$149:$I$149)</f>
        <v>0</v>
      </c>
      <c r="J170" s="38">
        <f>SUMPRODUCT($B93:$I93,$B$150:$I$150)</f>
        <v>0</v>
      </c>
      <c r="K170" s="17"/>
    </row>
    <row r="171" spans="1:11">
      <c r="A171" s="4" t="s">
        <v>214</v>
      </c>
      <c r="B171" s="38">
        <f>SUMPRODUCT($B94:$I94,$B$142:$I$142)</f>
        <v>0</v>
      </c>
      <c r="C171" s="38">
        <f>SUMPRODUCT($B94:$I94,$B$143:$I$143)</f>
        <v>0</v>
      </c>
      <c r="D171" s="38">
        <f>SUMPRODUCT($B94:$I94,$B$144:$I$144)</f>
        <v>0</v>
      </c>
      <c r="E171" s="38">
        <f>SUMPRODUCT($B94:$I94,$B$145:$I$145)</f>
        <v>0</v>
      </c>
      <c r="F171" s="38">
        <f>SUMPRODUCT($B94:$I94,$B$146:$I$146)</f>
        <v>0</v>
      </c>
      <c r="G171" s="38">
        <f>SUMPRODUCT($B94:$I94,$B$147:$I$147)</f>
        <v>0</v>
      </c>
      <c r="H171" s="38">
        <f>SUMPRODUCT($B94:$I94,$B$148:$I$148)</f>
        <v>0</v>
      </c>
      <c r="I171" s="38">
        <f>SUMPRODUCT($B94:$I94,$B$149:$I$149)</f>
        <v>0</v>
      </c>
      <c r="J171" s="38">
        <f>SUMPRODUCT($B94:$I94,$B$150:$I$150)</f>
        <v>0</v>
      </c>
      <c r="K171" s="17"/>
    </row>
    <row r="172" spans="1:11">
      <c r="A172" s="4" t="s">
        <v>215</v>
      </c>
      <c r="B172" s="38">
        <f>SUMPRODUCT($B95:$I95,$B$142:$I$142)</f>
        <v>0</v>
      </c>
      <c r="C172" s="38">
        <f>SUMPRODUCT($B95:$I95,$B$143:$I$143)</f>
        <v>0</v>
      </c>
      <c r="D172" s="38">
        <f>SUMPRODUCT($B95:$I95,$B$144:$I$144)</f>
        <v>0</v>
      </c>
      <c r="E172" s="38">
        <f>SUMPRODUCT($B95:$I95,$B$145:$I$145)</f>
        <v>0</v>
      </c>
      <c r="F172" s="38">
        <f>SUMPRODUCT($B95:$I95,$B$146:$I$146)</f>
        <v>0</v>
      </c>
      <c r="G172" s="38">
        <f>SUMPRODUCT($B95:$I95,$B$147:$I$147)</f>
        <v>0</v>
      </c>
      <c r="H172" s="38">
        <f>SUMPRODUCT($B95:$I95,$B$148:$I$148)</f>
        <v>0</v>
      </c>
      <c r="I172" s="38">
        <f>SUMPRODUCT($B95:$I95,$B$149:$I$149)</f>
        <v>0</v>
      </c>
      <c r="J172" s="38">
        <f>SUMPRODUCT($B95:$I95,$B$150:$I$150)</f>
        <v>0</v>
      </c>
      <c r="K172" s="17"/>
    </row>
    <row r="173" spans="1:11">
      <c r="A173" s="4" t="s">
        <v>216</v>
      </c>
      <c r="B173" s="38">
        <f>SUMPRODUCT($B96:$I96,$B$142:$I$142)</f>
        <v>0</v>
      </c>
      <c r="C173" s="38">
        <f>SUMPRODUCT($B96:$I96,$B$143:$I$143)</f>
        <v>0</v>
      </c>
      <c r="D173" s="38">
        <f>SUMPRODUCT($B96:$I96,$B$144:$I$144)</f>
        <v>0</v>
      </c>
      <c r="E173" s="38">
        <f>SUMPRODUCT($B96:$I96,$B$145:$I$145)</f>
        <v>0</v>
      </c>
      <c r="F173" s="38">
        <f>SUMPRODUCT($B96:$I96,$B$146:$I$146)</f>
        <v>0</v>
      </c>
      <c r="G173" s="38">
        <f>SUMPRODUCT($B96:$I96,$B$147:$I$147)</f>
        <v>0</v>
      </c>
      <c r="H173" s="38">
        <f>SUMPRODUCT($B96:$I96,$B$148:$I$148)</f>
        <v>0</v>
      </c>
      <c r="I173" s="38">
        <f>SUMPRODUCT($B96:$I96,$B$149:$I$149)</f>
        <v>0</v>
      </c>
      <c r="J173" s="38">
        <f>SUMPRODUCT($B96:$I96,$B$150:$I$150)</f>
        <v>0</v>
      </c>
      <c r="K173" s="17"/>
    </row>
    <row r="174" spans="1:11">
      <c r="A174" s="4" t="s">
        <v>217</v>
      </c>
      <c r="B174" s="38">
        <f>SUMPRODUCT($B97:$I97,$B$142:$I$142)</f>
        <v>0</v>
      </c>
      <c r="C174" s="38">
        <f>SUMPRODUCT($B97:$I97,$B$143:$I$143)</f>
        <v>0</v>
      </c>
      <c r="D174" s="38">
        <f>SUMPRODUCT($B97:$I97,$B$144:$I$144)</f>
        <v>0</v>
      </c>
      <c r="E174" s="38">
        <f>SUMPRODUCT($B97:$I97,$B$145:$I$145)</f>
        <v>0</v>
      </c>
      <c r="F174" s="38">
        <f>SUMPRODUCT($B97:$I97,$B$146:$I$146)</f>
        <v>0</v>
      </c>
      <c r="G174" s="38">
        <f>SUMPRODUCT($B97:$I97,$B$147:$I$147)</f>
        <v>0</v>
      </c>
      <c r="H174" s="38">
        <f>SUMPRODUCT($B97:$I97,$B$148:$I$148)</f>
        <v>0</v>
      </c>
      <c r="I174" s="38">
        <f>SUMPRODUCT($B97:$I97,$B$149:$I$149)</f>
        <v>0</v>
      </c>
      <c r="J174" s="38">
        <f>SUMPRODUCT($B97:$I97,$B$150:$I$150)</f>
        <v>0</v>
      </c>
      <c r="K174" s="17"/>
    </row>
    <row r="175" spans="1:11">
      <c r="A175" s="4" t="s">
        <v>182</v>
      </c>
      <c r="B175" s="38">
        <f>SUMPRODUCT($B98:$I98,$B$142:$I$142)</f>
        <v>0</v>
      </c>
      <c r="C175" s="38">
        <f>SUMPRODUCT($B98:$I98,$B$143:$I$143)</f>
        <v>0</v>
      </c>
      <c r="D175" s="38">
        <f>SUMPRODUCT($B98:$I98,$B$144:$I$144)</f>
        <v>0</v>
      </c>
      <c r="E175" s="38">
        <f>SUMPRODUCT($B98:$I98,$B$145:$I$145)</f>
        <v>0</v>
      </c>
      <c r="F175" s="38">
        <f>SUMPRODUCT($B98:$I98,$B$146:$I$146)</f>
        <v>0</v>
      </c>
      <c r="G175" s="38">
        <f>SUMPRODUCT($B98:$I98,$B$147:$I$147)</f>
        <v>0</v>
      </c>
      <c r="H175" s="38">
        <f>SUMPRODUCT($B98:$I98,$B$148:$I$148)</f>
        <v>0</v>
      </c>
      <c r="I175" s="38">
        <f>SUMPRODUCT($B98:$I98,$B$149:$I$149)</f>
        <v>0</v>
      </c>
      <c r="J175" s="38">
        <f>SUMPRODUCT($B98:$I98,$B$150:$I$150)</f>
        <v>0</v>
      </c>
      <c r="K175" s="17"/>
    </row>
    <row r="176" spans="1:11">
      <c r="A176" s="4" t="s">
        <v>183</v>
      </c>
      <c r="B176" s="38">
        <f>SUMPRODUCT($B99:$I99,$B$142:$I$142)</f>
        <v>0</v>
      </c>
      <c r="C176" s="38">
        <f>SUMPRODUCT($B99:$I99,$B$143:$I$143)</f>
        <v>0</v>
      </c>
      <c r="D176" s="38">
        <f>SUMPRODUCT($B99:$I99,$B$144:$I$144)</f>
        <v>0</v>
      </c>
      <c r="E176" s="38">
        <f>SUMPRODUCT($B99:$I99,$B$145:$I$145)</f>
        <v>0</v>
      </c>
      <c r="F176" s="38">
        <f>SUMPRODUCT($B99:$I99,$B$146:$I$146)</f>
        <v>0</v>
      </c>
      <c r="G176" s="38">
        <f>SUMPRODUCT($B99:$I99,$B$147:$I$147)</f>
        <v>0</v>
      </c>
      <c r="H176" s="38">
        <f>SUMPRODUCT($B99:$I99,$B$148:$I$148)</f>
        <v>0</v>
      </c>
      <c r="I176" s="38">
        <f>SUMPRODUCT($B99:$I99,$B$149:$I$149)</f>
        <v>0</v>
      </c>
      <c r="J176" s="38">
        <f>SUMPRODUCT($B99:$I99,$B$150:$I$150)</f>
        <v>0</v>
      </c>
      <c r="K176" s="17"/>
    </row>
    <row r="177" spans="1:11">
      <c r="A177" s="4" t="s">
        <v>184</v>
      </c>
      <c r="B177" s="38">
        <f>SUMPRODUCT($B100:$I100,$B$142:$I$142)</f>
        <v>0</v>
      </c>
      <c r="C177" s="38">
        <f>SUMPRODUCT($B100:$I100,$B$143:$I$143)</f>
        <v>0</v>
      </c>
      <c r="D177" s="38">
        <f>SUMPRODUCT($B100:$I100,$B$144:$I$144)</f>
        <v>0</v>
      </c>
      <c r="E177" s="38">
        <f>SUMPRODUCT($B100:$I100,$B$145:$I$145)</f>
        <v>0</v>
      </c>
      <c r="F177" s="38">
        <f>SUMPRODUCT($B100:$I100,$B$146:$I$146)</f>
        <v>0</v>
      </c>
      <c r="G177" s="38">
        <f>SUMPRODUCT($B100:$I100,$B$147:$I$147)</f>
        <v>0</v>
      </c>
      <c r="H177" s="38">
        <f>SUMPRODUCT($B100:$I100,$B$148:$I$148)</f>
        <v>0</v>
      </c>
      <c r="I177" s="38">
        <f>SUMPRODUCT($B100:$I100,$B$149:$I$149)</f>
        <v>0</v>
      </c>
      <c r="J177" s="38">
        <f>SUMPRODUCT($B100:$I100,$B$150:$I$150)</f>
        <v>0</v>
      </c>
      <c r="K177" s="17"/>
    </row>
    <row r="178" spans="1:11">
      <c r="A178" s="4" t="s">
        <v>185</v>
      </c>
      <c r="B178" s="38">
        <f>SUMPRODUCT($B101:$I101,$B$142:$I$142)</f>
        <v>0</v>
      </c>
      <c r="C178" s="38">
        <f>SUMPRODUCT($B101:$I101,$B$143:$I$143)</f>
        <v>0</v>
      </c>
      <c r="D178" s="38">
        <f>SUMPRODUCT($B101:$I101,$B$144:$I$144)</f>
        <v>0</v>
      </c>
      <c r="E178" s="38">
        <f>SUMPRODUCT($B101:$I101,$B$145:$I$145)</f>
        <v>0</v>
      </c>
      <c r="F178" s="38">
        <f>SUMPRODUCT($B101:$I101,$B$146:$I$146)</f>
        <v>0</v>
      </c>
      <c r="G178" s="38">
        <f>SUMPRODUCT($B101:$I101,$B$147:$I$147)</f>
        <v>0</v>
      </c>
      <c r="H178" s="38">
        <f>SUMPRODUCT($B101:$I101,$B$148:$I$148)</f>
        <v>0</v>
      </c>
      <c r="I178" s="38">
        <f>SUMPRODUCT($B101:$I101,$B$149:$I$149)</f>
        <v>0</v>
      </c>
      <c r="J178" s="38">
        <f>SUMPRODUCT($B101:$I101,$B$150:$I$150)</f>
        <v>0</v>
      </c>
      <c r="K178" s="17"/>
    </row>
    <row r="179" spans="1:11">
      <c r="A179" s="4" t="s">
        <v>186</v>
      </c>
      <c r="B179" s="38">
        <f>SUMPRODUCT($B102:$I102,$B$142:$I$142)</f>
        <v>0</v>
      </c>
      <c r="C179" s="38">
        <f>SUMPRODUCT($B102:$I102,$B$143:$I$143)</f>
        <v>0</v>
      </c>
      <c r="D179" s="38">
        <f>SUMPRODUCT($B102:$I102,$B$144:$I$144)</f>
        <v>0</v>
      </c>
      <c r="E179" s="38">
        <f>SUMPRODUCT($B102:$I102,$B$145:$I$145)</f>
        <v>0</v>
      </c>
      <c r="F179" s="38">
        <f>SUMPRODUCT($B102:$I102,$B$146:$I$146)</f>
        <v>0</v>
      </c>
      <c r="G179" s="38">
        <f>SUMPRODUCT($B102:$I102,$B$147:$I$147)</f>
        <v>0</v>
      </c>
      <c r="H179" s="38">
        <f>SUMPRODUCT($B102:$I102,$B$148:$I$148)</f>
        <v>0</v>
      </c>
      <c r="I179" s="38">
        <f>SUMPRODUCT($B102:$I102,$B$149:$I$149)</f>
        <v>0</v>
      </c>
      <c r="J179" s="38">
        <f>SUMPRODUCT($B102:$I102,$B$150:$I$150)</f>
        <v>0</v>
      </c>
      <c r="K179" s="17"/>
    </row>
    <row r="180" spans="1:11">
      <c r="A180" s="4" t="s">
        <v>187</v>
      </c>
      <c r="B180" s="38">
        <f>SUMPRODUCT($B103:$I103,$B$142:$I$142)</f>
        <v>0</v>
      </c>
      <c r="C180" s="38">
        <f>SUMPRODUCT($B103:$I103,$B$143:$I$143)</f>
        <v>0</v>
      </c>
      <c r="D180" s="38">
        <f>SUMPRODUCT($B103:$I103,$B$144:$I$144)</f>
        <v>0</v>
      </c>
      <c r="E180" s="38">
        <f>SUMPRODUCT($B103:$I103,$B$145:$I$145)</f>
        <v>0</v>
      </c>
      <c r="F180" s="38">
        <f>SUMPRODUCT($B103:$I103,$B$146:$I$146)</f>
        <v>0</v>
      </c>
      <c r="G180" s="38">
        <f>SUMPRODUCT($B103:$I103,$B$147:$I$147)</f>
        <v>0</v>
      </c>
      <c r="H180" s="38">
        <f>SUMPRODUCT($B103:$I103,$B$148:$I$148)</f>
        <v>0</v>
      </c>
      <c r="I180" s="38">
        <f>SUMPRODUCT($B103:$I103,$B$149:$I$149)</f>
        <v>0</v>
      </c>
      <c r="J180" s="38">
        <f>SUMPRODUCT($B103:$I103,$B$150:$I$150)</f>
        <v>0</v>
      </c>
      <c r="K180" s="17"/>
    </row>
    <row r="181" spans="1:11">
      <c r="A181" s="4" t="s">
        <v>194</v>
      </c>
      <c r="B181" s="38">
        <f>SUMPRODUCT($B104:$I104,$B$142:$I$142)</f>
        <v>0</v>
      </c>
      <c r="C181" s="38">
        <f>SUMPRODUCT($B104:$I104,$B$143:$I$143)</f>
        <v>0</v>
      </c>
      <c r="D181" s="38">
        <f>SUMPRODUCT($B104:$I104,$B$144:$I$144)</f>
        <v>0</v>
      </c>
      <c r="E181" s="38">
        <f>SUMPRODUCT($B104:$I104,$B$145:$I$145)</f>
        <v>0</v>
      </c>
      <c r="F181" s="38">
        <f>SUMPRODUCT($B104:$I104,$B$146:$I$146)</f>
        <v>0</v>
      </c>
      <c r="G181" s="38">
        <f>SUMPRODUCT($B104:$I104,$B$147:$I$147)</f>
        <v>0</v>
      </c>
      <c r="H181" s="38">
        <f>SUMPRODUCT($B104:$I104,$B$148:$I$148)</f>
        <v>0</v>
      </c>
      <c r="I181" s="38">
        <f>SUMPRODUCT($B104:$I104,$B$149:$I$149)</f>
        <v>0</v>
      </c>
      <c r="J181" s="38">
        <f>SUMPRODUCT($B104:$I104,$B$150:$I$150)</f>
        <v>0</v>
      </c>
      <c r="K181" s="17"/>
    </row>
    <row r="182" spans="1:11">
      <c r="A182" s="4" t="s">
        <v>195</v>
      </c>
      <c r="B182" s="38">
        <f>SUMPRODUCT($B105:$I105,$B$142:$I$142)</f>
        <v>0</v>
      </c>
      <c r="C182" s="38">
        <f>SUMPRODUCT($B105:$I105,$B$143:$I$143)</f>
        <v>0</v>
      </c>
      <c r="D182" s="38">
        <f>SUMPRODUCT($B105:$I105,$B$144:$I$144)</f>
        <v>0</v>
      </c>
      <c r="E182" s="38">
        <f>SUMPRODUCT($B105:$I105,$B$145:$I$145)</f>
        <v>0</v>
      </c>
      <c r="F182" s="38">
        <f>SUMPRODUCT($B105:$I105,$B$146:$I$146)</f>
        <v>0</v>
      </c>
      <c r="G182" s="38">
        <f>SUMPRODUCT($B105:$I105,$B$147:$I$147)</f>
        <v>0</v>
      </c>
      <c r="H182" s="38">
        <f>SUMPRODUCT($B105:$I105,$B$148:$I$148)</f>
        <v>0</v>
      </c>
      <c r="I182" s="38">
        <f>SUMPRODUCT($B105:$I105,$B$149:$I$149)</f>
        <v>0</v>
      </c>
      <c r="J182" s="38">
        <f>SUMPRODUCT($B105:$I105,$B$150:$I$150)</f>
        <v>0</v>
      </c>
      <c r="K182" s="17"/>
    </row>
    <row r="184" spans="1:11" ht="21" customHeight="1">
      <c r="A184" s="1" t="s">
        <v>390</v>
      </c>
    </row>
    <row r="185" spans="1:11">
      <c r="A185" s="2" t="s">
        <v>351</v>
      </c>
    </row>
    <row r="186" spans="1:11">
      <c r="A186" s="2" t="s">
        <v>391</v>
      </c>
    </row>
    <row r="187" spans="1:11">
      <c r="A187" s="2" t="s">
        <v>392</v>
      </c>
    </row>
    <row r="188" spans="1:11">
      <c r="A188" s="33" t="s">
        <v>393</v>
      </c>
    </row>
    <row r="189" spans="1:11">
      <c r="A189" s="2" t="s">
        <v>394</v>
      </c>
    </row>
    <row r="191" spans="1:11">
      <c r="B191" s="15" t="s">
        <v>142</v>
      </c>
      <c r="C191" s="15" t="s">
        <v>143</v>
      </c>
      <c r="D191" s="15" t="s">
        <v>144</v>
      </c>
      <c r="E191" s="15" t="s">
        <v>145</v>
      </c>
      <c r="F191" s="15" t="s">
        <v>146</v>
      </c>
      <c r="G191" s="15" t="s">
        <v>151</v>
      </c>
      <c r="H191" s="15" t="s">
        <v>147</v>
      </c>
      <c r="I191" s="15" t="s">
        <v>148</v>
      </c>
      <c r="J191" s="15" t="s">
        <v>149</v>
      </c>
    </row>
    <row r="192" spans="1:11">
      <c r="A192" s="4" t="s">
        <v>174</v>
      </c>
      <c r="B192" s="39">
        <f>B159</f>
        <v>0</v>
      </c>
      <c r="C192" s="39">
        <f>C159</f>
        <v>0</v>
      </c>
      <c r="D192" s="39">
        <f>D159</f>
        <v>0</v>
      </c>
      <c r="E192" s="39">
        <f>E159</f>
        <v>0</v>
      </c>
      <c r="F192" s="39">
        <f>F159</f>
        <v>0</v>
      </c>
      <c r="G192" s="39">
        <f>G159</f>
        <v>0</v>
      </c>
      <c r="H192" s="39">
        <f>H159</f>
        <v>0</v>
      </c>
      <c r="I192" s="39">
        <f>I159</f>
        <v>0</v>
      </c>
      <c r="J192" s="39">
        <f>J159</f>
        <v>0</v>
      </c>
      <c r="K192" s="17"/>
    </row>
    <row r="193" spans="1:11">
      <c r="A193" s="4" t="s">
        <v>175</v>
      </c>
      <c r="B193" s="39">
        <f>B160</f>
        <v>0</v>
      </c>
      <c r="C193" s="39">
        <f>C160</f>
        <v>0</v>
      </c>
      <c r="D193" s="39">
        <f>D160</f>
        <v>0</v>
      </c>
      <c r="E193" s="39">
        <f>E160</f>
        <v>0</v>
      </c>
      <c r="F193" s="39">
        <f>F160</f>
        <v>0</v>
      </c>
      <c r="G193" s="39">
        <f>G160</f>
        <v>0</v>
      </c>
      <c r="H193" s="39">
        <f>H160</f>
        <v>0</v>
      </c>
      <c r="I193" s="39">
        <f>I160</f>
        <v>0</v>
      </c>
      <c r="J193" s="39">
        <f>J160</f>
        <v>0</v>
      </c>
      <c r="K193" s="17"/>
    </row>
    <row r="194" spans="1:11">
      <c r="A194" s="4" t="s">
        <v>211</v>
      </c>
      <c r="B194" s="39">
        <f>B161</f>
        <v>0</v>
      </c>
      <c r="C194" s="39">
        <f>C161</f>
        <v>0</v>
      </c>
      <c r="D194" s="39">
        <f>D161</f>
        <v>0</v>
      </c>
      <c r="E194" s="39">
        <f>E161</f>
        <v>0</v>
      </c>
      <c r="F194" s="39">
        <f>F161</f>
        <v>0</v>
      </c>
      <c r="G194" s="39">
        <f>G161</f>
        <v>0</v>
      </c>
      <c r="H194" s="39">
        <f>H161</f>
        <v>0</v>
      </c>
      <c r="I194" s="39">
        <f>I161</f>
        <v>0</v>
      </c>
      <c r="J194" s="39">
        <f>J161</f>
        <v>0</v>
      </c>
      <c r="K194" s="17"/>
    </row>
    <row r="195" spans="1:11">
      <c r="A195" s="4" t="s">
        <v>176</v>
      </c>
      <c r="B195" s="39">
        <f>B162</f>
        <v>0</v>
      </c>
      <c r="C195" s="39">
        <f>C162</f>
        <v>0</v>
      </c>
      <c r="D195" s="39">
        <f>D162</f>
        <v>0</v>
      </c>
      <c r="E195" s="39">
        <f>E162</f>
        <v>0</v>
      </c>
      <c r="F195" s="39">
        <f>F162</f>
        <v>0</v>
      </c>
      <c r="G195" s="39">
        <f>G162</f>
        <v>0</v>
      </c>
      <c r="H195" s="39">
        <f>H162</f>
        <v>0</v>
      </c>
      <c r="I195" s="39">
        <f>I162</f>
        <v>0</v>
      </c>
      <c r="J195" s="39">
        <f>J162</f>
        <v>0</v>
      </c>
      <c r="K195" s="17"/>
    </row>
    <row r="196" spans="1:11">
      <c r="A196" s="4" t="s">
        <v>177</v>
      </c>
      <c r="B196" s="39">
        <f>B163</f>
        <v>0</v>
      </c>
      <c r="C196" s="39">
        <f>C163</f>
        <v>0</v>
      </c>
      <c r="D196" s="39">
        <f>D163</f>
        <v>0</v>
      </c>
      <c r="E196" s="39">
        <f>E163</f>
        <v>0</v>
      </c>
      <c r="F196" s="39">
        <f>F163</f>
        <v>0</v>
      </c>
      <c r="G196" s="39">
        <f>G163</f>
        <v>0</v>
      </c>
      <c r="H196" s="39">
        <f>H163</f>
        <v>0</v>
      </c>
      <c r="I196" s="39">
        <f>I163</f>
        <v>0</v>
      </c>
      <c r="J196" s="39">
        <f>J163</f>
        <v>0</v>
      </c>
      <c r="K196" s="17"/>
    </row>
    <row r="197" spans="1:11">
      <c r="A197" s="4" t="s">
        <v>212</v>
      </c>
      <c r="B197" s="39">
        <f>B164</f>
        <v>0</v>
      </c>
      <c r="C197" s="39">
        <f>C164</f>
        <v>0</v>
      </c>
      <c r="D197" s="39">
        <f>D164</f>
        <v>0</v>
      </c>
      <c r="E197" s="39">
        <f>E164</f>
        <v>0</v>
      </c>
      <c r="F197" s="39">
        <f>F164</f>
        <v>0</v>
      </c>
      <c r="G197" s="39">
        <f>G164</f>
        <v>0</v>
      </c>
      <c r="H197" s="39">
        <f>H164</f>
        <v>0</v>
      </c>
      <c r="I197" s="39">
        <f>I164</f>
        <v>0</v>
      </c>
      <c r="J197" s="39">
        <f>J164</f>
        <v>0</v>
      </c>
      <c r="K197" s="17"/>
    </row>
    <row r="198" spans="1:11">
      <c r="A198" s="4" t="s">
        <v>178</v>
      </c>
      <c r="B198" s="39">
        <f>B165</f>
        <v>0</v>
      </c>
      <c r="C198" s="39">
        <f>C165</f>
        <v>0</v>
      </c>
      <c r="D198" s="39">
        <f>D165</f>
        <v>0</v>
      </c>
      <c r="E198" s="39">
        <f>E165</f>
        <v>0</v>
      </c>
      <c r="F198" s="39">
        <f>F165</f>
        <v>0</v>
      </c>
      <c r="G198" s="39">
        <f>G165</f>
        <v>0</v>
      </c>
      <c r="H198" s="39">
        <f>H165</f>
        <v>0</v>
      </c>
      <c r="I198" s="39">
        <f>I165</f>
        <v>0</v>
      </c>
      <c r="J198" s="39">
        <f>J165</f>
        <v>0</v>
      </c>
      <c r="K198" s="17"/>
    </row>
    <row r="199" spans="1:11">
      <c r="A199" s="4" t="s">
        <v>179</v>
      </c>
      <c r="B199" s="39">
        <f>B166</f>
        <v>0</v>
      </c>
      <c r="C199" s="39">
        <f>C166</f>
        <v>0</v>
      </c>
      <c r="D199" s="39">
        <f>D166</f>
        <v>0</v>
      </c>
      <c r="E199" s="39">
        <f>E166</f>
        <v>0</v>
      </c>
      <c r="F199" s="39">
        <f>F166</f>
        <v>0</v>
      </c>
      <c r="G199" s="39">
        <f>G166</f>
        <v>0</v>
      </c>
      <c r="H199" s="39">
        <f>H166</f>
        <v>0</v>
      </c>
      <c r="I199" s="39">
        <f>I166</f>
        <v>0</v>
      </c>
      <c r="J199" s="39">
        <f>J166</f>
        <v>0</v>
      </c>
      <c r="K199" s="17"/>
    </row>
    <row r="200" spans="1:11">
      <c r="A200" s="4" t="s">
        <v>180</v>
      </c>
      <c r="B200" s="39">
        <f>B167</f>
        <v>0</v>
      </c>
      <c r="C200" s="39">
        <f>C167</f>
        <v>0</v>
      </c>
      <c r="D200" s="39">
        <f>D167</f>
        <v>0</v>
      </c>
      <c r="E200" s="39">
        <f>E167</f>
        <v>0</v>
      </c>
      <c r="F200" s="39">
        <f>F167</f>
        <v>0</v>
      </c>
      <c r="G200" s="39">
        <f>G167</f>
        <v>0</v>
      </c>
      <c r="H200" s="39">
        <f>H167</f>
        <v>0</v>
      </c>
      <c r="I200" s="39">
        <f>I167</f>
        <v>0</v>
      </c>
      <c r="J200" s="39">
        <f>J167</f>
        <v>0</v>
      </c>
      <c r="K200" s="17"/>
    </row>
    <row r="201" spans="1:11">
      <c r="A201" s="4" t="s">
        <v>181</v>
      </c>
      <c r="B201" s="39">
        <f>B168</f>
        <v>0</v>
      </c>
      <c r="C201" s="39">
        <f>C168</f>
        <v>0</v>
      </c>
      <c r="D201" s="39">
        <f>D168</f>
        <v>0</v>
      </c>
      <c r="E201" s="39">
        <f>E168</f>
        <v>0</v>
      </c>
      <c r="F201" s="39">
        <f>F168</f>
        <v>0</v>
      </c>
      <c r="G201" s="39">
        <f>G168</f>
        <v>0</v>
      </c>
      <c r="H201" s="39">
        <f>H168</f>
        <v>0</v>
      </c>
      <c r="I201" s="39">
        <f>I168</f>
        <v>0</v>
      </c>
      <c r="J201" s="39">
        <f>J168</f>
        <v>0</v>
      </c>
      <c r="K201" s="17"/>
    </row>
    <row r="202" spans="1:11">
      <c r="A202" s="4" t="s">
        <v>193</v>
      </c>
      <c r="B202" s="39">
        <f>B169</f>
        <v>0</v>
      </c>
      <c r="C202" s="39">
        <f>C169</f>
        <v>0</v>
      </c>
      <c r="D202" s="39">
        <f>D169</f>
        <v>0</v>
      </c>
      <c r="E202" s="39">
        <f>E169</f>
        <v>0</v>
      </c>
      <c r="F202" s="39">
        <f>F169</f>
        <v>0</v>
      </c>
      <c r="G202" s="39">
        <f>G169</f>
        <v>0</v>
      </c>
      <c r="H202" s="39">
        <f>H169</f>
        <v>0</v>
      </c>
      <c r="I202" s="39">
        <f>I169</f>
        <v>0</v>
      </c>
      <c r="J202" s="39">
        <f>J169</f>
        <v>0</v>
      </c>
      <c r="K202" s="17"/>
    </row>
    <row r="203" spans="1:11">
      <c r="A203" s="4" t="s">
        <v>213</v>
      </c>
      <c r="B203" s="39">
        <f>B170</f>
        <v>0</v>
      </c>
      <c r="C203" s="39">
        <f>C170</f>
        <v>0</v>
      </c>
      <c r="D203" s="39">
        <f>D170</f>
        <v>0</v>
      </c>
      <c r="E203" s="39">
        <f>E170</f>
        <v>0</v>
      </c>
      <c r="F203" s="39">
        <f>F170</f>
        <v>0</v>
      </c>
      <c r="G203" s="39">
        <f>G170</f>
        <v>0</v>
      </c>
      <c r="H203" s="39">
        <f>H170</f>
        <v>0</v>
      </c>
      <c r="I203" s="39">
        <f>I170</f>
        <v>0</v>
      </c>
      <c r="J203" s="39">
        <f>J170</f>
        <v>0</v>
      </c>
      <c r="K203" s="17"/>
    </row>
    <row r="204" spans="1:11">
      <c r="A204" s="4" t="s">
        <v>214</v>
      </c>
      <c r="B204" s="39">
        <f>B171</f>
        <v>0</v>
      </c>
      <c r="C204" s="39">
        <f>C171</f>
        <v>0</v>
      </c>
      <c r="D204" s="39">
        <f>D171</f>
        <v>0</v>
      </c>
      <c r="E204" s="39">
        <f>E171</f>
        <v>0</v>
      </c>
      <c r="F204" s="39">
        <f>F171</f>
        <v>0</v>
      </c>
      <c r="G204" s="39">
        <f>G171</f>
        <v>0</v>
      </c>
      <c r="H204" s="39">
        <f>H171</f>
        <v>0</v>
      </c>
      <c r="I204" s="39">
        <f>I171</f>
        <v>0</v>
      </c>
      <c r="J204" s="39">
        <f>J171</f>
        <v>0</v>
      </c>
      <c r="K204" s="17"/>
    </row>
    <row r="205" spans="1:11">
      <c r="A205" s="4" t="s">
        <v>215</v>
      </c>
      <c r="B205" s="39">
        <f>B172</f>
        <v>0</v>
      </c>
      <c r="C205" s="39">
        <f>C172</f>
        <v>0</v>
      </c>
      <c r="D205" s="39">
        <f>D172</f>
        <v>0</v>
      </c>
      <c r="E205" s="39">
        <f>E172</f>
        <v>0</v>
      </c>
      <c r="F205" s="39">
        <f>F172</f>
        <v>0</v>
      </c>
      <c r="G205" s="39">
        <f>G172</f>
        <v>0</v>
      </c>
      <c r="H205" s="39">
        <f>H172</f>
        <v>0</v>
      </c>
      <c r="I205" s="39">
        <f>I172</f>
        <v>0</v>
      </c>
      <c r="J205" s="39">
        <f>J172</f>
        <v>0</v>
      </c>
      <c r="K205" s="17"/>
    </row>
    <row r="206" spans="1:11">
      <c r="A206" s="4" t="s">
        <v>216</v>
      </c>
      <c r="B206" s="39">
        <f>B173</f>
        <v>0</v>
      </c>
      <c r="C206" s="39">
        <f>C173</f>
        <v>0</v>
      </c>
      <c r="D206" s="39">
        <f>D173</f>
        <v>0</v>
      </c>
      <c r="E206" s="39">
        <f>E173</f>
        <v>0</v>
      </c>
      <c r="F206" s="39">
        <f>F173</f>
        <v>0</v>
      </c>
      <c r="G206" s="39">
        <f>G173</f>
        <v>0</v>
      </c>
      <c r="H206" s="39">
        <f>H173</f>
        <v>0</v>
      </c>
      <c r="I206" s="39">
        <f>I173</f>
        <v>0</v>
      </c>
      <c r="J206" s="39">
        <f>J173</f>
        <v>0</v>
      </c>
      <c r="K206" s="17"/>
    </row>
    <row r="207" spans="1:11">
      <c r="A207" s="4" t="s">
        <v>217</v>
      </c>
      <c r="B207" s="39">
        <f>B174</f>
        <v>0</v>
      </c>
      <c r="C207" s="39">
        <f>C174</f>
        <v>0</v>
      </c>
      <c r="D207" s="39">
        <f>D174</f>
        <v>0</v>
      </c>
      <c r="E207" s="39">
        <f>E174</f>
        <v>0</v>
      </c>
      <c r="F207" s="39">
        <f>F174</f>
        <v>0</v>
      </c>
      <c r="G207" s="39">
        <f>G174</f>
        <v>0</v>
      </c>
      <c r="H207" s="39">
        <f>H174</f>
        <v>0</v>
      </c>
      <c r="I207" s="39">
        <f>I174</f>
        <v>0</v>
      </c>
      <c r="J207" s="39">
        <f>J174</f>
        <v>0</v>
      </c>
      <c r="K207" s="17"/>
    </row>
    <row r="208" spans="1:11">
      <c r="A208" s="4" t="s">
        <v>182</v>
      </c>
      <c r="B208" s="39">
        <f>B175</f>
        <v>0</v>
      </c>
      <c r="C208" s="39">
        <f>C175</f>
        <v>0</v>
      </c>
      <c r="D208" s="39">
        <f>D175</f>
        <v>0</v>
      </c>
      <c r="E208" s="39">
        <f>E175</f>
        <v>0</v>
      </c>
      <c r="F208" s="39">
        <f>F175</f>
        <v>0</v>
      </c>
      <c r="G208" s="39">
        <f>G175</f>
        <v>0</v>
      </c>
      <c r="H208" s="39">
        <f>H175</f>
        <v>0</v>
      </c>
      <c r="I208" s="39">
        <f>I175</f>
        <v>0</v>
      </c>
      <c r="J208" s="39">
        <f>J175</f>
        <v>0</v>
      </c>
      <c r="K208" s="17"/>
    </row>
    <row r="209" spans="1:11">
      <c r="A209" s="4" t="s">
        <v>183</v>
      </c>
      <c r="B209" s="39">
        <f>B176</f>
        <v>0</v>
      </c>
      <c r="C209" s="39">
        <f>C176</f>
        <v>0</v>
      </c>
      <c r="D209" s="39">
        <f>D176</f>
        <v>0</v>
      </c>
      <c r="E209" s="39">
        <f>E176</f>
        <v>0</v>
      </c>
      <c r="F209" s="39">
        <f>F176</f>
        <v>0</v>
      </c>
      <c r="G209" s="39">
        <f>G176</f>
        <v>0</v>
      </c>
      <c r="H209" s="39">
        <f>H176</f>
        <v>0</v>
      </c>
      <c r="I209" s="39">
        <f>I176</f>
        <v>0</v>
      </c>
      <c r="J209" s="39">
        <f>J176</f>
        <v>0</v>
      </c>
      <c r="K209" s="17"/>
    </row>
    <row r="210" spans="1:11">
      <c r="A210" s="4" t="s">
        <v>184</v>
      </c>
      <c r="B210" s="39">
        <f>B177</f>
        <v>0</v>
      </c>
      <c r="C210" s="39">
        <f>C177</f>
        <v>0</v>
      </c>
      <c r="D210" s="39">
        <f>D177</f>
        <v>0</v>
      </c>
      <c r="E210" s="39">
        <f>E177</f>
        <v>0</v>
      </c>
      <c r="F210" s="39">
        <f>F177</f>
        <v>0</v>
      </c>
      <c r="G210" s="39">
        <f>G177</f>
        <v>0</v>
      </c>
      <c r="H210" s="39">
        <f>H177</f>
        <v>0</v>
      </c>
      <c r="I210" s="39">
        <f>I177</f>
        <v>0</v>
      </c>
      <c r="J210" s="39">
        <f>J177</f>
        <v>0</v>
      </c>
      <c r="K210" s="17"/>
    </row>
    <row r="211" spans="1:11">
      <c r="A211" s="4" t="s">
        <v>185</v>
      </c>
      <c r="B211" s="39">
        <f>B178</f>
        <v>0</v>
      </c>
      <c r="C211" s="39">
        <f>C178</f>
        <v>0</v>
      </c>
      <c r="D211" s="39">
        <f>D178</f>
        <v>0</v>
      </c>
      <c r="E211" s="39">
        <f>E178</f>
        <v>0</v>
      </c>
      <c r="F211" s="39">
        <f>F178</f>
        <v>0</v>
      </c>
      <c r="G211" s="39">
        <f>G178</f>
        <v>0</v>
      </c>
      <c r="H211" s="39">
        <f>H178</f>
        <v>0</v>
      </c>
      <c r="I211" s="39">
        <f>I178</f>
        <v>0</v>
      </c>
      <c r="J211" s="39">
        <f>J178</f>
        <v>0</v>
      </c>
      <c r="K211" s="17"/>
    </row>
    <row r="212" spans="1:11">
      <c r="A212" s="4" t="s">
        <v>186</v>
      </c>
      <c r="B212" s="39">
        <f>B179</f>
        <v>0</v>
      </c>
      <c r="C212" s="39">
        <f>C179</f>
        <v>0</v>
      </c>
      <c r="D212" s="39">
        <f>D179</f>
        <v>0</v>
      </c>
      <c r="E212" s="39">
        <f>E179</f>
        <v>0</v>
      </c>
      <c r="F212" s="39">
        <f>F179</f>
        <v>0</v>
      </c>
      <c r="G212" s="39">
        <f>G179</f>
        <v>0</v>
      </c>
      <c r="H212" s="39">
        <f>H179</f>
        <v>0</v>
      </c>
      <c r="I212" s="39">
        <f>I179</f>
        <v>0</v>
      </c>
      <c r="J212" s="39">
        <f>J179</f>
        <v>0</v>
      </c>
      <c r="K212" s="17"/>
    </row>
    <row r="213" spans="1:11">
      <c r="A213" s="4" t="s">
        <v>187</v>
      </c>
      <c r="B213" s="39">
        <f>B180</f>
        <v>0</v>
      </c>
      <c r="C213" s="39">
        <f>C180</f>
        <v>0</v>
      </c>
      <c r="D213" s="39">
        <f>D180</f>
        <v>0</v>
      </c>
      <c r="E213" s="39">
        <f>E180</f>
        <v>0</v>
      </c>
      <c r="F213" s="39">
        <f>F180</f>
        <v>0</v>
      </c>
      <c r="G213" s="39">
        <f>G180</f>
        <v>0</v>
      </c>
      <c r="H213" s="39">
        <f>H180</f>
        <v>0</v>
      </c>
      <c r="I213" s="39">
        <f>I180</f>
        <v>0</v>
      </c>
      <c r="J213" s="39">
        <f>J180</f>
        <v>0</v>
      </c>
      <c r="K213" s="17"/>
    </row>
    <row r="214" spans="1:11">
      <c r="A214" s="4" t="s">
        <v>194</v>
      </c>
      <c r="B214" s="39">
        <f>B181</f>
        <v>0</v>
      </c>
      <c r="C214" s="39">
        <f>C181</f>
        <v>0</v>
      </c>
      <c r="D214" s="39">
        <f>D181</f>
        <v>0</v>
      </c>
      <c r="E214" s="39">
        <f>E181</f>
        <v>0</v>
      </c>
      <c r="F214" s="39">
        <f>F181</f>
        <v>0</v>
      </c>
      <c r="G214" s="39">
        <f>G181</f>
        <v>0</v>
      </c>
      <c r="H214" s="39">
        <f>H181</f>
        <v>0</v>
      </c>
      <c r="I214" s="39">
        <f>I181</f>
        <v>0</v>
      </c>
      <c r="J214" s="39">
        <f>J181</f>
        <v>0</v>
      </c>
      <c r="K214" s="17"/>
    </row>
    <row r="215" spans="1:11">
      <c r="A215" s="4" t="s">
        <v>195</v>
      </c>
      <c r="B215" s="39">
        <f>B182</f>
        <v>0</v>
      </c>
      <c r="C215" s="39">
        <f>C182</f>
        <v>0</v>
      </c>
      <c r="D215" s="39">
        <f>D182</f>
        <v>0</v>
      </c>
      <c r="E215" s="39">
        <f>E182</f>
        <v>0</v>
      </c>
      <c r="F215" s="39">
        <f>F182</f>
        <v>0</v>
      </c>
      <c r="G215" s="39">
        <f>G182</f>
        <v>0</v>
      </c>
      <c r="H215" s="39">
        <f>H182</f>
        <v>0</v>
      </c>
      <c r="I215" s="39">
        <f>I182</f>
        <v>0</v>
      </c>
      <c r="J215" s="39">
        <f>J182</f>
        <v>0</v>
      </c>
      <c r="K215" s="17"/>
    </row>
    <row r="217" spans="1:11" ht="21" customHeight="1">
      <c r="A217" s="1" t="s">
        <v>395</v>
      </c>
    </row>
    <row r="218" spans="1:11">
      <c r="A218" s="2" t="s">
        <v>351</v>
      </c>
    </row>
    <row r="219" spans="1:11">
      <c r="A219" s="33" t="s">
        <v>396</v>
      </c>
    </row>
    <row r="220" spans="1:11">
      <c r="A220" s="33" t="s">
        <v>397</v>
      </c>
    </row>
    <row r="221" spans="1:11">
      <c r="A221" s="33" t="s">
        <v>398</v>
      </c>
    </row>
    <row r="222" spans="1:11">
      <c r="A222" s="2" t="s">
        <v>399</v>
      </c>
    </row>
    <row r="224" spans="1:11">
      <c r="B224" s="15" t="s">
        <v>142</v>
      </c>
      <c r="C224" s="15" t="s">
        <v>143</v>
      </c>
      <c r="D224" s="15" t="s">
        <v>144</v>
      </c>
      <c r="E224" s="15" t="s">
        <v>145</v>
      </c>
      <c r="F224" s="15" t="s">
        <v>146</v>
      </c>
      <c r="G224" s="15" t="s">
        <v>151</v>
      </c>
      <c r="H224" s="15" t="s">
        <v>147</v>
      </c>
      <c r="I224" s="15" t="s">
        <v>148</v>
      </c>
      <c r="J224" s="15" t="s">
        <v>149</v>
      </c>
    </row>
    <row r="225" spans="1:11">
      <c r="A225" s="4" t="s">
        <v>174</v>
      </c>
      <c r="B225" s="38">
        <f>IF(B$74="",B192,B192*$I14/B$74)</f>
        <v>0</v>
      </c>
      <c r="C225" s="38">
        <f>IF(C$74="",C192,C192*$I14/C$74)</f>
        <v>0</v>
      </c>
      <c r="D225" s="38">
        <f>IF(D$74="",D192,D192*$I14/D$74)</f>
        <v>0</v>
      </c>
      <c r="E225" s="38">
        <f>IF(E$74="",E192,E192*$I14/E$74)</f>
        <v>0</v>
      </c>
      <c r="F225" s="38">
        <f>IF(F$74="",F192,F192*$I14/F$74)</f>
        <v>0</v>
      </c>
      <c r="G225" s="38">
        <f>IF(G$74="",G192,G192*$I14/G$74)</f>
        <v>0</v>
      </c>
      <c r="H225" s="38">
        <f>IF(H$74="",H192,H192*$I14/H$74)</f>
        <v>0</v>
      </c>
      <c r="I225" s="38">
        <f>IF(I$74="",I192,I192*$I14/I$74)</f>
        <v>0</v>
      </c>
      <c r="J225" s="38">
        <f>IF(J$74="",J192,J192*$I14/J$74)</f>
        <v>0</v>
      </c>
      <c r="K225" s="17"/>
    </row>
    <row r="226" spans="1:11">
      <c r="A226" s="4" t="s">
        <v>175</v>
      </c>
      <c r="B226" s="38">
        <f>IF(B$74="",B193,B193*$I15/B$74)</f>
        <v>0</v>
      </c>
      <c r="C226" s="38">
        <f>IF(C$74="",C193,C193*$I15/C$74)</f>
        <v>0</v>
      </c>
      <c r="D226" s="38">
        <f>IF(D$74="",D193,D193*$I15/D$74)</f>
        <v>0</v>
      </c>
      <c r="E226" s="38">
        <f>IF(E$74="",E193,E193*$I15/E$74)</f>
        <v>0</v>
      </c>
      <c r="F226" s="38">
        <f>IF(F$74="",F193,F193*$I15/F$74)</f>
        <v>0</v>
      </c>
      <c r="G226" s="38">
        <f>IF(G$74="",G193,G193*$I15/G$74)</f>
        <v>0</v>
      </c>
      <c r="H226" s="38">
        <f>IF(H$74="",H193,H193*$I15/H$74)</f>
        <v>0</v>
      </c>
      <c r="I226" s="38">
        <f>IF(I$74="",I193,I193*$I15/I$74)</f>
        <v>0</v>
      </c>
      <c r="J226" s="38">
        <f>IF(J$74="",J193,J193*$I15/J$74)</f>
        <v>0</v>
      </c>
      <c r="K226" s="17"/>
    </row>
    <row r="227" spans="1:11">
      <c r="A227" s="4" t="s">
        <v>211</v>
      </c>
      <c r="B227" s="38">
        <f>IF(B$74="",B194,B194*$I16/B$74)</f>
        <v>0</v>
      </c>
      <c r="C227" s="38">
        <f>IF(C$74="",C194,C194*$I16/C$74)</f>
        <v>0</v>
      </c>
      <c r="D227" s="38">
        <f>IF(D$74="",D194,D194*$I16/D$74)</f>
        <v>0</v>
      </c>
      <c r="E227" s="38">
        <f>IF(E$74="",E194,E194*$I16/E$74)</f>
        <v>0</v>
      </c>
      <c r="F227" s="38">
        <f>IF(F$74="",F194,F194*$I16/F$74)</f>
        <v>0</v>
      </c>
      <c r="G227" s="38">
        <f>IF(G$74="",G194,G194*$I16/G$74)</f>
        <v>0</v>
      </c>
      <c r="H227" s="38">
        <f>IF(H$74="",H194,H194*$I16/H$74)</f>
        <v>0</v>
      </c>
      <c r="I227" s="38">
        <f>IF(I$74="",I194,I194*$I16/I$74)</f>
        <v>0</v>
      </c>
      <c r="J227" s="38">
        <f>IF(J$74="",J194,J194*$I16/J$74)</f>
        <v>0</v>
      </c>
      <c r="K227" s="17"/>
    </row>
    <row r="228" spans="1:11">
      <c r="A228" s="4" t="s">
        <v>176</v>
      </c>
      <c r="B228" s="38">
        <f>IF(B$74="",B195,B195*$I17/B$74)</f>
        <v>0</v>
      </c>
      <c r="C228" s="38">
        <f>IF(C$74="",C195,C195*$I17/C$74)</f>
        <v>0</v>
      </c>
      <c r="D228" s="38">
        <f>IF(D$74="",D195,D195*$I17/D$74)</f>
        <v>0</v>
      </c>
      <c r="E228" s="38">
        <f>IF(E$74="",E195,E195*$I17/E$74)</f>
        <v>0</v>
      </c>
      <c r="F228" s="38">
        <f>IF(F$74="",F195,F195*$I17/F$74)</f>
        <v>0</v>
      </c>
      <c r="G228" s="38">
        <f>IF(G$74="",G195,G195*$I17/G$74)</f>
        <v>0</v>
      </c>
      <c r="H228" s="38">
        <f>IF(H$74="",H195,H195*$I17/H$74)</f>
        <v>0</v>
      </c>
      <c r="I228" s="38">
        <f>IF(I$74="",I195,I195*$I17/I$74)</f>
        <v>0</v>
      </c>
      <c r="J228" s="38">
        <f>IF(J$74="",J195,J195*$I17/J$74)</f>
        <v>0</v>
      </c>
      <c r="K228" s="17"/>
    </row>
    <row r="229" spans="1:11">
      <c r="A229" s="4" t="s">
        <v>177</v>
      </c>
      <c r="B229" s="38">
        <f>IF(B$74="",B196,B196*$I18/B$74)</f>
        <v>0</v>
      </c>
      <c r="C229" s="38">
        <f>IF(C$74="",C196,C196*$I18/C$74)</f>
        <v>0</v>
      </c>
      <c r="D229" s="38">
        <f>IF(D$74="",D196,D196*$I18/D$74)</f>
        <v>0</v>
      </c>
      <c r="E229" s="38">
        <f>IF(E$74="",E196,E196*$I18/E$74)</f>
        <v>0</v>
      </c>
      <c r="F229" s="38">
        <f>IF(F$74="",F196,F196*$I18/F$74)</f>
        <v>0</v>
      </c>
      <c r="G229" s="38">
        <f>IF(G$74="",G196,G196*$I18/G$74)</f>
        <v>0</v>
      </c>
      <c r="H229" s="38">
        <f>IF(H$74="",H196,H196*$I18/H$74)</f>
        <v>0</v>
      </c>
      <c r="I229" s="38">
        <f>IF(I$74="",I196,I196*$I18/I$74)</f>
        <v>0</v>
      </c>
      <c r="J229" s="38">
        <f>IF(J$74="",J196,J196*$I18/J$74)</f>
        <v>0</v>
      </c>
      <c r="K229" s="17"/>
    </row>
    <row r="230" spans="1:11">
      <c r="A230" s="4" t="s">
        <v>212</v>
      </c>
      <c r="B230" s="38">
        <f>IF(B$74="",B197,B197*$I19/B$74)</f>
        <v>0</v>
      </c>
      <c r="C230" s="38">
        <f>IF(C$74="",C197,C197*$I19/C$74)</f>
        <v>0</v>
      </c>
      <c r="D230" s="38">
        <f>IF(D$74="",D197,D197*$I19/D$74)</f>
        <v>0</v>
      </c>
      <c r="E230" s="38">
        <f>IF(E$74="",E197,E197*$I19/E$74)</f>
        <v>0</v>
      </c>
      <c r="F230" s="38">
        <f>IF(F$74="",F197,F197*$I19/F$74)</f>
        <v>0</v>
      </c>
      <c r="G230" s="38">
        <f>IF(G$74="",G197,G197*$I19/G$74)</f>
        <v>0</v>
      </c>
      <c r="H230" s="38">
        <f>IF(H$74="",H197,H197*$I19/H$74)</f>
        <v>0</v>
      </c>
      <c r="I230" s="38">
        <f>IF(I$74="",I197,I197*$I19/I$74)</f>
        <v>0</v>
      </c>
      <c r="J230" s="38">
        <f>IF(J$74="",J197,J197*$I19/J$74)</f>
        <v>0</v>
      </c>
      <c r="K230" s="17"/>
    </row>
    <row r="231" spans="1:11">
      <c r="A231" s="4" t="s">
        <v>178</v>
      </c>
      <c r="B231" s="38">
        <f>IF(B$74="",B198,B198*$I20/B$74)</f>
        <v>0</v>
      </c>
      <c r="C231" s="38">
        <f>IF(C$74="",C198,C198*$I20/C$74)</f>
        <v>0</v>
      </c>
      <c r="D231" s="38">
        <f>IF(D$74="",D198,D198*$I20/D$74)</f>
        <v>0</v>
      </c>
      <c r="E231" s="38">
        <f>IF(E$74="",E198,E198*$I20/E$74)</f>
        <v>0</v>
      </c>
      <c r="F231" s="38">
        <f>IF(F$74="",F198,F198*$I20/F$74)</f>
        <v>0</v>
      </c>
      <c r="G231" s="38">
        <f>IF(G$74="",G198,G198*$I20/G$74)</f>
        <v>0</v>
      </c>
      <c r="H231" s="38">
        <f>IF(H$74="",H198,H198*$I20/H$74)</f>
        <v>0</v>
      </c>
      <c r="I231" s="38">
        <f>IF(I$74="",I198,I198*$I20/I$74)</f>
        <v>0</v>
      </c>
      <c r="J231" s="38">
        <f>IF(J$74="",J198,J198*$I20/J$74)</f>
        <v>0</v>
      </c>
      <c r="K231" s="17"/>
    </row>
    <row r="232" spans="1:11">
      <c r="A232" s="4" t="s">
        <v>179</v>
      </c>
      <c r="B232" s="38">
        <f>IF(B$74="",B199,B199*$I21/B$74)</f>
        <v>0</v>
      </c>
      <c r="C232" s="38">
        <f>IF(C$74="",C199,C199*$I21/C$74)</f>
        <v>0</v>
      </c>
      <c r="D232" s="38">
        <f>IF(D$74="",D199,D199*$I21/D$74)</f>
        <v>0</v>
      </c>
      <c r="E232" s="38">
        <f>IF(E$74="",E199,E199*$I21/E$74)</f>
        <v>0</v>
      </c>
      <c r="F232" s="38">
        <f>IF(F$74="",F199,F199*$I21/F$74)</f>
        <v>0</v>
      </c>
      <c r="G232" s="38">
        <f>IF(G$74="",G199,G199*$I21/G$74)</f>
        <v>0</v>
      </c>
      <c r="H232" s="38">
        <f>IF(H$74="",H199,H199*$I21/H$74)</f>
        <v>0</v>
      </c>
      <c r="I232" s="38">
        <f>IF(I$74="",I199,I199*$I21/I$74)</f>
        <v>0</v>
      </c>
      <c r="J232" s="38">
        <f>IF(J$74="",J199,J199*$I21/J$74)</f>
        <v>0</v>
      </c>
      <c r="K232" s="17"/>
    </row>
    <row r="233" spans="1:11">
      <c r="A233" s="4" t="s">
        <v>180</v>
      </c>
      <c r="B233" s="38">
        <f>IF(B$74="",B200,B200*$I22/B$74)</f>
        <v>0</v>
      </c>
      <c r="C233" s="38">
        <f>IF(C$74="",C200,C200*$I22/C$74)</f>
        <v>0</v>
      </c>
      <c r="D233" s="38">
        <f>IF(D$74="",D200,D200*$I22/D$74)</f>
        <v>0</v>
      </c>
      <c r="E233" s="38">
        <f>IF(E$74="",E200,E200*$I22/E$74)</f>
        <v>0</v>
      </c>
      <c r="F233" s="38">
        <f>IF(F$74="",F200,F200*$I22/F$74)</f>
        <v>0</v>
      </c>
      <c r="G233" s="38">
        <f>IF(G$74="",G200,G200*$I22/G$74)</f>
        <v>0</v>
      </c>
      <c r="H233" s="38">
        <f>IF(H$74="",H200,H200*$I22/H$74)</f>
        <v>0</v>
      </c>
      <c r="I233" s="38">
        <f>IF(I$74="",I200,I200*$I22/I$74)</f>
        <v>0</v>
      </c>
      <c r="J233" s="38">
        <f>IF(J$74="",J200,J200*$I22/J$74)</f>
        <v>0</v>
      </c>
      <c r="K233" s="17"/>
    </row>
    <row r="234" spans="1:11">
      <c r="A234" s="4" t="s">
        <v>181</v>
      </c>
      <c r="B234" s="38">
        <f>IF(B$74="",B201,B201*$I23/B$74)</f>
        <v>0</v>
      </c>
      <c r="C234" s="38">
        <f>IF(C$74="",C201,C201*$I23/C$74)</f>
        <v>0</v>
      </c>
      <c r="D234" s="38">
        <f>IF(D$74="",D201,D201*$I23/D$74)</f>
        <v>0</v>
      </c>
      <c r="E234" s="38">
        <f>IF(E$74="",E201,E201*$I23/E$74)</f>
        <v>0</v>
      </c>
      <c r="F234" s="38">
        <f>IF(F$74="",F201,F201*$I23/F$74)</f>
        <v>0</v>
      </c>
      <c r="G234" s="38">
        <f>IF(G$74="",G201,G201*$I23/G$74)</f>
        <v>0</v>
      </c>
      <c r="H234" s="38">
        <f>IF(H$74="",H201,H201*$I23/H$74)</f>
        <v>0</v>
      </c>
      <c r="I234" s="38">
        <f>IF(I$74="",I201,I201*$I23/I$74)</f>
        <v>0</v>
      </c>
      <c r="J234" s="38">
        <f>IF(J$74="",J201,J201*$I23/J$74)</f>
        <v>0</v>
      </c>
      <c r="K234" s="17"/>
    </row>
    <row r="235" spans="1:11">
      <c r="A235" s="4" t="s">
        <v>193</v>
      </c>
      <c r="B235" s="38">
        <f>IF(B$74="",B202,B202*$I24/B$74)</f>
        <v>0</v>
      </c>
      <c r="C235" s="38">
        <f>IF(C$74="",C202,C202*$I24/C$74)</f>
        <v>0</v>
      </c>
      <c r="D235" s="38">
        <f>IF(D$74="",D202,D202*$I24/D$74)</f>
        <v>0</v>
      </c>
      <c r="E235" s="38">
        <f>IF(E$74="",E202,E202*$I24/E$74)</f>
        <v>0</v>
      </c>
      <c r="F235" s="38">
        <f>IF(F$74="",F202,F202*$I24/F$74)</f>
        <v>0</v>
      </c>
      <c r="G235" s="38">
        <f>IF(G$74="",G202,G202*$I24/G$74)</f>
        <v>0</v>
      </c>
      <c r="H235" s="38">
        <f>IF(H$74="",H202,H202*$I24/H$74)</f>
        <v>0</v>
      </c>
      <c r="I235" s="38">
        <f>IF(I$74="",I202,I202*$I24/I$74)</f>
        <v>0</v>
      </c>
      <c r="J235" s="38">
        <f>IF(J$74="",J202,J202*$I24/J$74)</f>
        <v>0</v>
      </c>
      <c r="K235" s="17"/>
    </row>
    <row r="236" spans="1:11">
      <c r="A236" s="4" t="s">
        <v>213</v>
      </c>
      <c r="B236" s="38">
        <f>IF(B$74="",B203,B203*$I25/B$74)</f>
        <v>0</v>
      </c>
      <c r="C236" s="38">
        <f>IF(C$74="",C203,C203*$I25/C$74)</f>
        <v>0</v>
      </c>
      <c r="D236" s="38">
        <f>IF(D$74="",D203,D203*$I25/D$74)</f>
        <v>0</v>
      </c>
      <c r="E236" s="38">
        <f>IF(E$74="",E203,E203*$I25/E$74)</f>
        <v>0</v>
      </c>
      <c r="F236" s="38">
        <f>IF(F$74="",F203,F203*$I25/F$74)</f>
        <v>0</v>
      </c>
      <c r="G236" s="38">
        <f>IF(G$74="",G203,G203*$I25/G$74)</f>
        <v>0</v>
      </c>
      <c r="H236" s="38">
        <f>IF(H$74="",H203,H203*$I25/H$74)</f>
        <v>0</v>
      </c>
      <c r="I236" s="38">
        <f>IF(I$74="",I203,I203*$I25/I$74)</f>
        <v>0</v>
      </c>
      <c r="J236" s="38">
        <f>IF(J$74="",J203,J203*$I25/J$74)</f>
        <v>0</v>
      </c>
      <c r="K236" s="17"/>
    </row>
    <row r="237" spans="1:11">
      <c r="A237" s="4" t="s">
        <v>214</v>
      </c>
      <c r="B237" s="38">
        <f>IF(B$74="",B204,B204*$I26/B$74)</f>
        <v>0</v>
      </c>
      <c r="C237" s="38">
        <f>IF(C$74="",C204,C204*$I26/C$74)</f>
        <v>0</v>
      </c>
      <c r="D237" s="38">
        <f>IF(D$74="",D204,D204*$I26/D$74)</f>
        <v>0</v>
      </c>
      <c r="E237" s="38">
        <f>IF(E$74="",E204,E204*$I26/E$74)</f>
        <v>0</v>
      </c>
      <c r="F237" s="38">
        <f>IF(F$74="",F204,F204*$I26/F$74)</f>
        <v>0</v>
      </c>
      <c r="G237" s="38">
        <f>IF(G$74="",G204,G204*$I26/G$74)</f>
        <v>0</v>
      </c>
      <c r="H237" s="38">
        <f>IF(H$74="",H204,H204*$I26/H$74)</f>
        <v>0</v>
      </c>
      <c r="I237" s="38">
        <f>IF(I$74="",I204,I204*$I26/I$74)</f>
        <v>0</v>
      </c>
      <c r="J237" s="38">
        <f>IF(J$74="",J204,J204*$I26/J$74)</f>
        <v>0</v>
      </c>
      <c r="K237" s="17"/>
    </row>
    <row r="238" spans="1:11">
      <c r="A238" s="4" t="s">
        <v>215</v>
      </c>
      <c r="B238" s="38">
        <f>IF(B$74="",B205,B205*$I27/B$74)</f>
        <v>0</v>
      </c>
      <c r="C238" s="38">
        <f>IF(C$74="",C205,C205*$I27/C$74)</f>
        <v>0</v>
      </c>
      <c r="D238" s="38">
        <f>IF(D$74="",D205,D205*$I27/D$74)</f>
        <v>0</v>
      </c>
      <c r="E238" s="38">
        <f>IF(E$74="",E205,E205*$I27/E$74)</f>
        <v>0</v>
      </c>
      <c r="F238" s="38">
        <f>IF(F$74="",F205,F205*$I27/F$74)</f>
        <v>0</v>
      </c>
      <c r="G238" s="38">
        <f>IF(G$74="",G205,G205*$I27/G$74)</f>
        <v>0</v>
      </c>
      <c r="H238" s="38">
        <f>IF(H$74="",H205,H205*$I27/H$74)</f>
        <v>0</v>
      </c>
      <c r="I238" s="38">
        <f>IF(I$74="",I205,I205*$I27/I$74)</f>
        <v>0</v>
      </c>
      <c r="J238" s="38">
        <f>IF(J$74="",J205,J205*$I27/J$74)</f>
        <v>0</v>
      </c>
      <c r="K238" s="17"/>
    </row>
    <row r="239" spans="1:11">
      <c r="A239" s="4" t="s">
        <v>216</v>
      </c>
      <c r="B239" s="38">
        <f>IF(B$74="",B206,B206*$I28/B$74)</f>
        <v>0</v>
      </c>
      <c r="C239" s="38">
        <f>IF(C$74="",C206,C206*$I28/C$74)</f>
        <v>0</v>
      </c>
      <c r="D239" s="38">
        <f>IF(D$74="",D206,D206*$I28/D$74)</f>
        <v>0</v>
      </c>
      <c r="E239" s="38">
        <f>IF(E$74="",E206,E206*$I28/E$74)</f>
        <v>0</v>
      </c>
      <c r="F239" s="38">
        <f>IF(F$74="",F206,F206*$I28/F$74)</f>
        <v>0</v>
      </c>
      <c r="G239" s="38">
        <f>IF(G$74="",G206,G206*$I28/G$74)</f>
        <v>0</v>
      </c>
      <c r="H239" s="38">
        <f>IF(H$74="",H206,H206*$I28/H$74)</f>
        <v>0</v>
      </c>
      <c r="I239" s="38">
        <f>IF(I$74="",I206,I206*$I28/I$74)</f>
        <v>0</v>
      </c>
      <c r="J239" s="38">
        <f>IF(J$74="",J206,J206*$I28/J$74)</f>
        <v>0</v>
      </c>
      <c r="K239" s="17"/>
    </row>
    <row r="240" spans="1:11">
      <c r="A240" s="4" t="s">
        <v>217</v>
      </c>
      <c r="B240" s="38">
        <f>IF(B$74="",B207,B207*$I29/B$74)</f>
        <v>0</v>
      </c>
      <c r="C240" s="38">
        <f>IF(C$74="",C207,C207*$I29/C$74)</f>
        <v>0</v>
      </c>
      <c r="D240" s="38">
        <f>IF(D$74="",D207,D207*$I29/D$74)</f>
        <v>0</v>
      </c>
      <c r="E240" s="38">
        <f>IF(E$74="",E207,E207*$I29/E$74)</f>
        <v>0</v>
      </c>
      <c r="F240" s="38">
        <f>IF(F$74="",F207,F207*$I29/F$74)</f>
        <v>0</v>
      </c>
      <c r="G240" s="38">
        <f>IF(G$74="",G207,G207*$I29/G$74)</f>
        <v>0</v>
      </c>
      <c r="H240" s="38">
        <f>IF(H$74="",H207,H207*$I29/H$74)</f>
        <v>0</v>
      </c>
      <c r="I240" s="38">
        <f>IF(I$74="",I207,I207*$I29/I$74)</f>
        <v>0</v>
      </c>
      <c r="J240" s="38">
        <f>IF(J$74="",J207,J207*$I29/J$74)</f>
        <v>0</v>
      </c>
      <c r="K240" s="17"/>
    </row>
    <row r="241" spans="1:11">
      <c r="A241" s="4" t="s">
        <v>182</v>
      </c>
      <c r="B241" s="38">
        <f>IF(B$74="",B208,B208*$I30/B$74)</f>
        <v>0</v>
      </c>
      <c r="C241" s="38">
        <f>IF(C$74="",C208,C208*$I30/C$74)</f>
        <v>0</v>
      </c>
      <c r="D241" s="38">
        <f>IF(D$74="",D208,D208*$I30/D$74)</f>
        <v>0</v>
      </c>
      <c r="E241" s="38">
        <f>IF(E$74="",E208,E208*$I30/E$74)</f>
        <v>0</v>
      </c>
      <c r="F241" s="38">
        <f>IF(F$74="",F208,F208*$I30/F$74)</f>
        <v>0</v>
      </c>
      <c r="G241" s="38">
        <f>IF(G$74="",G208,G208*$I30/G$74)</f>
        <v>0</v>
      </c>
      <c r="H241" s="38">
        <f>IF(H$74="",H208,H208*$I30/H$74)</f>
        <v>0</v>
      </c>
      <c r="I241" s="38">
        <f>IF(I$74="",I208,I208*$I30/I$74)</f>
        <v>0</v>
      </c>
      <c r="J241" s="38">
        <f>IF(J$74="",J208,J208*$I30/J$74)</f>
        <v>0</v>
      </c>
      <c r="K241" s="17"/>
    </row>
    <row r="242" spans="1:11">
      <c r="A242" s="4" t="s">
        <v>183</v>
      </c>
      <c r="B242" s="38">
        <f>IF(B$74="",B209,B209*$I31/B$74)</f>
        <v>0</v>
      </c>
      <c r="C242" s="38">
        <f>IF(C$74="",C209,C209*$I31/C$74)</f>
        <v>0</v>
      </c>
      <c r="D242" s="38">
        <f>IF(D$74="",D209,D209*$I31/D$74)</f>
        <v>0</v>
      </c>
      <c r="E242" s="38">
        <f>IF(E$74="",E209,E209*$I31/E$74)</f>
        <v>0</v>
      </c>
      <c r="F242" s="38">
        <f>IF(F$74="",F209,F209*$I31/F$74)</f>
        <v>0</v>
      </c>
      <c r="G242" s="38">
        <f>IF(G$74="",G209,G209*$I31/G$74)</f>
        <v>0</v>
      </c>
      <c r="H242" s="38">
        <f>IF(H$74="",H209,H209*$I31/H$74)</f>
        <v>0</v>
      </c>
      <c r="I242" s="38">
        <f>IF(I$74="",I209,I209*$I31/I$74)</f>
        <v>0</v>
      </c>
      <c r="J242" s="38">
        <f>IF(J$74="",J209,J209*$I31/J$74)</f>
        <v>0</v>
      </c>
      <c r="K242" s="17"/>
    </row>
    <row r="243" spans="1:11">
      <c r="A243" s="4" t="s">
        <v>184</v>
      </c>
      <c r="B243" s="38">
        <f>IF(B$74="",B210,B210*$I32/B$74)</f>
        <v>0</v>
      </c>
      <c r="C243" s="38">
        <f>IF(C$74="",C210,C210*$I32/C$74)</f>
        <v>0</v>
      </c>
      <c r="D243" s="38">
        <f>IF(D$74="",D210,D210*$I32/D$74)</f>
        <v>0</v>
      </c>
      <c r="E243" s="38">
        <f>IF(E$74="",E210,E210*$I32/E$74)</f>
        <v>0</v>
      </c>
      <c r="F243" s="38">
        <f>IF(F$74="",F210,F210*$I32/F$74)</f>
        <v>0</v>
      </c>
      <c r="G243" s="38">
        <f>IF(G$74="",G210,G210*$I32/G$74)</f>
        <v>0</v>
      </c>
      <c r="H243" s="38">
        <f>IF(H$74="",H210,H210*$I32/H$74)</f>
        <v>0</v>
      </c>
      <c r="I243" s="38">
        <f>IF(I$74="",I210,I210*$I32/I$74)</f>
        <v>0</v>
      </c>
      <c r="J243" s="38">
        <f>IF(J$74="",J210,J210*$I32/J$74)</f>
        <v>0</v>
      </c>
      <c r="K243" s="17"/>
    </row>
    <row r="244" spans="1:11">
      <c r="A244" s="4" t="s">
        <v>185</v>
      </c>
      <c r="B244" s="38">
        <f>IF(B$74="",B211,B211*$I33/B$74)</f>
        <v>0</v>
      </c>
      <c r="C244" s="38">
        <f>IF(C$74="",C211,C211*$I33/C$74)</f>
        <v>0</v>
      </c>
      <c r="D244" s="38">
        <f>IF(D$74="",D211,D211*$I33/D$74)</f>
        <v>0</v>
      </c>
      <c r="E244" s="38">
        <f>IF(E$74="",E211,E211*$I33/E$74)</f>
        <v>0</v>
      </c>
      <c r="F244" s="38">
        <f>IF(F$74="",F211,F211*$I33/F$74)</f>
        <v>0</v>
      </c>
      <c r="G244" s="38">
        <f>IF(G$74="",G211,G211*$I33/G$74)</f>
        <v>0</v>
      </c>
      <c r="H244" s="38">
        <f>IF(H$74="",H211,H211*$I33/H$74)</f>
        <v>0</v>
      </c>
      <c r="I244" s="38">
        <f>IF(I$74="",I211,I211*$I33/I$74)</f>
        <v>0</v>
      </c>
      <c r="J244" s="38">
        <f>IF(J$74="",J211,J211*$I33/J$74)</f>
        <v>0</v>
      </c>
      <c r="K244" s="17"/>
    </row>
    <row r="245" spans="1:11">
      <c r="A245" s="4" t="s">
        <v>186</v>
      </c>
      <c r="B245" s="38">
        <f>IF(B$74="",B212,B212*$I34/B$74)</f>
        <v>0</v>
      </c>
      <c r="C245" s="38">
        <f>IF(C$74="",C212,C212*$I34/C$74)</f>
        <v>0</v>
      </c>
      <c r="D245" s="38">
        <f>IF(D$74="",D212,D212*$I34/D$74)</f>
        <v>0</v>
      </c>
      <c r="E245" s="38">
        <f>IF(E$74="",E212,E212*$I34/E$74)</f>
        <v>0</v>
      </c>
      <c r="F245" s="38">
        <f>IF(F$74="",F212,F212*$I34/F$74)</f>
        <v>0</v>
      </c>
      <c r="G245" s="38">
        <f>IF(G$74="",G212,G212*$I34/G$74)</f>
        <v>0</v>
      </c>
      <c r="H245" s="38">
        <f>IF(H$74="",H212,H212*$I34/H$74)</f>
        <v>0</v>
      </c>
      <c r="I245" s="38">
        <f>IF(I$74="",I212,I212*$I34/I$74)</f>
        <v>0</v>
      </c>
      <c r="J245" s="38">
        <f>IF(J$74="",J212,J212*$I34/J$74)</f>
        <v>0</v>
      </c>
      <c r="K245" s="17"/>
    </row>
    <row r="246" spans="1:11">
      <c r="A246" s="4" t="s">
        <v>187</v>
      </c>
      <c r="B246" s="38">
        <f>IF(B$74="",B213,B213*$I35/B$74)</f>
        <v>0</v>
      </c>
      <c r="C246" s="38">
        <f>IF(C$74="",C213,C213*$I35/C$74)</f>
        <v>0</v>
      </c>
      <c r="D246" s="38">
        <f>IF(D$74="",D213,D213*$I35/D$74)</f>
        <v>0</v>
      </c>
      <c r="E246" s="38">
        <f>IF(E$74="",E213,E213*$I35/E$74)</f>
        <v>0</v>
      </c>
      <c r="F246" s="38">
        <f>IF(F$74="",F213,F213*$I35/F$74)</f>
        <v>0</v>
      </c>
      <c r="G246" s="38">
        <f>IF(G$74="",G213,G213*$I35/G$74)</f>
        <v>0</v>
      </c>
      <c r="H246" s="38">
        <f>IF(H$74="",H213,H213*$I35/H$74)</f>
        <v>0</v>
      </c>
      <c r="I246" s="38">
        <f>IF(I$74="",I213,I213*$I35/I$74)</f>
        <v>0</v>
      </c>
      <c r="J246" s="38">
        <f>IF(J$74="",J213,J213*$I35/J$74)</f>
        <v>0</v>
      </c>
      <c r="K246" s="17"/>
    </row>
    <row r="247" spans="1:11">
      <c r="A247" s="4" t="s">
        <v>194</v>
      </c>
      <c r="B247" s="38">
        <f>IF(B$74="",B214,B214*$I36/B$74)</f>
        <v>0</v>
      </c>
      <c r="C247" s="38">
        <f>IF(C$74="",C214,C214*$I36/C$74)</f>
        <v>0</v>
      </c>
      <c r="D247" s="38">
        <f>IF(D$74="",D214,D214*$I36/D$74)</f>
        <v>0</v>
      </c>
      <c r="E247" s="38">
        <f>IF(E$74="",E214,E214*$I36/E$74)</f>
        <v>0</v>
      </c>
      <c r="F247" s="38">
        <f>IF(F$74="",F214,F214*$I36/F$74)</f>
        <v>0</v>
      </c>
      <c r="G247" s="38">
        <f>IF(G$74="",G214,G214*$I36/G$74)</f>
        <v>0</v>
      </c>
      <c r="H247" s="38">
        <f>IF(H$74="",H214,H214*$I36/H$74)</f>
        <v>0</v>
      </c>
      <c r="I247" s="38">
        <f>IF(I$74="",I214,I214*$I36/I$74)</f>
        <v>0</v>
      </c>
      <c r="J247" s="38">
        <f>IF(J$74="",J214,J214*$I36/J$74)</f>
        <v>0</v>
      </c>
      <c r="K247" s="17"/>
    </row>
    <row r="248" spans="1:11">
      <c r="A248" s="4" t="s">
        <v>195</v>
      </c>
      <c r="B248" s="38">
        <f>IF(B$74="",B215,B215*$I37/B$74)</f>
        <v>0</v>
      </c>
      <c r="C248" s="38">
        <f>IF(C$74="",C215,C215*$I37/C$74)</f>
        <v>0</v>
      </c>
      <c r="D248" s="38">
        <f>IF(D$74="",D215,D215*$I37/D$74)</f>
        <v>0</v>
      </c>
      <c r="E248" s="38">
        <f>IF(E$74="",E215,E215*$I37/E$74)</f>
        <v>0</v>
      </c>
      <c r="F248" s="38">
        <f>IF(F$74="",F215,F215*$I37/F$74)</f>
        <v>0</v>
      </c>
      <c r="G248" s="38">
        <f>IF(G$74="",G215,G215*$I37/G$74)</f>
        <v>0</v>
      </c>
      <c r="H248" s="38">
        <f>IF(H$74="",H215,H215*$I37/H$74)</f>
        <v>0</v>
      </c>
      <c r="I248" s="38">
        <f>IF(I$74="",I215,I215*$I37/I$74)</f>
        <v>0</v>
      </c>
      <c r="J248" s="38">
        <f>IF(J$74="",J215,J215*$I37/J$74)</f>
        <v>0</v>
      </c>
      <c r="K248" s="17"/>
    </row>
  </sheetData>
  <sheetProtection sheet="1" objects="1" scenarios="1"/>
  <hyperlinks>
    <hyperlink ref="A7" location="'LAFs'!B13" display="x1 = Network level for each tariff (to get loss factors applicable to capacity) (in Loss adjustment factors to transmission)"/>
    <hyperlink ref="A8" location="'Input'!B144" display="x2 = 1032. Loss adjustment factors to transmission"/>
    <hyperlink ref="A53" location="'LAFs'!B41" display="x1 = 2002. Mapping of DRM network levels to core network levels"/>
    <hyperlink ref="A54" location="'Input'!B144" display="x2 = 1032. Loss adjustment factors to transmission"/>
    <hyperlink ref="A69" location="'LAFs'!B57" display="x1 = 2003. Loss adjustment factor to transmission for each DRM network level"/>
    <hyperlink ref="A109" location="'Input'!B79" display="x1 = 1018. Proportion of relevant load going through 132kV/HV direct transformation"/>
    <hyperlink ref="A117" location="'Input'!B79" display="x1 = 1018. Proportion of relevant load going through 132kV/HV direct transformation"/>
    <hyperlink ref="A125" location="'Input'!B79" display="x1 = 1018. Proportion of relevant load going through 132kV/HV direct transformation"/>
    <hyperlink ref="A133" location="'Input'!B79" display="x1 = 1018. Proportion of relevant load going through 132kV/HV direct transformation"/>
    <hyperlink ref="A134" location="'LAFs'!B112" display="x2 = 2006. Proportion going through 132kV/EHV"/>
    <hyperlink ref="A135" location="'LAFs'!B120" display="x3 = 2007. Proportion going through EHV"/>
    <hyperlink ref="A136" location="'LAFs'!B128" display="x4 = 2008. Proportion going through EHV/HV"/>
    <hyperlink ref="A154" location="'LAFs'!B81" display="x1 = 2005. Network use factors"/>
    <hyperlink ref="A155" location="'LAFs'!B141" display="x2 = 2009. Rerouteing matrix for all network levels"/>
    <hyperlink ref="A188" location="'LAFs'!B158" display="x3 = 2010. Network use factors: interim step in calculations before adjustments"/>
    <hyperlink ref="A219" location="'LAFs'!B73" display="x1 = 2004. Loss adjustment factor to transmission for each network level"/>
    <hyperlink ref="A220" location="'LAFs'!B191" display="x2 = 2011. Network use factors for all tariffs"/>
    <hyperlink ref="A221" location="'LAFs'!I13" display="x3 = 2001. Loss adjustment factor to transmission (in Loss adjustment factors to transmission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"Network model for "&amp;'Input'!B7&amp;" in "&amp;'Input'!C7&amp;" ("&amp;'Input'!D7&amp;")"</f>
        <v>0</v>
      </c>
    </row>
    <row r="2" spans="1:3">
      <c r="A2" s="2" t="s">
        <v>400</v>
      </c>
    </row>
    <row r="4" spans="1:3" ht="21" customHeight="1">
      <c r="A4" s="1" t="s">
        <v>401</v>
      </c>
    </row>
    <row r="5" spans="1:3">
      <c r="A5" s="2" t="s">
        <v>351</v>
      </c>
    </row>
    <row r="6" spans="1:3">
      <c r="A6" s="33" t="s">
        <v>402</v>
      </c>
    </row>
    <row r="7" spans="1:3">
      <c r="A7" s="33" t="s">
        <v>403</v>
      </c>
    </row>
    <row r="8" spans="1:3">
      <c r="A8" s="33" t="s">
        <v>404</v>
      </c>
    </row>
    <row r="9" spans="1:3">
      <c r="A9" s="2" t="s">
        <v>405</v>
      </c>
    </row>
    <row r="11" spans="1:3">
      <c r="B11" s="15" t="s">
        <v>406</v>
      </c>
    </row>
    <row r="12" spans="1:3">
      <c r="A12" s="4" t="s">
        <v>406</v>
      </c>
      <c r="B12" s="40">
        <f>PMT('Input'!B58,'Input'!C58,-1)*IF(OR('Input'!F58&gt;366,'Input'!F58&lt;365),'Input'!F58/365.25,1)</f>
        <v>0</v>
      </c>
      <c r="C12" s="17"/>
    </row>
    <row r="14" spans="1:3" ht="21" customHeight="1">
      <c r="A14" s="1" t="s">
        <v>407</v>
      </c>
    </row>
    <row r="15" spans="1:3">
      <c r="A15" s="2" t="s">
        <v>351</v>
      </c>
    </row>
    <row r="16" spans="1:3">
      <c r="A16" s="33" t="s">
        <v>408</v>
      </c>
    </row>
    <row r="17" spans="1:10">
      <c r="A17" s="2" t="s">
        <v>368</v>
      </c>
    </row>
    <row r="18" spans="1:10">
      <c r="A18" s="2" t="s">
        <v>369</v>
      </c>
    </row>
    <row r="20" spans="1:10">
      <c r="B20" s="15" t="s">
        <v>142</v>
      </c>
      <c r="C20" s="15" t="s">
        <v>143</v>
      </c>
      <c r="D20" s="15" t="s">
        <v>144</v>
      </c>
      <c r="E20" s="15" t="s">
        <v>145</v>
      </c>
      <c r="F20" s="15" t="s">
        <v>146</v>
      </c>
      <c r="G20" s="15" t="s">
        <v>147</v>
      </c>
      <c r="H20" s="15" t="s">
        <v>148</v>
      </c>
      <c r="I20" s="15" t="s">
        <v>149</v>
      </c>
    </row>
    <row r="21" spans="1:10">
      <c r="A21" s="4" t="s">
        <v>409</v>
      </c>
      <c r="B21" s="28">
        <v>1</v>
      </c>
      <c r="C21" s="39">
        <f>'Input'!$B145</f>
        <v>0</v>
      </c>
      <c r="D21" s="39">
        <f>'Input'!$C145</f>
        <v>0</v>
      </c>
      <c r="E21" s="39">
        <f>'Input'!$D145</f>
        <v>0</v>
      </c>
      <c r="F21" s="39">
        <f>'Input'!$E145</f>
        <v>0</v>
      </c>
      <c r="G21" s="39">
        <f>'Input'!$F145</f>
        <v>0</v>
      </c>
      <c r="H21" s="39">
        <f>'Input'!$G145</f>
        <v>0</v>
      </c>
      <c r="I21" s="39">
        <f>'Input'!$H145</f>
        <v>0</v>
      </c>
      <c r="J21" s="17"/>
    </row>
    <row r="23" spans="1:10" ht="21" customHeight="1">
      <c r="A23" s="1" t="s">
        <v>410</v>
      </c>
    </row>
    <row r="24" spans="1:10">
      <c r="A24" s="2" t="s">
        <v>351</v>
      </c>
    </row>
    <row r="25" spans="1:10">
      <c r="A25" s="33" t="s">
        <v>411</v>
      </c>
    </row>
    <row r="26" spans="1:10">
      <c r="A26" s="33" t="s">
        <v>412</v>
      </c>
    </row>
    <row r="27" spans="1:10">
      <c r="A27" s="34" t="s">
        <v>354</v>
      </c>
      <c r="B27" s="34" t="s">
        <v>413</v>
      </c>
      <c r="C27" s="34" t="s">
        <v>414</v>
      </c>
    </row>
    <row r="28" spans="1:10">
      <c r="A28" s="34" t="s">
        <v>357</v>
      </c>
      <c r="B28" s="34" t="s">
        <v>415</v>
      </c>
      <c r="C28" s="34" t="s">
        <v>416</v>
      </c>
    </row>
    <row r="30" spans="1:10">
      <c r="B30" s="15" t="s">
        <v>417</v>
      </c>
      <c r="C30" s="15" t="s">
        <v>418</v>
      </c>
    </row>
    <row r="31" spans="1:10">
      <c r="A31" s="4" t="s">
        <v>142</v>
      </c>
      <c r="B31" s="38">
        <f>$B$21</f>
        <v>0</v>
      </c>
      <c r="C31" s="10"/>
      <c r="D31" s="17"/>
    </row>
    <row r="32" spans="1:10">
      <c r="A32" s="4" t="s">
        <v>143</v>
      </c>
      <c r="B32" s="38">
        <f>$C$21</f>
        <v>0</v>
      </c>
      <c r="C32" s="38">
        <f>B31</f>
        <v>0</v>
      </c>
      <c r="D32" s="17"/>
    </row>
    <row r="33" spans="1:5">
      <c r="A33" s="4" t="s">
        <v>144</v>
      </c>
      <c r="B33" s="38">
        <f>$D$21</f>
        <v>0</v>
      </c>
      <c r="C33" s="38">
        <f>B32</f>
        <v>0</v>
      </c>
      <c r="D33" s="17"/>
    </row>
    <row r="34" spans="1:5">
      <c r="A34" s="4" t="s">
        <v>145</v>
      </c>
      <c r="B34" s="38">
        <f>$E$21</f>
        <v>0</v>
      </c>
      <c r="C34" s="38">
        <f>B33</f>
        <v>0</v>
      </c>
      <c r="D34" s="17"/>
    </row>
    <row r="35" spans="1:5">
      <c r="A35" s="4" t="s">
        <v>146</v>
      </c>
      <c r="B35" s="38">
        <f>$F$21</f>
        <v>0</v>
      </c>
      <c r="C35" s="38">
        <f>B34</f>
        <v>0</v>
      </c>
      <c r="D35" s="17"/>
    </row>
    <row r="36" spans="1:5">
      <c r="A36" s="4" t="s">
        <v>147</v>
      </c>
      <c r="B36" s="38">
        <f>$G$21</f>
        <v>0</v>
      </c>
      <c r="C36" s="38">
        <f>B35</f>
        <v>0</v>
      </c>
      <c r="D36" s="17"/>
    </row>
    <row r="37" spans="1:5">
      <c r="A37" s="4" t="s">
        <v>148</v>
      </c>
      <c r="B37" s="38">
        <f>$H$21</f>
        <v>0</v>
      </c>
      <c r="C37" s="38">
        <f>B36</f>
        <v>0</v>
      </c>
      <c r="D37" s="17"/>
    </row>
    <row r="38" spans="1:5">
      <c r="A38" s="4" t="s">
        <v>149</v>
      </c>
      <c r="B38" s="38">
        <f>$I$21</f>
        <v>0</v>
      </c>
      <c r="C38" s="38">
        <f>B37</f>
        <v>0</v>
      </c>
      <c r="D38" s="17"/>
    </row>
    <row r="40" spans="1:5" ht="21" customHeight="1">
      <c r="A40" s="1" t="s">
        <v>419</v>
      </c>
    </row>
    <row r="41" spans="1:5">
      <c r="A41" s="2" t="s">
        <v>351</v>
      </c>
    </row>
    <row r="42" spans="1:5">
      <c r="A42" s="33" t="s">
        <v>420</v>
      </c>
    </row>
    <row r="43" spans="1:5">
      <c r="A43" s="33" t="s">
        <v>421</v>
      </c>
    </row>
    <row r="44" spans="1:5">
      <c r="A44" s="34" t="s">
        <v>354</v>
      </c>
      <c r="B44" s="34" t="s">
        <v>422</v>
      </c>
      <c r="C44" s="34" t="s">
        <v>422</v>
      </c>
      <c r="D44" s="34" t="s">
        <v>422</v>
      </c>
    </row>
    <row r="45" spans="1:5">
      <c r="A45" s="34" t="s">
        <v>357</v>
      </c>
      <c r="B45" s="34" t="s">
        <v>423</v>
      </c>
      <c r="C45" s="34" t="s">
        <v>423</v>
      </c>
      <c r="D45" s="34" t="s">
        <v>424</v>
      </c>
    </row>
    <row r="47" spans="1:5">
      <c r="B47" s="15" t="s">
        <v>425</v>
      </c>
      <c r="C47" s="15" t="s">
        <v>426</v>
      </c>
      <c r="D47" s="15" t="s">
        <v>427</v>
      </c>
    </row>
    <row r="48" spans="1:5">
      <c r="A48" s="4" t="s">
        <v>142</v>
      </c>
      <c r="B48" s="10"/>
      <c r="C48" s="40">
        <f>1/(1+'Input'!B68)</f>
        <v>0</v>
      </c>
      <c r="D48" s="40">
        <f>1/C48-1</f>
        <v>0</v>
      </c>
      <c r="E48" s="17"/>
    </row>
    <row r="49" spans="1:5">
      <c r="A49" s="4" t="s">
        <v>143</v>
      </c>
      <c r="B49" s="40">
        <f>1/(1+'Input'!B69)</f>
        <v>0</v>
      </c>
      <c r="C49" s="40">
        <f>C48/(1+'Input'!B69)</f>
        <v>0</v>
      </c>
      <c r="D49" s="40">
        <f>1/C49-1</f>
        <v>0</v>
      </c>
      <c r="E49" s="17"/>
    </row>
    <row r="50" spans="1:5">
      <c r="A50" s="4" t="s">
        <v>144</v>
      </c>
      <c r="B50" s="40">
        <f>B49/(1+'Input'!B70)</f>
        <v>0</v>
      </c>
      <c r="C50" s="40">
        <f>C49/(1+'Input'!B70)</f>
        <v>0</v>
      </c>
      <c r="D50" s="40">
        <f>1/C50-1</f>
        <v>0</v>
      </c>
      <c r="E50" s="17"/>
    </row>
    <row r="51" spans="1:5">
      <c r="A51" s="4" t="s">
        <v>145</v>
      </c>
      <c r="B51" s="40">
        <f>B50/(1+'Input'!B71)</f>
        <v>0</v>
      </c>
      <c r="C51" s="40">
        <f>C50/(1+'Input'!B71)</f>
        <v>0</v>
      </c>
      <c r="D51" s="40">
        <f>1/C51-1</f>
        <v>0</v>
      </c>
      <c r="E51" s="17"/>
    </row>
    <row r="52" spans="1:5">
      <c r="A52" s="4" t="s">
        <v>146</v>
      </c>
      <c r="B52" s="40">
        <f>B51/(1+'Input'!B72)</f>
        <v>0</v>
      </c>
      <c r="C52" s="40">
        <f>C51/(1+'Input'!B72)</f>
        <v>0</v>
      </c>
      <c r="D52" s="40">
        <f>1/C52-1</f>
        <v>0</v>
      </c>
      <c r="E52" s="17"/>
    </row>
    <row r="53" spans="1:5">
      <c r="A53" s="4" t="s">
        <v>147</v>
      </c>
      <c r="B53" s="40">
        <f>B52/(1+'Input'!B73)</f>
        <v>0</v>
      </c>
      <c r="C53" s="40">
        <f>C52/(1+'Input'!B73)</f>
        <v>0</v>
      </c>
      <c r="D53" s="40">
        <f>1/C53-1</f>
        <v>0</v>
      </c>
      <c r="E53" s="17"/>
    </row>
    <row r="54" spans="1:5">
      <c r="A54" s="4" t="s">
        <v>148</v>
      </c>
      <c r="B54" s="40">
        <f>B53/(1+'Input'!B74)</f>
        <v>0</v>
      </c>
      <c r="C54" s="40">
        <f>C53/(1+'Input'!B74)</f>
        <v>0</v>
      </c>
      <c r="D54" s="40">
        <f>1/C54-1</f>
        <v>0</v>
      </c>
      <c r="E54" s="17"/>
    </row>
    <row r="55" spans="1:5">
      <c r="A55" s="4" t="s">
        <v>149</v>
      </c>
      <c r="B55" s="40">
        <f>B54/(1+'Input'!B75)</f>
        <v>0</v>
      </c>
      <c r="C55" s="40">
        <f>C54/(1+'Input'!B75)</f>
        <v>0</v>
      </c>
      <c r="D55" s="10"/>
      <c r="E55" s="17"/>
    </row>
    <row r="57" spans="1:5" ht="21" customHeight="1">
      <c r="A57" s="1" t="s">
        <v>428</v>
      </c>
    </row>
    <row r="58" spans="1:5">
      <c r="A58" s="2" t="s">
        <v>351</v>
      </c>
    </row>
    <row r="59" spans="1:5">
      <c r="A59" s="33" t="s">
        <v>429</v>
      </c>
    </row>
    <row r="60" spans="1:5">
      <c r="A60" s="33" t="s">
        <v>430</v>
      </c>
    </row>
    <row r="61" spans="1:5">
      <c r="A61" s="2" t="s">
        <v>431</v>
      </c>
    </row>
    <row r="63" spans="1:5">
      <c r="B63" s="15" t="s">
        <v>432</v>
      </c>
    </row>
    <row r="64" spans="1:5">
      <c r="A64" s="4" t="s">
        <v>143</v>
      </c>
      <c r="B64" s="38">
        <f>'Input'!B$85/B$49</f>
        <v>0</v>
      </c>
      <c r="C64" s="17"/>
    </row>
    <row r="65" spans="1:3">
      <c r="A65" s="4" t="s">
        <v>144</v>
      </c>
      <c r="B65" s="38">
        <f>'Input'!B$85/B$50</f>
        <v>0</v>
      </c>
      <c r="C65" s="17"/>
    </row>
    <row r="66" spans="1:3">
      <c r="A66" s="4" t="s">
        <v>145</v>
      </c>
      <c r="B66" s="38">
        <f>'Input'!B$85/B$51</f>
        <v>0</v>
      </c>
      <c r="C66" s="17"/>
    </row>
    <row r="67" spans="1:3">
      <c r="A67" s="4" t="s">
        <v>146</v>
      </c>
      <c r="B67" s="38">
        <f>'Input'!B$85/B$52</f>
        <v>0</v>
      </c>
      <c r="C67" s="17"/>
    </row>
    <row r="68" spans="1:3">
      <c r="A68" s="4" t="s">
        <v>147</v>
      </c>
      <c r="B68" s="38">
        <f>'Input'!B$85/B$53</f>
        <v>0</v>
      </c>
      <c r="C68" s="17"/>
    </row>
    <row r="69" spans="1:3">
      <c r="A69" s="4" t="s">
        <v>148</v>
      </c>
      <c r="B69" s="38">
        <f>'Input'!B$85/B$54</f>
        <v>0</v>
      </c>
      <c r="C69" s="17"/>
    </row>
    <row r="70" spans="1:3">
      <c r="A70" s="4" t="s">
        <v>149</v>
      </c>
      <c r="B70" s="38">
        <f>'Input'!B$85/B$55</f>
        <v>0</v>
      </c>
      <c r="C70" s="17"/>
    </row>
    <row r="72" spans="1:3" ht="21" customHeight="1">
      <c r="A72" s="1" t="s">
        <v>433</v>
      </c>
    </row>
    <row r="73" spans="1:3">
      <c r="A73" s="2" t="s">
        <v>351</v>
      </c>
    </row>
    <row r="74" spans="1:3">
      <c r="A74" s="33" t="s">
        <v>434</v>
      </c>
    </row>
    <row r="75" spans="1:3">
      <c r="A75" s="33" t="s">
        <v>435</v>
      </c>
    </row>
    <row r="76" spans="1:3">
      <c r="A76" s="33" t="s">
        <v>436</v>
      </c>
    </row>
    <row r="77" spans="1:3">
      <c r="A77" s="2" t="s">
        <v>437</v>
      </c>
    </row>
    <row r="79" spans="1:3">
      <c r="B79" s="15" t="s">
        <v>438</v>
      </c>
    </row>
    <row r="80" spans="1:3">
      <c r="A80" s="4" t="s">
        <v>143</v>
      </c>
      <c r="B80" s="38">
        <f>B64*C$49/B$32</f>
        <v>0</v>
      </c>
      <c r="C80" s="17"/>
    </row>
    <row r="81" spans="1:3">
      <c r="A81" s="4" t="s">
        <v>144</v>
      </c>
      <c r="B81" s="38">
        <f>B65*C$50/B$33</f>
        <v>0</v>
      </c>
      <c r="C81" s="17"/>
    </row>
    <row r="82" spans="1:3">
      <c r="A82" s="4" t="s">
        <v>145</v>
      </c>
      <c r="B82" s="38">
        <f>B66*C$51/B$34</f>
        <v>0</v>
      </c>
      <c r="C82" s="17"/>
    </row>
    <row r="83" spans="1:3">
      <c r="A83" s="4" t="s">
        <v>146</v>
      </c>
      <c r="B83" s="38">
        <f>B67*C$52/B$35</f>
        <v>0</v>
      </c>
      <c r="C83" s="17"/>
    </row>
    <row r="84" spans="1:3">
      <c r="A84" s="4" t="s">
        <v>147</v>
      </c>
      <c r="B84" s="38">
        <f>B68*C$53/B$36</f>
        <v>0</v>
      </c>
      <c r="C84" s="17"/>
    </row>
    <row r="85" spans="1:3">
      <c r="A85" s="4" t="s">
        <v>148</v>
      </c>
      <c r="B85" s="38">
        <f>B69*C$54/B$37</f>
        <v>0</v>
      </c>
      <c r="C85" s="17"/>
    </row>
    <row r="86" spans="1:3">
      <c r="A86" s="4" t="s">
        <v>149</v>
      </c>
      <c r="B86" s="38">
        <f>B70*C$55/B$38</f>
        <v>0</v>
      </c>
      <c r="C86" s="17"/>
    </row>
    <row r="88" spans="1:3" ht="21" customHeight="1">
      <c r="A88" s="1" t="s">
        <v>439</v>
      </c>
    </row>
    <row r="89" spans="1:3">
      <c r="A89" s="2" t="s">
        <v>351</v>
      </c>
    </row>
    <row r="90" spans="1:3">
      <c r="A90" s="33" t="s">
        <v>376</v>
      </c>
    </row>
    <row r="91" spans="1:3">
      <c r="A91" s="33" t="s">
        <v>381</v>
      </c>
    </row>
    <row r="92" spans="1:3">
      <c r="A92" s="33" t="s">
        <v>382</v>
      </c>
    </row>
    <row r="93" spans="1:3">
      <c r="A93" s="33" t="s">
        <v>383</v>
      </c>
    </row>
    <row r="94" spans="1:3">
      <c r="A94" s="2" t="s">
        <v>384</v>
      </c>
    </row>
    <row r="95" spans="1:3">
      <c r="A95" s="2" t="s">
        <v>440</v>
      </c>
    </row>
    <row r="97" spans="1:10">
      <c r="B97" s="15" t="s">
        <v>143</v>
      </c>
      <c r="C97" s="15" t="s">
        <v>144</v>
      </c>
      <c r="D97" s="15" t="s">
        <v>145</v>
      </c>
      <c r="E97" s="15" t="s">
        <v>146</v>
      </c>
      <c r="F97" s="15" t="s">
        <v>151</v>
      </c>
      <c r="G97" s="15" t="s">
        <v>147</v>
      </c>
      <c r="H97" s="15" t="s">
        <v>148</v>
      </c>
      <c r="I97" s="15" t="s">
        <v>149</v>
      </c>
    </row>
    <row r="98" spans="1:10">
      <c r="A98" s="4" t="s">
        <v>143</v>
      </c>
      <c r="B98" s="41">
        <v>1</v>
      </c>
      <c r="C98" s="41">
        <v>0</v>
      </c>
      <c r="D98" s="41">
        <v>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17"/>
    </row>
    <row r="99" spans="1:10">
      <c r="A99" s="4" t="s">
        <v>144</v>
      </c>
      <c r="B99" s="41">
        <v>0</v>
      </c>
      <c r="C99" s="42">
        <f>'LAFs'!$B$113</f>
        <v>0</v>
      </c>
      <c r="D99" s="41">
        <v>0</v>
      </c>
      <c r="E99" s="41">
        <v>0</v>
      </c>
      <c r="F99" s="41">
        <v>0</v>
      </c>
      <c r="G99" s="41">
        <v>0</v>
      </c>
      <c r="H99" s="41">
        <v>0</v>
      </c>
      <c r="I99" s="41">
        <v>0</v>
      </c>
      <c r="J99" s="17"/>
    </row>
    <row r="100" spans="1:10">
      <c r="A100" s="4" t="s">
        <v>145</v>
      </c>
      <c r="B100" s="41">
        <v>0</v>
      </c>
      <c r="C100" s="41">
        <v>0</v>
      </c>
      <c r="D100" s="42">
        <f>'LAFs'!$B$121</f>
        <v>0</v>
      </c>
      <c r="E100" s="41">
        <v>0</v>
      </c>
      <c r="F100" s="41">
        <v>0</v>
      </c>
      <c r="G100" s="41">
        <v>0</v>
      </c>
      <c r="H100" s="41">
        <v>0</v>
      </c>
      <c r="I100" s="41">
        <v>0</v>
      </c>
      <c r="J100" s="17"/>
    </row>
    <row r="101" spans="1:10">
      <c r="A101" s="4" t="s">
        <v>146</v>
      </c>
      <c r="B101" s="41">
        <v>0</v>
      </c>
      <c r="C101" s="41">
        <v>0</v>
      </c>
      <c r="D101" s="41">
        <v>0</v>
      </c>
      <c r="E101" s="42">
        <f>'LAFs'!$B$129</f>
        <v>0</v>
      </c>
      <c r="F101" s="42">
        <f>'Input'!$B$80</f>
        <v>0</v>
      </c>
      <c r="G101" s="41">
        <v>0</v>
      </c>
      <c r="H101" s="41">
        <v>0</v>
      </c>
      <c r="I101" s="41">
        <v>0</v>
      </c>
      <c r="J101" s="17"/>
    </row>
    <row r="102" spans="1:10">
      <c r="A102" s="4" t="s">
        <v>147</v>
      </c>
      <c r="B102" s="41">
        <v>0</v>
      </c>
      <c r="C102" s="41">
        <v>0</v>
      </c>
      <c r="D102" s="41">
        <v>0</v>
      </c>
      <c r="E102" s="41">
        <v>0</v>
      </c>
      <c r="F102" s="41">
        <v>0</v>
      </c>
      <c r="G102" s="41">
        <v>1</v>
      </c>
      <c r="H102" s="41">
        <v>0</v>
      </c>
      <c r="I102" s="41">
        <v>0</v>
      </c>
      <c r="J102" s="17"/>
    </row>
    <row r="103" spans="1:10">
      <c r="A103" s="4" t="s">
        <v>148</v>
      </c>
      <c r="B103" s="41">
        <v>0</v>
      </c>
      <c r="C103" s="41">
        <v>0</v>
      </c>
      <c r="D103" s="41">
        <v>0</v>
      </c>
      <c r="E103" s="41">
        <v>0</v>
      </c>
      <c r="F103" s="41">
        <v>0</v>
      </c>
      <c r="G103" s="41">
        <v>0</v>
      </c>
      <c r="H103" s="41">
        <v>1</v>
      </c>
      <c r="I103" s="41">
        <v>0</v>
      </c>
      <c r="J103" s="17"/>
    </row>
    <row r="104" spans="1:10">
      <c r="A104" s="4" t="s">
        <v>149</v>
      </c>
      <c r="B104" s="41">
        <v>0</v>
      </c>
      <c r="C104" s="41">
        <v>0</v>
      </c>
      <c r="D104" s="41">
        <v>0</v>
      </c>
      <c r="E104" s="41">
        <v>0</v>
      </c>
      <c r="F104" s="41">
        <v>0</v>
      </c>
      <c r="G104" s="41">
        <v>0</v>
      </c>
      <c r="H104" s="41">
        <v>0</v>
      </c>
      <c r="I104" s="41">
        <v>1</v>
      </c>
      <c r="J104" s="17"/>
    </row>
    <row r="106" spans="1:10" ht="21" customHeight="1">
      <c r="A106" s="1" t="s">
        <v>441</v>
      </c>
    </row>
    <row r="107" spans="1:10">
      <c r="A107" s="2" t="s">
        <v>351</v>
      </c>
    </row>
    <row r="108" spans="1:10">
      <c r="A108" s="33" t="s">
        <v>442</v>
      </c>
    </row>
    <row r="109" spans="1:10">
      <c r="A109" s="33" t="s">
        <v>443</v>
      </c>
    </row>
    <row r="110" spans="1:10">
      <c r="A110" s="2" t="s">
        <v>364</v>
      </c>
    </row>
    <row r="112" spans="1:10">
      <c r="B112" s="15" t="s">
        <v>444</v>
      </c>
    </row>
    <row r="113" spans="1:3">
      <c r="A113" s="4" t="s">
        <v>143</v>
      </c>
      <c r="B113" s="38">
        <f>SUMPRODUCT(B$80:B$86,$B$98:$B$104)</f>
        <v>0</v>
      </c>
      <c r="C113" s="17"/>
    </row>
    <row r="114" spans="1:3">
      <c r="A114" s="4" t="s">
        <v>144</v>
      </c>
      <c r="B114" s="38">
        <f>SUMPRODUCT(B$80:B$86,$C$98:$C$104)</f>
        <v>0</v>
      </c>
      <c r="C114" s="17"/>
    </row>
    <row r="115" spans="1:3">
      <c r="A115" s="4" t="s">
        <v>145</v>
      </c>
      <c r="B115" s="38">
        <f>SUMPRODUCT(B$80:B$86,$D$98:$D$104)</f>
        <v>0</v>
      </c>
      <c r="C115" s="17"/>
    </row>
    <row r="116" spans="1:3">
      <c r="A116" s="4" t="s">
        <v>146</v>
      </c>
      <c r="B116" s="38">
        <f>SUMPRODUCT(B$80:B$86,$E$98:$E$104)</f>
        <v>0</v>
      </c>
      <c r="C116" s="17"/>
    </row>
    <row r="117" spans="1:3">
      <c r="A117" s="4" t="s">
        <v>151</v>
      </c>
      <c r="B117" s="38">
        <f>SUMPRODUCT(B$80:B$86,$F$98:$F$104)</f>
        <v>0</v>
      </c>
      <c r="C117" s="17"/>
    </row>
    <row r="118" spans="1:3">
      <c r="A118" s="4" t="s">
        <v>147</v>
      </c>
      <c r="B118" s="38">
        <f>SUMPRODUCT(B$80:B$86,$G$98:$G$104)</f>
        <v>0</v>
      </c>
      <c r="C118" s="17"/>
    </row>
    <row r="119" spans="1:3">
      <c r="A119" s="4" t="s">
        <v>148</v>
      </c>
      <c r="B119" s="38">
        <f>SUMPRODUCT(B$80:B$86,$H$98:$H$104)</f>
        <v>0</v>
      </c>
      <c r="C119" s="17"/>
    </row>
    <row r="120" spans="1:3">
      <c r="A120" s="4" t="s">
        <v>149</v>
      </c>
      <c r="B120" s="38">
        <f>SUMPRODUCT(B$80:B$86,$I$98:$I$104)</f>
        <v>0</v>
      </c>
      <c r="C120" s="17"/>
    </row>
    <row r="122" spans="1:3" ht="21" customHeight="1">
      <c r="A122" s="1" t="s">
        <v>445</v>
      </c>
    </row>
    <row r="123" spans="1:3">
      <c r="A123" s="2" t="s">
        <v>351</v>
      </c>
    </row>
    <row r="124" spans="1:3">
      <c r="A124" s="33" t="s">
        <v>446</v>
      </c>
    </row>
    <row r="125" spans="1:3">
      <c r="A125" s="33" t="s">
        <v>447</v>
      </c>
    </row>
    <row r="126" spans="1:3">
      <c r="A126" s="33" t="s">
        <v>448</v>
      </c>
    </row>
    <row r="127" spans="1:3">
      <c r="A127" s="2" t="s">
        <v>449</v>
      </c>
    </row>
    <row r="129" spans="1:3">
      <c r="B129" s="15" t="s">
        <v>450</v>
      </c>
    </row>
    <row r="130" spans="1:3">
      <c r="A130" s="4" t="s">
        <v>451</v>
      </c>
      <c r="B130" s="38">
        <f>IF(B113,0.001*'Input'!B90*B$12/B113,0)</f>
        <v>0</v>
      </c>
      <c r="C130" s="17"/>
    </row>
    <row r="131" spans="1:3">
      <c r="A131" s="4" t="s">
        <v>452</v>
      </c>
      <c r="B131" s="38">
        <f>IF(B114,0.001*'Input'!B91*B$12/B114,0)</f>
        <v>0</v>
      </c>
      <c r="C131" s="17"/>
    </row>
    <row r="132" spans="1:3">
      <c r="A132" s="4" t="s">
        <v>453</v>
      </c>
      <c r="B132" s="38">
        <f>IF(B115,0.001*'Input'!B92*B$12/B115,0)</f>
        <v>0</v>
      </c>
      <c r="C132" s="17"/>
    </row>
    <row r="133" spans="1:3">
      <c r="A133" s="4" t="s">
        <v>454</v>
      </c>
      <c r="B133" s="38">
        <f>IF(B116,0.001*'Input'!B93*B$12/B116,0)</f>
        <v>0</v>
      </c>
      <c r="C133" s="17"/>
    </row>
    <row r="134" spans="1:3">
      <c r="A134" s="4" t="s">
        <v>455</v>
      </c>
      <c r="B134" s="38">
        <f>IF(B117,0.001*'Input'!B94*B$12/B117,0)</f>
        <v>0</v>
      </c>
      <c r="C134" s="17"/>
    </row>
    <row r="135" spans="1:3">
      <c r="A135" s="4" t="s">
        <v>456</v>
      </c>
      <c r="B135" s="38">
        <f>IF(B118,0.001*'Input'!B95*B$12/B118,0)</f>
        <v>0</v>
      </c>
      <c r="C135" s="17"/>
    </row>
    <row r="136" spans="1:3">
      <c r="A136" s="4" t="s">
        <v>457</v>
      </c>
      <c r="B136" s="38">
        <f>IF(B119,0.001*'Input'!B96*B$12/B119,0)</f>
        <v>0</v>
      </c>
      <c r="C136" s="17"/>
    </row>
    <row r="137" spans="1:3">
      <c r="A137" s="4" t="s">
        <v>458</v>
      </c>
      <c r="B137" s="38">
        <f>IF(B120,0.001*'Input'!B97*B$12/B120,0)</f>
        <v>0</v>
      </c>
      <c r="C137" s="17"/>
    </row>
  </sheetData>
  <sheetProtection sheet="1" objects="1" scenarios="1"/>
  <hyperlinks>
    <hyperlink ref="A6" location="'Input'!B57" display="x1 = 1010. Rate of return (in Financial and general assumptions)"/>
    <hyperlink ref="A7" location="'Input'!C57" display="x2 = 1010. Annualisation period (years) (in Financial and general assumptions)"/>
    <hyperlink ref="A8" location="'Input'!F57" display="x3 = 1010. Days in the charging year (in Financial and general assumptions)"/>
    <hyperlink ref="A16" location="'Input'!B144" display="x1 = 1032. Loss adjustment factors to transmission"/>
    <hyperlink ref="A25" location="'DRM'!B20" display="x1 = 2102. Loss adjustment factor to transmission for each core level"/>
    <hyperlink ref="A26" location="'DRM'!B30" display="x2 = Loss adjustment factor to transmission for network level exit (in Loss adjustment factors)"/>
    <hyperlink ref="A42" location="'Input'!B67" display="x1 = 1017. Diversity allowance between top and bottom of network level"/>
    <hyperlink ref="A43" location="'DRM'!C47" display="x2 = Coincidence to system peak at level exit (in Diversity calculations)"/>
    <hyperlink ref="A59" location="'Input'!B84" display="x1 = 1019. Network model GSP peak demand (MW)"/>
    <hyperlink ref="A60" location="'DRM'!B47" display="x2 = 2104. Coincidence to GSP peak at level exit (in Diversity calculations)"/>
    <hyperlink ref="A74" location="'DRM'!B63" display="x1 = 2105. Network model total maximum demand at substation (MW)"/>
    <hyperlink ref="A75" location="'DRM'!C47" display="x2 = 2104. Coincidence to system peak at level exit (in Diversity calculations)"/>
    <hyperlink ref="A76" location="'DRM'!B30" display="x3 = 2103. Loss adjustment factor to transmission for network level exit (in Loss adjustment factors)"/>
    <hyperlink ref="A90" location="'Input'!B79" display="x1 = 1018. Proportion of relevant load going through 132kV/HV direct transformation"/>
    <hyperlink ref="A91" location="'LAFs'!B112" display="x2 = 2006. Proportion going through 132kV/EHV"/>
    <hyperlink ref="A92" location="'LAFs'!B120" display="x3 = 2007. Proportion going through EHV"/>
    <hyperlink ref="A93" location="'LAFs'!B128" display="x4 = 2008. Proportion going through EHV/HV"/>
    <hyperlink ref="A108" location="'DRM'!B79" display="x1 = 2106. Network model contribution to system maximum load measured at network level exit (MW)"/>
    <hyperlink ref="A109" location="'DRM'!B97" display="x2 = 2107. Rerouteing matrix for DRM network levels"/>
    <hyperlink ref="A124" location="'DRM'!B112" display="x1 = 2108. GSP simultaneous maximum load assumed through each network level (MW)"/>
    <hyperlink ref="A125" location="'Input'!B89" display="x2 = 1020. Gross asset cost by network level (£)"/>
    <hyperlink ref="A126" location="'DRM'!B11" display="x3 = 2101. Annuity rate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"Service models for "&amp;'Input'!B7&amp;" in "&amp;'Input'!C7&amp;" ("&amp;'Input'!D7&amp;")"</f>
        <v>0</v>
      </c>
    </row>
    <row r="2" spans="1:3">
      <c r="A2" s="2" t="s">
        <v>459</v>
      </c>
    </row>
    <row r="4" spans="1:3" ht="21" customHeight="1">
      <c r="A4" s="1" t="s">
        <v>460</v>
      </c>
    </row>
    <row r="5" spans="1:3">
      <c r="A5" s="2" t="s">
        <v>351</v>
      </c>
    </row>
    <row r="6" spans="1:3">
      <c r="A6" s="33" t="s">
        <v>461</v>
      </c>
    </row>
    <row r="7" spans="1:3">
      <c r="A7" s="33" t="s">
        <v>462</v>
      </c>
    </row>
    <row r="8" spans="1:3">
      <c r="A8" s="2" t="s">
        <v>364</v>
      </c>
    </row>
    <row r="10" spans="1:3">
      <c r="B10" s="15" t="s">
        <v>463</v>
      </c>
    </row>
    <row r="11" spans="1:3">
      <c r="A11" s="4" t="s">
        <v>174</v>
      </c>
      <c r="B11" s="21">
        <f>SUMPRODUCT('Input'!$B112:$I112,'Input'!$B$102:$I$102)</f>
        <v>0</v>
      </c>
      <c r="C11" s="17"/>
    </row>
    <row r="12" spans="1:3">
      <c r="A12" s="4" t="s">
        <v>175</v>
      </c>
      <c r="B12" s="21">
        <f>SUMPRODUCT('Input'!$B113:$I113,'Input'!$B$102:$I$102)</f>
        <v>0</v>
      </c>
      <c r="C12" s="17"/>
    </row>
    <row r="13" spans="1:3">
      <c r="A13" s="4" t="s">
        <v>176</v>
      </c>
      <c r="B13" s="21">
        <f>SUMPRODUCT('Input'!$B114:$I114,'Input'!$B$102:$I$102)</f>
        <v>0</v>
      </c>
      <c r="C13" s="17"/>
    </row>
    <row r="14" spans="1:3">
      <c r="A14" s="4" t="s">
        <v>177</v>
      </c>
      <c r="B14" s="21">
        <f>SUMPRODUCT('Input'!$B115:$I115,'Input'!$B$102:$I$102)</f>
        <v>0</v>
      </c>
      <c r="C14" s="17"/>
    </row>
    <row r="15" spans="1:3">
      <c r="A15" s="4" t="s">
        <v>178</v>
      </c>
      <c r="B15" s="21">
        <f>SUMPRODUCT('Input'!$B116:$I116,'Input'!$B$102:$I$102)</f>
        <v>0</v>
      </c>
      <c r="C15" s="17"/>
    </row>
    <row r="16" spans="1:3">
      <c r="A16" s="4" t="s">
        <v>179</v>
      </c>
      <c r="B16" s="21">
        <f>SUMPRODUCT('Input'!$B117:$I117,'Input'!$B$102:$I$102)</f>
        <v>0</v>
      </c>
      <c r="C16" s="17"/>
    </row>
    <row r="17" spans="1:3">
      <c r="A17" s="4" t="s">
        <v>180</v>
      </c>
      <c r="B17" s="21">
        <f>SUMPRODUCT('Input'!$B118:$I118,'Input'!$B$102:$I$102)</f>
        <v>0</v>
      </c>
      <c r="C17" s="17"/>
    </row>
    <row r="18" spans="1:3">
      <c r="A18" s="4" t="s">
        <v>181</v>
      </c>
      <c r="B18" s="21">
        <f>SUMPRODUCT('Input'!$B119:$I119,'Input'!$B$102:$I$102)</f>
        <v>0</v>
      </c>
      <c r="C18" s="17"/>
    </row>
    <row r="19" spans="1:3">
      <c r="A19" s="4" t="s">
        <v>182</v>
      </c>
      <c r="B19" s="21">
        <f>SUMPRODUCT('Input'!$B120:$I120,'Input'!$B$102:$I$102)</f>
        <v>0</v>
      </c>
      <c r="C19" s="17"/>
    </row>
    <row r="20" spans="1:3">
      <c r="A20" s="4" t="s">
        <v>183</v>
      </c>
      <c r="B20" s="21">
        <f>SUMPRODUCT('Input'!$B121:$I121,'Input'!$B$102:$I$102)</f>
        <v>0</v>
      </c>
      <c r="C20" s="17"/>
    </row>
    <row r="21" spans="1:3">
      <c r="A21" s="4" t="s">
        <v>184</v>
      </c>
      <c r="B21" s="21">
        <f>SUMPRODUCT('Input'!$B122:$I122,'Input'!$B$102:$I$102)</f>
        <v>0</v>
      </c>
      <c r="C21" s="17"/>
    </row>
    <row r="22" spans="1:3">
      <c r="A22" s="4" t="s">
        <v>185</v>
      </c>
      <c r="B22" s="21">
        <f>SUMPRODUCT('Input'!$B123:$I123,'Input'!$B$102:$I$102)</f>
        <v>0</v>
      </c>
      <c r="C22" s="17"/>
    </row>
    <row r="23" spans="1:3">
      <c r="A23" s="4" t="s">
        <v>186</v>
      </c>
      <c r="B23" s="21">
        <f>SUMPRODUCT('Input'!$B124:$I124,'Input'!$B$102:$I$102)</f>
        <v>0</v>
      </c>
      <c r="C23" s="17"/>
    </row>
    <row r="24" spans="1:3">
      <c r="A24" s="4" t="s">
        <v>187</v>
      </c>
      <c r="B24" s="21">
        <f>SUMPRODUCT('Input'!$B125:$I125,'Input'!$B$102:$I$102)</f>
        <v>0</v>
      </c>
      <c r="C24" s="17"/>
    </row>
    <row r="26" spans="1:3" ht="21" customHeight="1">
      <c r="A26" s="1" t="s">
        <v>464</v>
      </c>
    </row>
    <row r="27" spans="1:3">
      <c r="A27" s="2" t="s">
        <v>351</v>
      </c>
    </row>
    <row r="28" spans="1:3">
      <c r="A28" s="33" t="s">
        <v>465</v>
      </c>
    </row>
    <row r="29" spans="1:3">
      <c r="A29" s="33" t="s">
        <v>462</v>
      </c>
    </row>
    <row r="30" spans="1:3">
      <c r="A30" s="2" t="s">
        <v>364</v>
      </c>
    </row>
    <row r="32" spans="1:3">
      <c r="B32" s="15" t="s">
        <v>463</v>
      </c>
    </row>
    <row r="33" spans="1:3">
      <c r="A33" s="4" t="s">
        <v>466</v>
      </c>
      <c r="B33" s="21">
        <f>SUMPRODUCT('Input'!$B132:$I132,'Input'!$B$102:$I$102)</f>
        <v>0</v>
      </c>
      <c r="C33" s="17"/>
    </row>
    <row r="35" spans="1:3" ht="21" customHeight="1">
      <c r="A35" s="1" t="s">
        <v>467</v>
      </c>
    </row>
    <row r="36" spans="1:3">
      <c r="A36" s="2" t="s">
        <v>351</v>
      </c>
    </row>
    <row r="37" spans="1:3">
      <c r="A37" s="33" t="s">
        <v>468</v>
      </c>
    </row>
    <row r="38" spans="1:3">
      <c r="A38" s="33" t="s">
        <v>469</v>
      </c>
    </row>
    <row r="39" spans="1:3">
      <c r="A39" s="33" t="s">
        <v>448</v>
      </c>
    </row>
    <row r="40" spans="1:3">
      <c r="A40" s="2" t="s">
        <v>470</v>
      </c>
    </row>
    <row r="42" spans="1:3">
      <c r="B42" s="15" t="s">
        <v>463</v>
      </c>
    </row>
    <row r="43" spans="1:3">
      <c r="A43" s="4" t="s">
        <v>471</v>
      </c>
      <c r="B43" s="38">
        <f>0.1*'Input'!$D58*B33*'DRM'!$B12</f>
        <v>0</v>
      </c>
      <c r="C43" s="17"/>
    </row>
    <row r="45" spans="1:3" ht="21" customHeight="1">
      <c r="A45" s="1" t="s">
        <v>472</v>
      </c>
    </row>
    <row r="46" spans="1:3">
      <c r="A46" s="2" t="s">
        <v>351</v>
      </c>
    </row>
    <row r="47" spans="1:3">
      <c r="A47" s="33" t="s">
        <v>473</v>
      </c>
    </row>
    <row r="48" spans="1:3">
      <c r="A48" s="33" t="s">
        <v>474</v>
      </c>
    </row>
    <row r="49" spans="1:4">
      <c r="A49" s="2" t="s">
        <v>364</v>
      </c>
    </row>
    <row r="51" spans="1:4">
      <c r="B51" s="15" t="s">
        <v>475</v>
      </c>
    </row>
    <row r="52" spans="1:4">
      <c r="A52" s="4" t="s">
        <v>193</v>
      </c>
      <c r="B52" s="21">
        <f>SUMPRODUCT('Input'!$B137:$F137,'Input'!$B$107:$F$107)</f>
        <v>0</v>
      </c>
      <c r="C52" s="17"/>
    </row>
    <row r="53" spans="1:4">
      <c r="A53" s="4" t="s">
        <v>194</v>
      </c>
      <c r="B53" s="21">
        <f>SUMPRODUCT('Input'!$B138:$F138,'Input'!$B$107:$F$107)</f>
        <v>0</v>
      </c>
      <c r="C53" s="17"/>
    </row>
    <row r="54" spans="1:4">
      <c r="A54" s="4" t="s">
        <v>195</v>
      </c>
      <c r="B54" s="21">
        <f>SUMPRODUCT('Input'!$B139:$F139,'Input'!$B$107:$F$107)</f>
        <v>0</v>
      </c>
      <c r="C54" s="17"/>
    </row>
    <row r="56" spans="1:4" ht="21" customHeight="1">
      <c r="A56" s="1" t="s">
        <v>476</v>
      </c>
    </row>
    <row r="57" spans="1:4">
      <c r="A57" s="2" t="s">
        <v>351</v>
      </c>
    </row>
    <row r="58" spans="1:4">
      <c r="A58" s="33" t="s">
        <v>477</v>
      </c>
    </row>
    <row r="59" spans="1:4">
      <c r="A59" s="33" t="s">
        <v>478</v>
      </c>
    </row>
    <row r="60" spans="1:4">
      <c r="A60" s="2" t="s">
        <v>369</v>
      </c>
    </row>
    <row r="62" spans="1:4">
      <c r="B62" s="15" t="s">
        <v>463</v>
      </c>
      <c r="C62" s="15" t="s">
        <v>475</v>
      </c>
    </row>
    <row r="63" spans="1:4">
      <c r="A63" s="4" t="s">
        <v>174</v>
      </c>
      <c r="B63" s="39">
        <f>$B$11</f>
        <v>0</v>
      </c>
      <c r="C63" s="10"/>
      <c r="D63" s="17"/>
    </row>
    <row r="64" spans="1:4">
      <c r="A64" s="4" t="s">
        <v>175</v>
      </c>
      <c r="B64" s="39">
        <f>$B$12</f>
        <v>0</v>
      </c>
      <c r="C64" s="10"/>
      <c r="D64" s="17"/>
    </row>
    <row r="65" spans="1:4">
      <c r="A65" s="4" t="s">
        <v>211</v>
      </c>
      <c r="B65" s="10"/>
      <c r="C65" s="10"/>
      <c r="D65" s="17"/>
    </row>
    <row r="66" spans="1:4">
      <c r="A66" s="4" t="s">
        <v>176</v>
      </c>
      <c r="B66" s="39">
        <f>$B$13</f>
        <v>0</v>
      </c>
      <c r="C66" s="10"/>
      <c r="D66" s="17"/>
    </row>
    <row r="67" spans="1:4">
      <c r="A67" s="4" t="s">
        <v>177</v>
      </c>
      <c r="B67" s="39">
        <f>$B$14</f>
        <v>0</v>
      </c>
      <c r="C67" s="10"/>
      <c r="D67" s="17"/>
    </row>
    <row r="68" spans="1:4">
      <c r="A68" s="4" t="s">
        <v>212</v>
      </c>
      <c r="B68" s="10"/>
      <c r="C68" s="10"/>
      <c r="D68" s="17"/>
    </row>
    <row r="69" spans="1:4">
      <c r="A69" s="4" t="s">
        <v>178</v>
      </c>
      <c r="B69" s="39">
        <f>$B$15</f>
        <v>0</v>
      </c>
      <c r="C69" s="10"/>
      <c r="D69" s="17"/>
    </row>
    <row r="70" spans="1:4">
      <c r="A70" s="4" t="s">
        <v>179</v>
      </c>
      <c r="B70" s="39">
        <f>$B$16</f>
        <v>0</v>
      </c>
      <c r="C70" s="10"/>
      <c r="D70" s="17"/>
    </row>
    <row r="71" spans="1:4">
      <c r="A71" s="4" t="s">
        <v>180</v>
      </c>
      <c r="B71" s="39">
        <f>$B$17</f>
        <v>0</v>
      </c>
      <c r="C71" s="10"/>
      <c r="D71" s="17"/>
    </row>
    <row r="72" spans="1:4">
      <c r="A72" s="4" t="s">
        <v>181</v>
      </c>
      <c r="B72" s="39">
        <f>$B$18</f>
        <v>0</v>
      </c>
      <c r="C72" s="10"/>
      <c r="D72" s="17"/>
    </row>
    <row r="73" spans="1:4">
      <c r="A73" s="4" t="s">
        <v>193</v>
      </c>
      <c r="B73" s="10"/>
      <c r="C73" s="39">
        <f>$B$52</f>
        <v>0</v>
      </c>
      <c r="D73" s="17"/>
    </row>
    <row r="74" spans="1:4">
      <c r="A74" s="4" t="s">
        <v>213</v>
      </c>
      <c r="B74" s="10"/>
      <c r="C74" s="10"/>
      <c r="D74" s="17"/>
    </row>
    <row r="75" spans="1:4">
      <c r="A75" s="4" t="s">
        <v>214</v>
      </c>
      <c r="B75" s="10"/>
      <c r="C75" s="10"/>
      <c r="D75" s="17"/>
    </row>
    <row r="76" spans="1:4">
      <c r="A76" s="4" t="s">
        <v>215</v>
      </c>
      <c r="B76" s="10"/>
      <c r="C76" s="10"/>
      <c r="D76" s="17"/>
    </row>
    <row r="77" spans="1:4">
      <c r="A77" s="4" t="s">
        <v>216</v>
      </c>
      <c r="B77" s="10"/>
      <c r="C77" s="10"/>
      <c r="D77" s="17"/>
    </row>
    <row r="78" spans="1:4">
      <c r="A78" s="4" t="s">
        <v>217</v>
      </c>
      <c r="B78" s="10"/>
      <c r="C78" s="10"/>
      <c r="D78" s="17"/>
    </row>
    <row r="79" spans="1:4">
      <c r="A79" s="4" t="s">
        <v>182</v>
      </c>
      <c r="B79" s="39">
        <f>$B$19</f>
        <v>0</v>
      </c>
      <c r="C79" s="10"/>
      <c r="D79" s="17"/>
    </row>
    <row r="80" spans="1:4">
      <c r="A80" s="4" t="s">
        <v>183</v>
      </c>
      <c r="B80" s="39">
        <f>$B$20</f>
        <v>0</v>
      </c>
      <c r="C80" s="10"/>
      <c r="D80" s="17"/>
    </row>
    <row r="81" spans="1:4">
      <c r="A81" s="4" t="s">
        <v>184</v>
      </c>
      <c r="B81" s="39">
        <f>$B$21</f>
        <v>0</v>
      </c>
      <c r="C81" s="10"/>
      <c r="D81" s="17"/>
    </row>
    <row r="82" spans="1:4">
      <c r="A82" s="4" t="s">
        <v>185</v>
      </c>
      <c r="B82" s="39">
        <f>$B$22</f>
        <v>0</v>
      </c>
      <c r="C82" s="10"/>
      <c r="D82" s="17"/>
    </row>
    <row r="83" spans="1:4">
      <c r="A83" s="4" t="s">
        <v>186</v>
      </c>
      <c r="B83" s="39">
        <f>$B$23</f>
        <v>0</v>
      </c>
      <c r="C83" s="10"/>
      <c r="D83" s="17"/>
    </row>
    <row r="84" spans="1:4">
      <c r="A84" s="4" t="s">
        <v>187</v>
      </c>
      <c r="B84" s="39">
        <f>$B$24</f>
        <v>0</v>
      </c>
      <c r="C84" s="10"/>
      <c r="D84" s="17"/>
    </row>
    <row r="85" spans="1:4">
      <c r="A85" s="4" t="s">
        <v>194</v>
      </c>
      <c r="B85" s="10"/>
      <c r="C85" s="39">
        <f>$B$53</f>
        <v>0</v>
      </c>
      <c r="D85" s="17"/>
    </row>
    <row r="86" spans="1:4">
      <c r="A86" s="4" t="s">
        <v>195</v>
      </c>
      <c r="B86" s="10"/>
      <c r="C86" s="39">
        <f>$B$54</f>
        <v>0</v>
      </c>
      <c r="D86" s="17"/>
    </row>
    <row r="88" spans="1:4" ht="21" customHeight="1">
      <c r="A88" s="1" t="s">
        <v>479</v>
      </c>
    </row>
    <row r="89" spans="1:4">
      <c r="A89" s="2" t="s">
        <v>351</v>
      </c>
    </row>
    <row r="90" spans="1:4">
      <c r="A90" s="33" t="s">
        <v>480</v>
      </c>
    </row>
    <row r="91" spans="1:4">
      <c r="A91" s="33" t="s">
        <v>481</v>
      </c>
    </row>
    <row r="92" spans="1:4">
      <c r="A92" s="33" t="s">
        <v>448</v>
      </c>
    </row>
    <row r="93" spans="1:4">
      <c r="A93" s="33" t="s">
        <v>482</v>
      </c>
    </row>
    <row r="94" spans="1:4">
      <c r="A94" s="33" t="s">
        <v>483</v>
      </c>
    </row>
    <row r="95" spans="1:4">
      <c r="A95" s="34" t="s">
        <v>354</v>
      </c>
      <c r="B95" s="34" t="s">
        <v>484</v>
      </c>
      <c r="C95" s="34"/>
      <c r="D95" s="34" t="s">
        <v>485</v>
      </c>
    </row>
    <row r="96" spans="1:4">
      <c r="A96" s="34" t="s">
        <v>357</v>
      </c>
      <c r="B96" s="34" t="s">
        <v>486</v>
      </c>
      <c r="C96" s="34"/>
      <c r="D96" s="34" t="s">
        <v>487</v>
      </c>
    </row>
    <row r="98" spans="1:5">
      <c r="B98" s="31" t="s">
        <v>488</v>
      </c>
      <c r="C98" s="31"/>
    </row>
    <row r="99" spans="1:5">
      <c r="B99" s="15" t="s">
        <v>463</v>
      </c>
      <c r="C99" s="15" t="s">
        <v>475</v>
      </c>
      <c r="D99" s="15" t="s">
        <v>489</v>
      </c>
    </row>
    <row r="100" spans="1:5">
      <c r="A100" s="4" t="s">
        <v>174</v>
      </c>
      <c r="B100" s="38">
        <f>100/'Input'!$F$58*B63*'DRM'!$B$12*'Input'!$D$58</f>
        <v>0</v>
      </c>
      <c r="C100" s="38">
        <f>100/'Input'!$F$58*C63*'DRM'!$B$12*'Input'!$D$58</f>
        <v>0</v>
      </c>
      <c r="D100" s="38">
        <f>SUM($B100:$C100)</f>
        <v>0</v>
      </c>
      <c r="E100" s="17"/>
    </row>
    <row r="101" spans="1:5">
      <c r="A101" s="4" t="s">
        <v>175</v>
      </c>
      <c r="B101" s="38">
        <f>100/'Input'!$F$58*B64*'DRM'!$B$12*'Input'!$D$58</f>
        <v>0</v>
      </c>
      <c r="C101" s="38">
        <f>100/'Input'!$F$58*C64*'DRM'!$B$12*'Input'!$D$58</f>
        <v>0</v>
      </c>
      <c r="D101" s="38">
        <f>SUM($B101:$C101)</f>
        <v>0</v>
      </c>
      <c r="E101" s="17"/>
    </row>
    <row r="102" spans="1:5">
      <c r="A102" s="4" t="s">
        <v>211</v>
      </c>
      <c r="B102" s="38">
        <f>100/'Input'!$F$58*B65*'DRM'!$B$12*'Input'!$D$58</f>
        <v>0</v>
      </c>
      <c r="C102" s="38">
        <f>100/'Input'!$F$58*C65*'DRM'!$B$12*'Input'!$D$58</f>
        <v>0</v>
      </c>
      <c r="D102" s="38">
        <f>SUM($B102:$C102)</f>
        <v>0</v>
      </c>
      <c r="E102" s="17"/>
    </row>
    <row r="103" spans="1:5">
      <c r="A103" s="4" t="s">
        <v>176</v>
      </c>
      <c r="B103" s="38">
        <f>100/'Input'!$F$58*B66*'DRM'!$B$12*'Input'!$D$58</f>
        <v>0</v>
      </c>
      <c r="C103" s="38">
        <f>100/'Input'!$F$58*C66*'DRM'!$B$12*'Input'!$D$58</f>
        <v>0</v>
      </c>
      <c r="D103" s="38">
        <f>SUM($B103:$C103)</f>
        <v>0</v>
      </c>
      <c r="E103" s="17"/>
    </row>
    <row r="104" spans="1:5">
      <c r="A104" s="4" t="s">
        <v>177</v>
      </c>
      <c r="B104" s="38">
        <f>100/'Input'!$F$58*B67*'DRM'!$B$12*'Input'!$D$58</f>
        <v>0</v>
      </c>
      <c r="C104" s="38">
        <f>100/'Input'!$F$58*C67*'DRM'!$B$12*'Input'!$D$58</f>
        <v>0</v>
      </c>
      <c r="D104" s="38">
        <f>SUM($B104:$C104)</f>
        <v>0</v>
      </c>
      <c r="E104" s="17"/>
    </row>
    <row r="105" spans="1:5">
      <c r="A105" s="4" t="s">
        <v>212</v>
      </c>
      <c r="B105" s="38">
        <f>100/'Input'!$F$58*B68*'DRM'!$B$12*'Input'!$D$58</f>
        <v>0</v>
      </c>
      <c r="C105" s="38">
        <f>100/'Input'!$F$58*C68*'DRM'!$B$12*'Input'!$D$58</f>
        <v>0</v>
      </c>
      <c r="D105" s="38">
        <f>SUM($B105:$C105)</f>
        <v>0</v>
      </c>
      <c r="E105" s="17"/>
    </row>
    <row r="106" spans="1:5">
      <c r="A106" s="4" t="s">
        <v>178</v>
      </c>
      <c r="B106" s="38">
        <f>100/'Input'!$F$58*B69*'DRM'!$B$12*'Input'!$D$58</f>
        <v>0</v>
      </c>
      <c r="C106" s="38">
        <f>100/'Input'!$F$58*C69*'DRM'!$B$12*'Input'!$D$58</f>
        <v>0</v>
      </c>
      <c r="D106" s="38">
        <f>SUM($B106:$C106)</f>
        <v>0</v>
      </c>
      <c r="E106" s="17"/>
    </row>
    <row r="107" spans="1:5">
      <c r="A107" s="4" t="s">
        <v>179</v>
      </c>
      <c r="B107" s="38">
        <f>100/'Input'!$F$58*B70*'DRM'!$B$12*'Input'!$D$58</f>
        <v>0</v>
      </c>
      <c r="C107" s="38">
        <f>100/'Input'!$F$58*C70*'DRM'!$B$12*'Input'!$D$58</f>
        <v>0</v>
      </c>
      <c r="D107" s="38">
        <f>SUM($B107:$C107)</f>
        <v>0</v>
      </c>
      <c r="E107" s="17"/>
    </row>
    <row r="108" spans="1:5">
      <c r="A108" s="4" t="s">
        <v>180</v>
      </c>
      <c r="B108" s="38">
        <f>100/'Input'!$F$58*B71*'DRM'!$B$12*'Input'!$D$58</f>
        <v>0</v>
      </c>
      <c r="C108" s="38">
        <f>100/'Input'!$F$58*C71*'DRM'!$B$12*'Input'!$D$58</f>
        <v>0</v>
      </c>
      <c r="D108" s="38">
        <f>SUM($B108:$C108)</f>
        <v>0</v>
      </c>
      <c r="E108" s="17"/>
    </row>
    <row r="109" spans="1:5">
      <c r="A109" s="4" t="s">
        <v>181</v>
      </c>
      <c r="B109" s="38">
        <f>100/'Input'!$F$58*B72*'DRM'!$B$12*'Input'!$D$58</f>
        <v>0</v>
      </c>
      <c r="C109" s="38">
        <f>100/'Input'!$F$58*C72*'DRM'!$B$12*'Input'!$D$58</f>
        <v>0</v>
      </c>
      <c r="D109" s="38">
        <f>SUM($B109:$C109)</f>
        <v>0</v>
      </c>
      <c r="E109" s="17"/>
    </row>
    <row r="110" spans="1:5">
      <c r="A110" s="4" t="s">
        <v>193</v>
      </c>
      <c r="B110" s="38">
        <f>100/'Input'!$F$58*B73*'DRM'!$B$12*'Input'!$D$58</f>
        <v>0</v>
      </c>
      <c r="C110" s="38">
        <f>100/'Input'!$F$58*C73*'DRM'!$B$12*'Input'!$D$58</f>
        <v>0</v>
      </c>
      <c r="D110" s="38">
        <f>SUM($B110:$C110)</f>
        <v>0</v>
      </c>
      <c r="E110" s="17"/>
    </row>
    <row r="111" spans="1:5">
      <c r="A111" s="4" t="s">
        <v>213</v>
      </c>
      <c r="B111" s="38">
        <f>100/'Input'!$F$58*B74*'DRM'!$B$12*'Input'!$D$58</f>
        <v>0</v>
      </c>
      <c r="C111" s="38">
        <f>100/'Input'!$F$58*C74*'DRM'!$B$12*'Input'!$D$58</f>
        <v>0</v>
      </c>
      <c r="D111" s="38">
        <f>SUM($B111:$C111)</f>
        <v>0</v>
      </c>
      <c r="E111" s="17"/>
    </row>
    <row r="112" spans="1:5">
      <c r="A112" s="4" t="s">
        <v>214</v>
      </c>
      <c r="B112" s="38">
        <f>100/'Input'!$F$58*B75*'DRM'!$B$12*'Input'!$D$58</f>
        <v>0</v>
      </c>
      <c r="C112" s="38">
        <f>100/'Input'!$F$58*C75*'DRM'!$B$12*'Input'!$D$58</f>
        <v>0</v>
      </c>
      <c r="D112" s="38">
        <f>SUM($B112:$C112)</f>
        <v>0</v>
      </c>
      <c r="E112" s="17"/>
    </row>
    <row r="113" spans="1:5">
      <c r="A113" s="4" t="s">
        <v>215</v>
      </c>
      <c r="B113" s="38">
        <f>100/'Input'!$F$58*B76*'DRM'!$B$12*'Input'!$D$58</f>
        <v>0</v>
      </c>
      <c r="C113" s="38">
        <f>100/'Input'!$F$58*C76*'DRM'!$B$12*'Input'!$D$58</f>
        <v>0</v>
      </c>
      <c r="D113" s="38">
        <f>SUM($B113:$C113)</f>
        <v>0</v>
      </c>
      <c r="E113" s="17"/>
    </row>
    <row r="114" spans="1:5">
      <c r="A114" s="4" t="s">
        <v>216</v>
      </c>
      <c r="B114" s="38">
        <f>100/'Input'!$F$58*B77*'DRM'!$B$12*'Input'!$D$58</f>
        <v>0</v>
      </c>
      <c r="C114" s="38">
        <f>100/'Input'!$F$58*C77*'DRM'!$B$12*'Input'!$D$58</f>
        <v>0</v>
      </c>
      <c r="D114" s="38">
        <f>SUM($B114:$C114)</f>
        <v>0</v>
      </c>
      <c r="E114" s="17"/>
    </row>
    <row r="115" spans="1:5">
      <c r="A115" s="4" t="s">
        <v>217</v>
      </c>
      <c r="B115" s="38">
        <f>100/'Input'!$F$58*B78*'DRM'!$B$12*'Input'!$D$58</f>
        <v>0</v>
      </c>
      <c r="C115" s="38">
        <f>100/'Input'!$F$58*C78*'DRM'!$B$12*'Input'!$D$58</f>
        <v>0</v>
      </c>
      <c r="D115" s="38">
        <f>SUM($B115:$C115)</f>
        <v>0</v>
      </c>
      <c r="E115" s="17"/>
    </row>
    <row r="116" spans="1:5">
      <c r="A116" s="4" t="s">
        <v>182</v>
      </c>
      <c r="B116" s="38">
        <f>100/'Input'!$F$58*B79*'DRM'!$B$12*'Input'!$D$58</f>
        <v>0</v>
      </c>
      <c r="C116" s="38">
        <f>100/'Input'!$F$58*C79*'DRM'!$B$12*'Input'!$D$58</f>
        <v>0</v>
      </c>
      <c r="D116" s="38">
        <f>SUM($B116:$C116)</f>
        <v>0</v>
      </c>
      <c r="E116" s="17"/>
    </row>
    <row r="117" spans="1:5">
      <c r="A117" s="4" t="s">
        <v>183</v>
      </c>
      <c r="B117" s="38">
        <f>100/'Input'!$F$58*B80*'DRM'!$B$12*'Input'!$D$58</f>
        <v>0</v>
      </c>
      <c r="C117" s="38">
        <f>100/'Input'!$F$58*C80*'DRM'!$B$12*'Input'!$D$58</f>
        <v>0</v>
      </c>
      <c r="D117" s="38">
        <f>SUM($B117:$C117)</f>
        <v>0</v>
      </c>
      <c r="E117" s="17"/>
    </row>
    <row r="118" spans="1:5">
      <c r="A118" s="4" t="s">
        <v>184</v>
      </c>
      <c r="B118" s="38">
        <f>100/'Input'!$F$58*B81*'DRM'!$B$12*'Input'!$D$58</f>
        <v>0</v>
      </c>
      <c r="C118" s="38">
        <f>100/'Input'!$F$58*C81*'DRM'!$B$12*'Input'!$D$58</f>
        <v>0</v>
      </c>
      <c r="D118" s="38">
        <f>SUM($B118:$C118)</f>
        <v>0</v>
      </c>
      <c r="E118" s="17"/>
    </row>
    <row r="119" spans="1:5">
      <c r="A119" s="4" t="s">
        <v>185</v>
      </c>
      <c r="B119" s="38">
        <f>100/'Input'!$F$58*B82*'DRM'!$B$12*'Input'!$D$58</f>
        <v>0</v>
      </c>
      <c r="C119" s="38">
        <f>100/'Input'!$F$58*C82*'DRM'!$B$12*'Input'!$D$58</f>
        <v>0</v>
      </c>
      <c r="D119" s="38">
        <f>SUM($B119:$C119)</f>
        <v>0</v>
      </c>
      <c r="E119" s="17"/>
    </row>
    <row r="120" spans="1:5">
      <c r="A120" s="4" t="s">
        <v>186</v>
      </c>
      <c r="B120" s="38">
        <f>100/'Input'!$F$58*B83*'DRM'!$B$12*'Input'!$D$58</f>
        <v>0</v>
      </c>
      <c r="C120" s="38">
        <f>100/'Input'!$F$58*C83*'DRM'!$B$12*'Input'!$D$58</f>
        <v>0</v>
      </c>
      <c r="D120" s="38">
        <f>SUM($B120:$C120)</f>
        <v>0</v>
      </c>
      <c r="E120" s="17"/>
    </row>
    <row r="121" spans="1:5">
      <c r="A121" s="4" t="s">
        <v>187</v>
      </c>
      <c r="B121" s="38">
        <f>100/'Input'!$F$58*B84*'DRM'!$B$12*'Input'!$D$58</f>
        <v>0</v>
      </c>
      <c r="C121" s="38">
        <f>100/'Input'!$F$58*C84*'DRM'!$B$12*'Input'!$D$58</f>
        <v>0</v>
      </c>
      <c r="D121" s="38">
        <f>SUM($B121:$C121)</f>
        <v>0</v>
      </c>
      <c r="E121" s="17"/>
    </row>
    <row r="122" spans="1:5">
      <c r="A122" s="4" t="s">
        <v>194</v>
      </c>
      <c r="B122" s="38">
        <f>100/'Input'!$F$58*B85*'DRM'!$B$12*'Input'!$D$58</f>
        <v>0</v>
      </c>
      <c r="C122" s="38">
        <f>100/'Input'!$F$58*C85*'DRM'!$B$12*'Input'!$D$58</f>
        <v>0</v>
      </c>
      <c r="D122" s="38">
        <f>SUM($B122:$C122)</f>
        <v>0</v>
      </c>
      <c r="E122" s="17"/>
    </row>
    <row r="123" spans="1:5">
      <c r="A123" s="4" t="s">
        <v>195</v>
      </c>
      <c r="B123" s="38">
        <f>100/'Input'!$F$58*B86*'DRM'!$B$12*'Input'!$D$58</f>
        <v>0</v>
      </c>
      <c r="C123" s="38">
        <f>100/'Input'!$F$58*C86*'DRM'!$B$12*'Input'!$D$58</f>
        <v>0</v>
      </c>
      <c r="D123" s="38">
        <f>SUM($B123:$C123)</f>
        <v>0</v>
      </c>
      <c r="E123" s="17"/>
    </row>
  </sheetData>
  <sheetProtection sheet="1" objects="1" scenarios="1"/>
  <hyperlinks>
    <hyperlink ref="A6" location="'Input'!B111" display="x1 = 1025. Matrix of applicability of LV service models to tariffs with fixed charges"/>
    <hyperlink ref="A7" location="'Input'!B101" display="x2 = 1022. LV service model asset cost (£)"/>
    <hyperlink ref="A28" location="'Input'!B131" display="x1 = 1026. Matrix of applicability of LV service models to unmetered tariffs"/>
    <hyperlink ref="A29" location="'Input'!B101" display="x2 = 1022. LV service model asset cost (£)"/>
    <hyperlink ref="A37" location="'Input'!D57" display="x1 = 1010. Annuity proportion for customer-contributed assets (in Financial and general assumptions)"/>
    <hyperlink ref="A38" location="'SM'!B32" display="x2 = 2202. LV unmetered service model assets £/(MWh/year)"/>
    <hyperlink ref="A39" location="'DRM'!B11" display="x3 = 2101. Annuity rate"/>
    <hyperlink ref="A47" location="'Input'!B136" display="x1 = 1028. Matrix of applicability of HV service models to tariffs with fixed charges"/>
    <hyperlink ref="A48" location="'Input'!B106" display="x2 = 1023. HV service model asset cost (£)"/>
    <hyperlink ref="A58" location="'SM'!B10" display="x1 = 2201. Asset £/customer from LV service models"/>
    <hyperlink ref="A59" location="'SM'!B51" display="x2 = 2204. Asset £/customer from HV service models"/>
    <hyperlink ref="A90" location="'Input'!F57" display="x1 = 1010. Days in the charging year (in Financial and general assumptions)"/>
    <hyperlink ref="A91" location="'SM'!B62" display="x2 = 2205. Service model assets by tariff (£)"/>
    <hyperlink ref="A92" location="'DRM'!B11" display="x3 = 2101. Annuity rate"/>
    <hyperlink ref="A93" location="'Input'!D57" display="x4 = 1010. Annuity proportion for customer-contributed assets (in Financial and general assumptions)"/>
    <hyperlink ref="A94" location="'SM'!B99" display="x5 = Service model p/MPAN/day charge (in Replacement annuities for service model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"Load characteristics for "&amp;'Input'!B7&amp;" in "&amp;'Input'!C7&amp;" ("&amp;'Input'!D7&amp;")"</f>
        <v>0</v>
      </c>
    </row>
    <row r="2" spans="1:1">
      <c r="A2" s="2" t="s">
        <v>490</v>
      </c>
    </row>
    <row r="3" spans="1:1">
      <c r="A3" s="2"/>
    </row>
    <row r="4" spans="1:1">
      <c r="A4" s="2" t="s">
        <v>491</v>
      </c>
    </row>
    <row r="5" spans="1:1">
      <c r="A5" s="2" t="s">
        <v>492</v>
      </c>
    </row>
    <row r="6" spans="1:1">
      <c r="A6" s="2"/>
    </row>
    <row r="7" spans="1:1">
      <c r="A7" s="2" t="s">
        <v>493</v>
      </c>
    </row>
    <row r="8" spans="1:1">
      <c r="A8" s="2" t="s">
        <v>494</v>
      </c>
    </row>
    <row r="9" spans="1:1">
      <c r="A9" s="2" t="s">
        <v>495</v>
      </c>
    </row>
    <row r="10" spans="1:1">
      <c r="A10" s="2" t="s">
        <v>496</v>
      </c>
    </row>
    <row r="12" spans="1:1" ht="21" customHeight="1">
      <c r="A12" s="1" t="s">
        <v>497</v>
      </c>
    </row>
    <row r="13" spans="1:1">
      <c r="A13" s="2" t="s">
        <v>351</v>
      </c>
    </row>
    <row r="14" spans="1:1">
      <c r="A14" s="33" t="s">
        <v>498</v>
      </c>
    </row>
    <row r="15" spans="1:1">
      <c r="A15" s="33" t="s">
        <v>499</v>
      </c>
    </row>
    <row r="16" spans="1:1">
      <c r="A16" s="2" t="s">
        <v>431</v>
      </c>
    </row>
    <row r="18" spans="1:3">
      <c r="B18" s="15" t="s">
        <v>500</v>
      </c>
    </row>
    <row r="19" spans="1:3">
      <c r="A19" s="4" t="s">
        <v>174</v>
      </c>
      <c r="B19" s="38">
        <f>'Input'!B157/'Input'!C157</f>
        <v>0</v>
      </c>
      <c r="C19" s="17"/>
    </row>
    <row r="20" spans="1:3">
      <c r="A20" s="4" t="s">
        <v>175</v>
      </c>
      <c r="B20" s="38">
        <f>'Input'!B158/'Input'!C158</f>
        <v>0</v>
      </c>
      <c r="C20" s="17"/>
    </row>
    <row r="21" spans="1:3">
      <c r="A21" s="4" t="s">
        <v>211</v>
      </c>
      <c r="B21" s="38">
        <f>'Input'!B159/'Input'!C159</f>
        <v>0</v>
      </c>
      <c r="C21" s="17"/>
    </row>
    <row r="22" spans="1:3">
      <c r="A22" s="4" t="s">
        <v>176</v>
      </c>
      <c r="B22" s="38">
        <f>'Input'!B160/'Input'!C160</f>
        <v>0</v>
      </c>
      <c r="C22" s="17"/>
    </row>
    <row r="23" spans="1:3">
      <c r="A23" s="4" t="s">
        <v>177</v>
      </c>
      <c r="B23" s="38">
        <f>'Input'!B161/'Input'!C161</f>
        <v>0</v>
      </c>
      <c r="C23" s="17"/>
    </row>
    <row r="24" spans="1:3">
      <c r="A24" s="4" t="s">
        <v>212</v>
      </c>
      <c r="B24" s="38">
        <f>'Input'!B162/'Input'!C162</f>
        <v>0</v>
      </c>
      <c r="C24" s="17"/>
    </row>
    <row r="25" spans="1:3">
      <c r="A25" s="4" t="s">
        <v>178</v>
      </c>
      <c r="B25" s="38">
        <f>'Input'!B163/'Input'!C163</f>
        <v>0</v>
      </c>
      <c r="C25" s="17"/>
    </row>
    <row r="26" spans="1:3">
      <c r="A26" s="4" t="s">
        <v>179</v>
      </c>
      <c r="B26" s="38">
        <f>'Input'!B164/'Input'!C164</f>
        <v>0</v>
      </c>
      <c r="C26" s="17"/>
    </row>
    <row r="27" spans="1:3">
      <c r="A27" s="4" t="s">
        <v>180</v>
      </c>
      <c r="B27" s="38">
        <f>'Input'!B165/'Input'!C165</f>
        <v>0</v>
      </c>
      <c r="C27" s="17"/>
    </row>
    <row r="28" spans="1:3">
      <c r="A28" s="4" t="s">
        <v>181</v>
      </c>
      <c r="B28" s="38">
        <f>'Input'!B166/'Input'!C166</f>
        <v>0</v>
      </c>
      <c r="C28" s="17"/>
    </row>
    <row r="29" spans="1:3">
      <c r="A29" s="4" t="s">
        <v>193</v>
      </c>
      <c r="B29" s="38">
        <f>'Input'!B167/'Input'!C167</f>
        <v>0</v>
      </c>
      <c r="C29" s="17"/>
    </row>
    <row r="30" spans="1:3">
      <c r="A30" s="4" t="s">
        <v>213</v>
      </c>
      <c r="B30" s="38">
        <f>'Input'!B168/'Input'!C168</f>
        <v>0</v>
      </c>
      <c r="C30" s="17"/>
    </row>
    <row r="31" spans="1:3">
      <c r="A31" s="4" t="s">
        <v>214</v>
      </c>
      <c r="B31" s="38">
        <f>'Input'!B169/'Input'!C169</f>
        <v>0</v>
      </c>
      <c r="C31" s="17"/>
    </row>
    <row r="32" spans="1:3">
      <c r="A32" s="4" t="s">
        <v>215</v>
      </c>
      <c r="B32" s="38">
        <f>'Input'!B170/'Input'!C170</f>
        <v>0</v>
      </c>
      <c r="C32" s="17"/>
    </row>
    <row r="33" spans="1:3">
      <c r="A33" s="4" t="s">
        <v>216</v>
      </c>
      <c r="B33" s="38">
        <f>'Input'!B171/'Input'!C171</f>
        <v>0</v>
      </c>
      <c r="C33" s="17"/>
    </row>
    <row r="34" spans="1:3">
      <c r="A34" s="4" t="s">
        <v>217</v>
      </c>
      <c r="B34" s="38">
        <f>'Input'!B172/'Input'!C172</f>
        <v>0</v>
      </c>
      <c r="C34" s="17"/>
    </row>
    <row r="36" spans="1:3" ht="21" customHeight="1">
      <c r="A36" s="1" t="s">
        <v>501</v>
      </c>
    </row>
    <row r="37" spans="1:3">
      <c r="A37" s="2" t="s">
        <v>351</v>
      </c>
    </row>
    <row r="38" spans="1:3">
      <c r="A38" s="33" t="s">
        <v>502</v>
      </c>
    </row>
    <row r="39" spans="1:3">
      <c r="A39" s="2" t="s">
        <v>503</v>
      </c>
    </row>
    <row r="40" spans="1:3">
      <c r="A40" s="2" t="s">
        <v>369</v>
      </c>
    </row>
    <row r="42" spans="1:3">
      <c r="B42" s="15" t="s">
        <v>504</v>
      </c>
    </row>
    <row r="43" spans="1:3">
      <c r="A43" s="4" t="s">
        <v>174</v>
      </c>
      <c r="B43" s="39">
        <f>B$19</f>
        <v>0</v>
      </c>
      <c r="C43" s="17"/>
    </row>
    <row r="44" spans="1:3">
      <c r="A44" s="4" t="s">
        <v>175</v>
      </c>
      <c r="B44" s="39">
        <f>B$20</f>
        <v>0</v>
      </c>
      <c r="C44" s="17"/>
    </row>
    <row r="45" spans="1:3">
      <c r="A45" s="4" t="s">
        <v>211</v>
      </c>
      <c r="B45" s="39">
        <f>B$21</f>
        <v>0</v>
      </c>
      <c r="C45" s="17"/>
    </row>
    <row r="46" spans="1:3">
      <c r="A46" s="4" t="s">
        <v>176</v>
      </c>
      <c r="B46" s="39">
        <f>B$22</f>
        <v>0</v>
      </c>
      <c r="C46" s="17"/>
    </row>
    <row r="47" spans="1:3">
      <c r="A47" s="4" t="s">
        <v>177</v>
      </c>
      <c r="B47" s="39">
        <f>B$23</f>
        <v>0</v>
      </c>
      <c r="C47" s="17"/>
    </row>
    <row r="48" spans="1:3">
      <c r="A48" s="4" t="s">
        <v>212</v>
      </c>
      <c r="B48" s="39">
        <f>B$24</f>
        <v>0</v>
      </c>
      <c r="C48" s="17"/>
    </row>
    <row r="49" spans="1:3">
      <c r="A49" s="4" t="s">
        <v>178</v>
      </c>
      <c r="B49" s="39">
        <f>B$25</f>
        <v>0</v>
      </c>
      <c r="C49" s="17"/>
    </row>
    <row r="50" spans="1:3">
      <c r="A50" s="4" t="s">
        <v>179</v>
      </c>
      <c r="B50" s="39">
        <f>B$26</f>
        <v>0</v>
      </c>
      <c r="C50" s="17"/>
    </row>
    <row r="51" spans="1:3">
      <c r="A51" s="4" t="s">
        <v>180</v>
      </c>
      <c r="B51" s="39">
        <f>B$27</f>
        <v>0</v>
      </c>
      <c r="C51" s="17"/>
    </row>
    <row r="52" spans="1:3">
      <c r="A52" s="4" t="s">
        <v>181</v>
      </c>
      <c r="B52" s="39">
        <f>B$28</f>
        <v>0</v>
      </c>
      <c r="C52" s="17"/>
    </row>
    <row r="53" spans="1:3">
      <c r="A53" s="4" t="s">
        <v>193</v>
      </c>
      <c r="B53" s="39">
        <f>B$29</f>
        <v>0</v>
      </c>
      <c r="C53" s="17"/>
    </row>
    <row r="54" spans="1:3">
      <c r="A54" s="4" t="s">
        <v>213</v>
      </c>
      <c r="B54" s="39">
        <f>B$30</f>
        <v>0</v>
      </c>
      <c r="C54" s="17"/>
    </row>
    <row r="55" spans="1:3">
      <c r="A55" s="4" t="s">
        <v>214</v>
      </c>
      <c r="B55" s="39">
        <f>B$31</f>
        <v>0</v>
      </c>
      <c r="C55" s="17"/>
    </row>
    <row r="56" spans="1:3">
      <c r="A56" s="4" t="s">
        <v>215</v>
      </c>
      <c r="B56" s="39">
        <f>B$32</f>
        <v>0</v>
      </c>
      <c r="C56" s="17"/>
    </row>
    <row r="57" spans="1:3">
      <c r="A57" s="4" t="s">
        <v>216</v>
      </c>
      <c r="B57" s="39">
        <f>B$33</f>
        <v>0</v>
      </c>
      <c r="C57" s="17"/>
    </row>
    <row r="58" spans="1:3">
      <c r="A58" s="4" t="s">
        <v>217</v>
      </c>
      <c r="B58" s="39">
        <f>B$34</f>
        <v>0</v>
      </c>
      <c r="C58" s="17"/>
    </row>
    <row r="59" spans="1:3">
      <c r="A59" s="4" t="s">
        <v>182</v>
      </c>
      <c r="B59" s="28">
        <v>-1</v>
      </c>
      <c r="C59" s="17"/>
    </row>
    <row r="60" spans="1:3">
      <c r="A60" s="4" t="s">
        <v>183</v>
      </c>
      <c r="B60" s="28">
        <v>-1</v>
      </c>
      <c r="C60" s="17"/>
    </row>
    <row r="61" spans="1:3">
      <c r="A61" s="4" t="s">
        <v>184</v>
      </c>
      <c r="B61" s="28">
        <v>-1</v>
      </c>
      <c r="C61" s="17"/>
    </row>
    <row r="62" spans="1:3">
      <c r="A62" s="4" t="s">
        <v>185</v>
      </c>
      <c r="B62" s="28">
        <v>-1</v>
      </c>
      <c r="C62" s="17"/>
    </row>
    <row r="63" spans="1:3">
      <c r="A63" s="4" t="s">
        <v>186</v>
      </c>
      <c r="B63" s="28">
        <v>-1</v>
      </c>
      <c r="C63" s="17"/>
    </row>
    <row r="64" spans="1:3">
      <c r="A64" s="4" t="s">
        <v>187</v>
      </c>
      <c r="B64" s="28">
        <v>-1</v>
      </c>
      <c r="C64" s="17"/>
    </row>
    <row r="65" spans="1:7">
      <c r="A65" s="4" t="s">
        <v>194</v>
      </c>
      <c r="B65" s="28">
        <v>-1</v>
      </c>
      <c r="C65" s="17"/>
    </row>
    <row r="66" spans="1:7">
      <c r="A66" s="4" t="s">
        <v>195</v>
      </c>
      <c r="B66" s="28">
        <v>-1</v>
      </c>
      <c r="C66" s="17"/>
    </row>
    <row r="68" spans="1:7" ht="21" customHeight="1">
      <c r="A68" s="1" t="s">
        <v>505</v>
      </c>
    </row>
    <row r="70" spans="1:7">
      <c r="B70" s="15" t="s">
        <v>201</v>
      </c>
      <c r="C70" s="15" t="s">
        <v>202</v>
      </c>
      <c r="D70" s="15" t="s">
        <v>203</v>
      </c>
      <c r="E70" s="15" t="s">
        <v>204</v>
      </c>
      <c r="F70" s="15" t="s">
        <v>205</v>
      </c>
    </row>
    <row r="71" spans="1:7">
      <c r="A71" s="29" t="s">
        <v>228</v>
      </c>
      <c r="G71" s="17"/>
    </row>
    <row r="72" spans="1:7">
      <c r="A72" s="4" t="s">
        <v>174</v>
      </c>
      <c r="B72" s="37">
        <v>1</v>
      </c>
      <c r="C72" s="37">
        <v>0</v>
      </c>
      <c r="D72" s="37">
        <v>0</v>
      </c>
      <c r="E72" s="37">
        <v>0</v>
      </c>
      <c r="F72" s="37">
        <v>0</v>
      </c>
      <c r="G72" s="17"/>
    </row>
    <row r="73" spans="1:7">
      <c r="A73" s="4" t="s">
        <v>229</v>
      </c>
      <c r="B73" s="37">
        <v>0</v>
      </c>
      <c r="C73" s="37">
        <v>1</v>
      </c>
      <c r="D73" s="37">
        <v>0</v>
      </c>
      <c r="E73" s="37">
        <v>0</v>
      </c>
      <c r="F73" s="37">
        <v>0</v>
      </c>
      <c r="G73" s="17"/>
    </row>
    <row r="74" spans="1:7">
      <c r="A74" s="4" t="s">
        <v>230</v>
      </c>
      <c r="B74" s="37">
        <v>0</v>
      </c>
      <c r="C74" s="37">
        <v>0</v>
      </c>
      <c r="D74" s="37">
        <v>1</v>
      </c>
      <c r="E74" s="37">
        <v>0</v>
      </c>
      <c r="F74" s="37">
        <v>0</v>
      </c>
      <c r="G74" s="17"/>
    </row>
    <row r="75" spans="1:7">
      <c r="A75" s="29" t="s">
        <v>231</v>
      </c>
      <c r="G75" s="17"/>
    </row>
    <row r="76" spans="1:7">
      <c r="A76" s="4" t="s">
        <v>175</v>
      </c>
      <c r="B76" s="37">
        <v>1</v>
      </c>
      <c r="C76" s="37">
        <v>0</v>
      </c>
      <c r="D76" s="37">
        <v>0</v>
      </c>
      <c r="E76" s="37">
        <v>0</v>
      </c>
      <c r="F76" s="37">
        <v>0</v>
      </c>
      <c r="G76" s="17"/>
    </row>
    <row r="77" spans="1:7">
      <c r="A77" s="4" t="s">
        <v>232</v>
      </c>
      <c r="B77" s="37">
        <v>0</v>
      </c>
      <c r="C77" s="37">
        <v>1</v>
      </c>
      <c r="D77" s="37">
        <v>0</v>
      </c>
      <c r="E77" s="37">
        <v>0</v>
      </c>
      <c r="F77" s="37">
        <v>0</v>
      </c>
      <c r="G77" s="17"/>
    </row>
    <row r="78" spans="1:7">
      <c r="A78" s="4" t="s">
        <v>233</v>
      </c>
      <c r="B78" s="37">
        <v>0</v>
      </c>
      <c r="C78" s="37">
        <v>0</v>
      </c>
      <c r="D78" s="37">
        <v>1</v>
      </c>
      <c r="E78" s="37">
        <v>0</v>
      </c>
      <c r="F78" s="37">
        <v>0</v>
      </c>
      <c r="G78" s="17"/>
    </row>
    <row r="79" spans="1:7">
      <c r="A79" s="29" t="s">
        <v>234</v>
      </c>
      <c r="G79" s="17"/>
    </row>
    <row r="80" spans="1:7">
      <c r="A80" s="4" t="s">
        <v>211</v>
      </c>
      <c r="B80" s="37">
        <v>1</v>
      </c>
      <c r="C80" s="37">
        <v>0</v>
      </c>
      <c r="D80" s="37">
        <v>0</v>
      </c>
      <c r="E80" s="37">
        <v>0</v>
      </c>
      <c r="F80" s="37">
        <v>0</v>
      </c>
      <c r="G80" s="17"/>
    </row>
    <row r="81" spans="1:7">
      <c r="A81" s="4" t="s">
        <v>235</v>
      </c>
      <c r="B81" s="37">
        <v>0</v>
      </c>
      <c r="C81" s="37">
        <v>1</v>
      </c>
      <c r="D81" s="37">
        <v>0</v>
      </c>
      <c r="E81" s="37">
        <v>0</v>
      </c>
      <c r="F81" s="37">
        <v>0</v>
      </c>
      <c r="G81" s="17"/>
    </row>
    <row r="82" spans="1:7">
      <c r="A82" s="4" t="s">
        <v>236</v>
      </c>
      <c r="B82" s="37">
        <v>0</v>
      </c>
      <c r="C82" s="37">
        <v>0</v>
      </c>
      <c r="D82" s="37">
        <v>1</v>
      </c>
      <c r="E82" s="37">
        <v>0</v>
      </c>
      <c r="F82" s="37">
        <v>0</v>
      </c>
      <c r="G82" s="17"/>
    </row>
    <row r="83" spans="1:7">
      <c r="A83" s="29" t="s">
        <v>237</v>
      </c>
      <c r="G83" s="17"/>
    </row>
    <row r="84" spans="1:7">
      <c r="A84" s="4" t="s">
        <v>176</v>
      </c>
      <c r="B84" s="37">
        <v>1</v>
      </c>
      <c r="C84" s="37">
        <v>0</v>
      </c>
      <c r="D84" s="37">
        <v>0</v>
      </c>
      <c r="E84" s="37">
        <v>0</v>
      </c>
      <c r="F84" s="37">
        <v>0</v>
      </c>
      <c r="G84" s="17"/>
    </row>
    <row r="85" spans="1:7">
      <c r="A85" s="4" t="s">
        <v>238</v>
      </c>
      <c r="B85" s="37">
        <v>0</v>
      </c>
      <c r="C85" s="37">
        <v>1</v>
      </c>
      <c r="D85" s="37">
        <v>0</v>
      </c>
      <c r="E85" s="37">
        <v>0</v>
      </c>
      <c r="F85" s="37">
        <v>0</v>
      </c>
      <c r="G85" s="17"/>
    </row>
    <row r="86" spans="1:7">
      <c r="A86" s="4" t="s">
        <v>239</v>
      </c>
      <c r="B86" s="37">
        <v>0</v>
      </c>
      <c r="C86" s="37">
        <v>0</v>
      </c>
      <c r="D86" s="37">
        <v>1</v>
      </c>
      <c r="E86" s="37">
        <v>0</v>
      </c>
      <c r="F86" s="37">
        <v>0</v>
      </c>
      <c r="G86" s="17"/>
    </row>
    <row r="87" spans="1:7">
      <c r="A87" s="29" t="s">
        <v>240</v>
      </c>
      <c r="G87" s="17"/>
    </row>
    <row r="88" spans="1:7">
      <c r="A88" s="4" t="s">
        <v>177</v>
      </c>
      <c r="B88" s="37">
        <v>1</v>
      </c>
      <c r="C88" s="37">
        <v>0</v>
      </c>
      <c r="D88" s="37">
        <v>0</v>
      </c>
      <c r="E88" s="37">
        <v>0</v>
      </c>
      <c r="F88" s="37">
        <v>0</v>
      </c>
      <c r="G88" s="17"/>
    </row>
    <row r="89" spans="1:7">
      <c r="A89" s="4" t="s">
        <v>241</v>
      </c>
      <c r="B89" s="37">
        <v>0</v>
      </c>
      <c r="C89" s="37">
        <v>1</v>
      </c>
      <c r="D89" s="37">
        <v>0</v>
      </c>
      <c r="E89" s="37">
        <v>0</v>
      </c>
      <c r="F89" s="37">
        <v>0</v>
      </c>
      <c r="G89" s="17"/>
    </row>
    <row r="90" spans="1:7">
      <c r="A90" s="4" t="s">
        <v>242</v>
      </c>
      <c r="B90" s="37">
        <v>0</v>
      </c>
      <c r="C90" s="37">
        <v>0</v>
      </c>
      <c r="D90" s="37">
        <v>1</v>
      </c>
      <c r="E90" s="37">
        <v>0</v>
      </c>
      <c r="F90" s="37">
        <v>0</v>
      </c>
      <c r="G90" s="17"/>
    </row>
    <row r="91" spans="1:7">
      <c r="A91" s="29" t="s">
        <v>243</v>
      </c>
      <c r="G91" s="17"/>
    </row>
    <row r="92" spans="1:7">
      <c r="A92" s="4" t="s">
        <v>212</v>
      </c>
      <c r="B92" s="37">
        <v>1</v>
      </c>
      <c r="C92" s="37">
        <v>0</v>
      </c>
      <c r="D92" s="37">
        <v>0</v>
      </c>
      <c r="E92" s="37">
        <v>0</v>
      </c>
      <c r="F92" s="37">
        <v>0</v>
      </c>
      <c r="G92" s="17"/>
    </row>
    <row r="93" spans="1:7">
      <c r="A93" s="4" t="s">
        <v>244</v>
      </c>
      <c r="B93" s="37">
        <v>0</v>
      </c>
      <c r="C93" s="37">
        <v>1</v>
      </c>
      <c r="D93" s="37">
        <v>0</v>
      </c>
      <c r="E93" s="37">
        <v>0</v>
      </c>
      <c r="F93" s="37">
        <v>0</v>
      </c>
      <c r="G93" s="17"/>
    </row>
    <row r="94" spans="1:7">
      <c r="A94" s="4" t="s">
        <v>245</v>
      </c>
      <c r="B94" s="37">
        <v>0</v>
      </c>
      <c r="C94" s="37">
        <v>0</v>
      </c>
      <c r="D94" s="37">
        <v>1</v>
      </c>
      <c r="E94" s="37">
        <v>0</v>
      </c>
      <c r="F94" s="37">
        <v>0</v>
      </c>
      <c r="G94" s="17"/>
    </row>
    <row r="95" spans="1:7">
      <c r="A95" s="29" t="s">
        <v>246</v>
      </c>
      <c r="G95" s="17"/>
    </row>
    <row r="96" spans="1:7">
      <c r="A96" s="4" t="s">
        <v>178</v>
      </c>
      <c r="B96" s="37">
        <v>1</v>
      </c>
      <c r="C96" s="37">
        <v>0</v>
      </c>
      <c r="D96" s="37">
        <v>0</v>
      </c>
      <c r="E96" s="37">
        <v>0</v>
      </c>
      <c r="F96" s="37">
        <v>0</v>
      </c>
      <c r="G96" s="17"/>
    </row>
    <row r="97" spans="1:7">
      <c r="A97" s="4" t="s">
        <v>247</v>
      </c>
      <c r="B97" s="37">
        <v>0</v>
      </c>
      <c r="C97" s="37">
        <v>1</v>
      </c>
      <c r="D97" s="37">
        <v>0</v>
      </c>
      <c r="E97" s="37">
        <v>0</v>
      </c>
      <c r="F97" s="37">
        <v>0</v>
      </c>
      <c r="G97" s="17"/>
    </row>
    <row r="98" spans="1:7">
      <c r="A98" s="4" t="s">
        <v>248</v>
      </c>
      <c r="B98" s="37">
        <v>0</v>
      </c>
      <c r="C98" s="37">
        <v>0</v>
      </c>
      <c r="D98" s="37">
        <v>1</v>
      </c>
      <c r="E98" s="37">
        <v>0</v>
      </c>
      <c r="F98" s="37">
        <v>0</v>
      </c>
      <c r="G98" s="17"/>
    </row>
    <row r="99" spans="1:7">
      <c r="A99" s="29" t="s">
        <v>249</v>
      </c>
      <c r="G99" s="17"/>
    </row>
    <row r="100" spans="1:7">
      <c r="A100" s="4" t="s">
        <v>179</v>
      </c>
      <c r="B100" s="37">
        <v>1</v>
      </c>
      <c r="C100" s="37">
        <v>0</v>
      </c>
      <c r="D100" s="37">
        <v>0</v>
      </c>
      <c r="E100" s="37">
        <v>0</v>
      </c>
      <c r="F100" s="37">
        <v>0</v>
      </c>
      <c r="G100" s="17"/>
    </row>
    <row r="101" spans="1:7">
      <c r="A101" s="4" t="s">
        <v>250</v>
      </c>
      <c r="B101" s="37">
        <v>0</v>
      </c>
      <c r="C101" s="37">
        <v>1</v>
      </c>
      <c r="D101" s="37">
        <v>0</v>
      </c>
      <c r="E101" s="37">
        <v>0</v>
      </c>
      <c r="F101" s="37">
        <v>0</v>
      </c>
      <c r="G101" s="17"/>
    </row>
    <row r="102" spans="1:7">
      <c r="A102" s="4" t="s">
        <v>251</v>
      </c>
      <c r="B102" s="37">
        <v>0</v>
      </c>
      <c r="C102" s="37">
        <v>0</v>
      </c>
      <c r="D102" s="37">
        <v>1</v>
      </c>
      <c r="E102" s="37">
        <v>0</v>
      </c>
      <c r="F102" s="37">
        <v>0</v>
      </c>
      <c r="G102" s="17"/>
    </row>
    <row r="103" spans="1:7">
      <c r="A103" s="29" t="s">
        <v>252</v>
      </c>
      <c r="G103" s="17"/>
    </row>
    <row r="104" spans="1:7">
      <c r="A104" s="4" t="s">
        <v>180</v>
      </c>
      <c r="B104" s="37">
        <v>1</v>
      </c>
      <c r="C104" s="37">
        <v>0</v>
      </c>
      <c r="D104" s="37">
        <v>0</v>
      </c>
      <c r="E104" s="37">
        <v>0</v>
      </c>
      <c r="F104" s="37">
        <v>0</v>
      </c>
      <c r="G104" s="17"/>
    </row>
    <row r="105" spans="1:7">
      <c r="A105" s="4" t="s">
        <v>253</v>
      </c>
      <c r="B105" s="37">
        <v>0</v>
      </c>
      <c r="C105" s="37">
        <v>1</v>
      </c>
      <c r="D105" s="37">
        <v>0</v>
      </c>
      <c r="E105" s="37">
        <v>0</v>
      </c>
      <c r="F105" s="37">
        <v>0</v>
      </c>
      <c r="G105" s="17"/>
    </row>
    <row r="106" spans="1:7">
      <c r="A106" s="4" t="s">
        <v>254</v>
      </c>
      <c r="B106" s="37">
        <v>0</v>
      </c>
      <c r="C106" s="37">
        <v>0</v>
      </c>
      <c r="D106" s="37">
        <v>1</v>
      </c>
      <c r="E106" s="37">
        <v>0</v>
      </c>
      <c r="F106" s="37">
        <v>0</v>
      </c>
      <c r="G106" s="17"/>
    </row>
    <row r="107" spans="1:7">
      <c r="A107" s="29" t="s">
        <v>255</v>
      </c>
      <c r="G107" s="17"/>
    </row>
    <row r="108" spans="1:7">
      <c r="A108" s="4" t="s">
        <v>181</v>
      </c>
      <c r="B108" s="37">
        <v>1</v>
      </c>
      <c r="C108" s="37">
        <v>0</v>
      </c>
      <c r="D108" s="37">
        <v>0</v>
      </c>
      <c r="E108" s="37">
        <v>0</v>
      </c>
      <c r="F108" s="37">
        <v>0</v>
      </c>
      <c r="G108" s="17"/>
    </row>
    <row r="109" spans="1:7">
      <c r="A109" s="4" t="s">
        <v>256</v>
      </c>
      <c r="B109" s="37">
        <v>0</v>
      </c>
      <c r="C109" s="37">
        <v>0</v>
      </c>
      <c r="D109" s="37">
        <v>0</v>
      </c>
      <c r="E109" s="37">
        <v>1</v>
      </c>
      <c r="F109" s="37">
        <v>0</v>
      </c>
      <c r="G109" s="17"/>
    </row>
    <row r="110" spans="1:7">
      <c r="A110" s="29" t="s">
        <v>257</v>
      </c>
      <c r="G110" s="17"/>
    </row>
    <row r="111" spans="1:7">
      <c r="A111" s="4" t="s">
        <v>193</v>
      </c>
      <c r="B111" s="37">
        <v>1</v>
      </c>
      <c r="C111" s="37">
        <v>0</v>
      </c>
      <c r="D111" s="37">
        <v>0</v>
      </c>
      <c r="E111" s="37">
        <v>0</v>
      </c>
      <c r="F111" s="37">
        <v>0</v>
      </c>
      <c r="G111" s="17"/>
    </row>
    <row r="112" spans="1:7">
      <c r="A112" s="4" t="s">
        <v>258</v>
      </c>
      <c r="B112" s="37">
        <v>0</v>
      </c>
      <c r="C112" s="37">
        <v>0</v>
      </c>
      <c r="D112" s="37">
        <v>0</v>
      </c>
      <c r="E112" s="37">
        <v>0</v>
      </c>
      <c r="F112" s="37">
        <v>1</v>
      </c>
      <c r="G112" s="17"/>
    </row>
    <row r="113" spans="1:7">
      <c r="A113" s="29" t="s">
        <v>259</v>
      </c>
      <c r="G113" s="17"/>
    </row>
    <row r="114" spans="1:7">
      <c r="A114" s="4" t="s">
        <v>213</v>
      </c>
      <c r="B114" s="37">
        <v>1</v>
      </c>
      <c r="C114" s="37">
        <v>0</v>
      </c>
      <c r="D114" s="37">
        <v>0</v>
      </c>
      <c r="E114" s="37">
        <v>0</v>
      </c>
      <c r="F114" s="37">
        <v>0</v>
      </c>
      <c r="G114" s="17"/>
    </row>
    <row r="115" spans="1:7">
      <c r="A115" s="4" t="s">
        <v>260</v>
      </c>
      <c r="B115" s="37">
        <v>0</v>
      </c>
      <c r="C115" s="37">
        <v>1</v>
      </c>
      <c r="D115" s="37">
        <v>0</v>
      </c>
      <c r="E115" s="37">
        <v>0</v>
      </c>
      <c r="F115" s="37">
        <v>0</v>
      </c>
      <c r="G115" s="17"/>
    </row>
    <row r="116" spans="1:7">
      <c r="A116" s="4" t="s">
        <v>261</v>
      </c>
      <c r="B116" s="37">
        <v>0</v>
      </c>
      <c r="C116" s="37">
        <v>0</v>
      </c>
      <c r="D116" s="37">
        <v>1</v>
      </c>
      <c r="E116" s="37">
        <v>0</v>
      </c>
      <c r="F116" s="37">
        <v>0</v>
      </c>
      <c r="G116" s="17"/>
    </row>
    <row r="117" spans="1:7">
      <c r="A117" s="29" t="s">
        <v>262</v>
      </c>
      <c r="G117" s="17"/>
    </row>
    <row r="118" spans="1:7">
      <c r="A118" s="4" t="s">
        <v>214</v>
      </c>
      <c r="B118" s="37">
        <v>1</v>
      </c>
      <c r="C118" s="37">
        <v>0</v>
      </c>
      <c r="D118" s="37">
        <v>0</v>
      </c>
      <c r="E118" s="37">
        <v>0</v>
      </c>
      <c r="F118" s="37">
        <v>0</v>
      </c>
      <c r="G118" s="17"/>
    </row>
    <row r="119" spans="1:7">
      <c r="A119" s="4" t="s">
        <v>263</v>
      </c>
      <c r="B119" s="37">
        <v>0</v>
      </c>
      <c r="C119" s="37">
        <v>1</v>
      </c>
      <c r="D119" s="37">
        <v>0</v>
      </c>
      <c r="E119" s="37">
        <v>0</v>
      </c>
      <c r="F119" s="37">
        <v>0</v>
      </c>
      <c r="G119" s="17"/>
    </row>
    <row r="120" spans="1:7">
      <c r="A120" s="4" t="s">
        <v>264</v>
      </c>
      <c r="B120" s="37">
        <v>0</v>
      </c>
      <c r="C120" s="37">
        <v>0</v>
      </c>
      <c r="D120" s="37">
        <v>1</v>
      </c>
      <c r="E120" s="37">
        <v>0</v>
      </c>
      <c r="F120" s="37">
        <v>0</v>
      </c>
      <c r="G120" s="17"/>
    </row>
    <row r="121" spans="1:7">
      <c r="A121" s="29" t="s">
        <v>265</v>
      </c>
      <c r="G121" s="17"/>
    </row>
    <row r="122" spans="1:7">
      <c r="A122" s="4" t="s">
        <v>215</v>
      </c>
      <c r="B122" s="37">
        <v>1</v>
      </c>
      <c r="C122" s="37">
        <v>0</v>
      </c>
      <c r="D122" s="37">
        <v>0</v>
      </c>
      <c r="E122" s="37">
        <v>0</v>
      </c>
      <c r="F122" s="37">
        <v>0</v>
      </c>
      <c r="G122" s="17"/>
    </row>
    <row r="123" spans="1:7">
      <c r="A123" s="4" t="s">
        <v>266</v>
      </c>
      <c r="B123" s="37">
        <v>0</v>
      </c>
      <c r="C123" s="37">
        <v>1</v>
      </c>
      <c r="D123" s="37">
        <v>0</v>
      </c>
      <c r="E123" s="37">
        <v>0</v>
      </c>
      <c r="F123" s="37">
        <v>0</v>
      </c>
      <c r="G123" s="17"/>
    </row>
    <row r="124" spans="1:7">
      <c r="A124" s="4" t="s">
        <v>267</v>
      </c>
      <c r="B124" s="37">
        <v>0</v>
      </c>
      <c r="C124" s="37">
        <v>0</v>
      </c>
      <c r="D124" s="37">
        <v>1</v>
      </c>
      <c r="E124" s="37">
        <v>0</v>
      </c>
      <c r="F124" s="37">
        <v>0</v>
      </c>
      <c r="G124" s="17"/>
    </row>
    <row r="125" spans="1:7">
      <c r="A125" s="29" t="s">
        <v>268</v>
      </c>
      <c r="G125" s="17"/>
    </row>
    <row r="126" spans="1:7">
      <c r="A126" s="4" t="s">
        <v>216</v>
      </c>
      <c r="B126" s="37">
        <v>1</v>
      </c>
      <c r="C126" s="37">
        <v>0</v>
      </c>
      <c r="D126" s="37">
        <v>0</v>
      </c>
      <c r="E126" s="37">
        <v>0</v>
      </c>
      <c r="F126" s="37">
        <v>0</v>
      </c>
      <c r="G126" s="17"/>
    </row>
    <row r="127" spans="1:7">
      <c r="A127" s="4" t="s">
        <v>269</v>
      </c>
      <c r="B127" s="37">
        <v>0</v>
      </c>
      <c r="C127" s="37">
        <v>1</v>
      </c>
      <c r="D127" s="37">
        <v>0</v>
      </c>
      <c r="E127" s="37">
        <v>0</v>
      </c>
      <c r="F127" s="37">
        <v>0</v>
      </c>
      <c r="G127" s="17"/>
    </row>
    <row r="128" spans="1:7">
      <c r="A128" s="4" t="s">
        <v>270</v>
      </c>
      <c r="B128" s="37">
        <v>0</v>
      </c>
      <c r="C128" s="37">
        <v>0</v>
      </c>
      <c r="D128" s="37">
        <v>1</v>
      </c>
      <c r="E128" s="37">
        <v>0</v>
      </c>
      <c r="F128" s="37">
        <v>0</v>
      </c>
      <c r="G128" s="17"/>
    </row>
    <row r="129" spans="1:7">
      <c r="A129" s="29" t="s">
        <v>271</v>
      </c>
      <c r="G129" s="17"/>
    </row>
    <row r="130" spans="1:7">
      <c r="A130" s="4" t="s">
        <v>217</v>
      </c>
      <c r="B130" s="37">
        <v>1</v>
      </c>
      <c r="C130" s="37">
        <v>0</v>
      </c>
      <c r="D130" s="37">
        <v>0</v>
      </c>
      <c r="E130" s="37">
        <v>0</v>
      </c>
      <c r="F130" s="37">
        <v>0</v>
      </c>
      <c r="G130" s="17"/>
    </row>
    <row r="131" spans="1:7">
      <c r="A131" s="4" t="s">
        <v>272</v>
      </c>
      <c r="B131" s="37">
        <v>0</v>
      </c>
      <c r="C131" s="37">
        <v>1</v>
      </c>
      <c r="D131" s="37">
        <v>0</v>
      </c>
      <c r="E131" s="37">
        <v>0</v>
      </c>
      <c r="F131" s="37">
        <v>0</v>
      </c>
      <c r="G131" s="17"/>
    </row>
    <row r="132" spans="1:7">
      <c r="A132" s="4" t="s">
        <v>273</v>
      </c>
      <c r="B132" s="37">
        <v>0</v>
      </c>
      <c r="C132" s="37">
        <v>0</v>
      </c>
      <c r="D132" s="37">
        <v>1</v>
      </c>
      <c r="E132" s="37">
        <v>0</v>
      </c>
      <c r="F132" s="37">
        <v>0</v>
      </c>
      <c r="G132" s="17"/>
    </row>
    <row r="133" spans="1:7">
      <c r="A133" s="29" t="s">
        <v>274</v>
      </c>
      <c r="G133" s="17"/>
    </row>
    <row r="134" spans="1:7">
      <c r="A134" s="4" t="s">
        <v>182</v>
      </c>
      <c r="B134" s="37">
        <v>1</v>
      </c>
      <c r="C134" s="37">
        <v>0</v>
      </c>
      <c r="D134" s="37">
        <v>0</v>
      </c>
      <c r="E134" s="37">
        <v>0</v>
      </c>
      <c r="F134" s="37">
        <v>0</v>
      </c>
      <c r="G134" s="17"/>
    </row>
    <row r="135" spans="1:7">
      <c r="A135" s="4" t="s">
        <v>275</v>
      </c>
      <c r="B135" s="37">
        <v>1</v>
      </c>
      <c r="C135" s="37">
        <v>0</v>
      </c>
      <c r="D135" s="37">
        <v>0</v>
      </c>
      <c r="E135" s="37">
        <v>0</v>
      </c>
      <c r="F135" s="37">
        <v>0</v>
      </c>
      <c r="G135" s="17"/>
    </row>
    <row r="136" spans="1:7">
      <c r="A136" s="4" t="s">
        <v>276</v>
      </c>
      <c r="B136" s="37">
        <v>1</v>
      </c>
      <c r="C136" s="37">
        <v>0</v>
      </c>
      <c r="D136" s="37">
        <v>0</v>
      </c>
      <c r="E136" s="37">
        <v>0</v>
      </c>
      <c r="F136" s="37">
        <v>0</v>
      </c>
      <c r="G136" s="17"/>
    </row>
    <row r="137" spans="1:7">
      <c r="A137" s="29" t="s">
        <v>277</v>
      </c>
      <c r="G137" s="17"/>
    </row>
    <row r="138" spans="1:7">
      <c r="A138" s="4" t="s">
        <v>183</v>
      </c>
      <c r="B138" s="37">
        <v>1</v>
      </c>
      <c r="C138" s="37">
        <v>0</v>
      </c>
      <c r="D138" s="37">
        <v>0</v>
      </c>
      <c r="E138" s="37">
        <v>0</v>
      </c>
      <c r="F138" s="37">
        <v>0</v>
      </c>
      <c r="G138" s="17"/>
    </row>
    <row r="139" spans="1:7">
      <c r="A139" s="4" t="s">
        <v>278</v>
      </c>
      <c r="B139" s="37">
        <v>1</v>
      </c>
      <c r="C139" s="37">
        <v>0</v>
      </c>
      <c r="D139" s="37">
        <v>0</v>
      </c>
      <c r="E139" s="37">
        <v>0</v>
      </c>
      <c r="F139" s="37">
        <v>0</v>
      </c>
      <c r="G139" s="17"/>
    </row>
    <row r="140" spans="1:7">
      <c r="A140" s="29" t="s">
        <v>279</v>
      </c>
      <c r="G140" s="17"/>
    </row>
    <row r="141" spans="1:7">
      <c r="A141" s="4" t="s">
        <v>184</v>
      </c>
      <c r="B141" s="37">
        <v>1</v>
      </c>
      <c r="C141" s="37">
        <v>0</v>
      </c>
      <c r="D141" s="37">
        <v>0</v>
      </c>
      <c r="E141" s="37">
        <v>0</v>
      </c>
      <c r="F141" s="37">
        <v>0</v>
      </c>
      <c r="G141" s="17"/>
    </row>
    <row r="142" spans="1:7">
      <c r="A142" s="4" t="s">
        <v>280</v>
      </c>
      <c r="B142" s="37">
        <v>1</v>
      </c>
      <c r="C142" s="37">
        <v>0</v>
      </c>
      <c r="D142" s="37">
        <v>0</v>
      </c>
      <c r="E142" s="37">
        <v>0</v>
      </c>
      <c r="F142" s="37">
        <v>0</v>
      </c>
      <c r="G142" s="17"/>
    </row>
    <row r="143" spans="1:7">
      <c r="A143" s="4" t="s">
        <v>281</v>
      </c>
      <c r="B143" s="37">
        <v>1</v>
      </c>
      <c r="C143" s="37">
        <v>0</v>
      </c>
      <c r="D143" s="37">
        <v>0</v>
      </c>
      <c r="E143" s="37">
        <v>0</v>
      </c>
      <c r="F143" s="37">
        <v>0</v>
      </c>
      <c r="G143" s="17"/>
    </row>
    <row r="144" spans="1:7">
      <c r="A144" s="29" t="s">
        <v>282</v>
      </c>
      <c r="G144" s="17"/>
    </row>
    <row r="145" spans="1:7">
      <c r="A145" s="4" t="s">
        <v>185</v>
      </c>
      <c r="B145" s="37">
        <v>1</v>
      </c>
      <c r="C145" s="37">
        <v>0</v>
      </c>
      <c r="D145" s="37">
        <v>0</v>
      </c>
      <c r="E145" s="37">
        <v>0</v>
      </c>
      <c r="F145" s="37">
        <v>0</v>
      </c>
      <c r="G145" s="17"/>
    </row>
    <row r="146" spans="1:7">
      <c r="A146" s="4" t="s">
        <v>283</v>
      </c>
      <c r="B146" s="37">
        <v>1</v>
      </c>
      <c r="C146" s="37">
        <v>0</v>
      </c>
      <c r="D146" s="37">
        <v>0</v>
      </c>
      <c r="E146" s="37">
        <v>0</v>
      </c>
      <c r="F146" s="37">
        <v>0</v>
      </c>
      <c r="G146" s="17"/>
    </row>
    <row r="147" spans="1:7">
      <c r="A147" s="4" t="s">
        <v>284</v>
      </c>
      <c r="B147" s="37">
        <v>1</v>
      </c>
      <c r="C147" s="37">
        <v>0</v>
      </c>
      <c r="D147" s="37">
        <v>0</v>
      </c>
      <c r="E147" s="37">
        <v>0</v>
      </c>
      <c r="F147" s="37">
        <v>0</v>
      </c>
      <c r="G147" s="17"/>
    </row>
    <row r="148" spans="1:7">
      <c r="A148" s="29" t="s">
        <v>285</v>
      </c>
      <c r="G148" s="17"/>
    </row>
    <row r="149" spans="1:7">
      <c r="A149" s="4" t="s">
        <v>186</v>
      </c>
      <c r="B149" s="37">
        <v>1</v>
      </c>
      <c r="C149" s="37">
        <v>0</v>
      </c>
      <c r="D149" s="37">
        <v>0</v>
      </c>
      <c r="E149" s="37">
        <v>0</v>
      </c>
      <c r="F149" s="37">
        <v>0</v>
      </c>
      <c r="G149" s="17"/>
    </row>
    <row r="150" spans="1:7">
      <c r="A150" s="4" t="s">
        <v>286</v>
      </c>
      <c r="B150" s="37">
        <v>1</v>
      </c>
      <c r="C150" s="37">
        <v>0</v>
      </c>
      <c r="D150" s="37">
        <v>0</v>
      </c>
      <c r="E150" s="37">
        <v>0</v>
      </c>
      <c r="F150" s="37">
        <v>0</v>
      </c>
      <c r="G150" s="17"/>
    </row>
    <row r="151" spans="1:7">
      <c r="A151" s="29" t="s">
        <v>287</v>
      </c>
      <c r="G151" s="17"/>
    </row>
    <row r="152" spans="1:7">
      <c r="A152" s="4" t="s">
        <v>187</v>
      </c>
      <c r="B152" s="37">
        <v>1</v>
      </c>
      <c r="C152" s="37">
        <v>0</v>
      </c>
      <c r="D152" s="37">
        <v>0</v>
      </c>
      <c r="E152" s="37">
        <v>0</v>
      </c>
      <c r="F152" s="37">
        <v>0</v>
      </c>
      <c r="G152" s="17"/>
    </row>
    <row r="153" spans="1:7">
      <c r="A153" s="4" t="s">
        <v>288</v>
      </c>
      <c r="B153" s="37">
        <v>1</v>
      </c>
      <c r="C153" s="37">
        <v>0</v>
      </c>
      <c r="D153" s="37">
        <v>0</v>
      </c>
      <c r="E153" s="37">
        <v>0</v>
      </c>
      <c r="F153" s="37">
        <v>0</v>
      </c>
      <c r="G153" s="17"/>
    </row>
    <row r="154" spans="1:7">
      <c r="A154" s="29" t="s">
        <v>289</v>
      </c>
      <c r="G154" s="17"/>
    </row>
    <row r="155" spans="1:7">
      <c r="A155" s="4" t="s">
        <v>194</v>
      </c>
      <c r="B155" s="37">
        <v>1</v>
      </c>
      <c r="C155" s="37">
        <v>0</v>
      </c>
      <c r="D155" s="37">
        <v>0</v>
      </c>
      <c r="E155" s="37">
        <v>0</v>
      </c>
      <c r="F155" s="37">
        <v>0</v>
      </c>
      <c r="G155" s="17"/>
    </row>
    <row r="156" spans="1:7">
      <c r="A156" s="4" t="s">
        <v>290</v>
      </c>
      <c r="B156" s="37">
        <v>1</v>
      </c>
      <c r="C156" s="37">
        <v>0</v>
      </c>
      <c r="D156" s="37">
        <v>0</v>
      </c>
      <c r="E156" s="37">
        <v>0</v>
      </c>
      <c r="F156" s="37">
        <v>0</v>
      </c>
      <c r="G156" s="17"/>
    </row>
    <row r="157" spans="1:7">
      <c r="A157" s="29" t="s">
        <v>291</v>
      </c>
      <c r="G157" s="17"/>
    </row>
    <row r="158" spans="1:7">
      <c r="A158" s="4" t="s">
        <v>195</v>
      </c>
      <c r="B158" s="37">
        <v>1</v>
      </c>
      <c r="C158" s="37">
        <v>0</v>
      </c>
      <c r="D158" s="37">
        <v>0</v>
      </c>
      <c r="E158" s="37">
        <v>0</v>
      </c>
      <c r="F158" s="37">
        <v>0</v>
      </c>
      <c r="G158" s="17"/>
    </row>
    <row r="159" spans="1:7">
      <c r="A159" s="4" t="s">
        <v>292</v>
      </c>
      <c r="B159" s="37">
        <v>1</v>
      </c>
      <c r="C159" s="37">
        <v>0</v>
      </c>
      <c r="D159" s="37">
        <v>0</v>
      </c>
      <c r="E159" s="37">
        <v>0</v>
      </c>
      <c r="F159" s="37">
        <v>0</v>
      </c>
      <c r="G159" s="17"/>
    </row>
    <row r="161" spans="1:9" ht="21" customHeight="1">
      <c r="A161" s="1" t="s">
        <v>506</v>
      </c>
    </row>
    <row r="162" spans="1:9">
      <c r="A162" s="2" t="s">
        <v>351</v>
      </c>
    </row>
    <row r="163" spans="1:9">
      <c r="A163" s="33" t="s">
        <v>507</v>
      </c>
    </row>
    <row r="164" spans="1:9">
      <c r="A164" s="33" t="s">
        <v>508</v>
      </c>
    </row>
    <row r="165" spans="1:9">
      <c r="A165" s="2" t="s">
        <v>509</v>
      </c>
    </row>
    <row r="166" spans="1:9">
      <c r="A166" s="33" t="s">
        <v>510</v>
      </c>
    </row>
    <row r="167" spans="1:9">
      <c r="A167" s="33" t="s">
        <v>511</v>
      </c>
    </row>
    <row r="168" spans="1:9">
      <c r="A168" s="33" t="s">
        <v>512</v>
      </c>
    </row>
    <row r="169" spans="1:9">
      <c r="A169" s="33" t="s">
        <v>513</v>
      </c>
    </row>
    <row r="170" spans="1:9">
      <c r="A170" s="33" t="s">
        <v>514</v>
      </c>
    </row>
    <row r="171" spans="1:9">
      <c r="A171" s="33" t="s">
        <v>515</v>
      </c>
    </row>
    <row r="172" spans="1:9">
      <c r="A172" s="33" t="s">
        <v>516</v>
      </c>
    </row>
    <row r="173" spans="1:9">
      <c r="A173" s="33" t="s">
        <v>517</v>
      </c>
    </row>
    <row r="174" spans="1:9">
      <c r="A174" s="34" t="s">
        <v>354</v>
      </c>
      <c r="B174" s="34" t="s">
        <v>356</v>
      </c>
      <c r="C174" s="34" t="s">
        <v>518</v>
      </c>
      <c r="D174" s="34" t="s">
        <v>484</v>
      </c>
      <c r="E174" s="34" t="s">
        <v>484</v>
      </c>
      <c r="F174" s="34" t="s">
        <v>484</v>
      </c>
      <c r="G174" s="34" t="s">
        <v>484</v>
      </c>
      <c r="H174" s="34" t="s">
        <v>484</v>
      </c>
      <c r="I174" s="34" t="s">
        <v>484</v>
      </c>
    </row>
    <row r="175" spans="1:9">
      <c r="A175" s="34" t="s">
        <v>357</v>
      </c>
      <c r="B175" s="34" t="s">
        <v>359</v>
      </c>
      <c r="C175" s="34" t="s">
        <v>519</v>
      </c>
      <c r="D175" s="34" t="s">
        <v>520</v>
      </c>
      <c r="E175" s="34" t="s">
        <v>521</v>
      </c>
      <c r="F175" s="34" t="s">
        <v>522</v>
      </c>
      <c r="G175" s="34" t="s">
        <v>523</v>
      </c>
      <c r="H175" s="34" t="s">
        <v>524</v>
      </c>
      <c r="I175" s="34" t="s">
        <v>525</v>
      </c>
    </row>
    <row r="177" spans="1:10">
      <c r="B177" s="15" t="s">
        <v>526</v>
      </c>
      <c r="C177" s="15" t="s">
        <v>527</v>
      </c>
      <c r="D177" s="15" t="s">
        <v>222</v>
      </c>
      <c r="E177" s="15" t="s">
        <v>223</v>
      </c>
      <c r="F177" s="15" t="s">
        <v>224</v>
      </c>
      <c r="G177" s="15" t="s">
        <v>225</v>
      </c>
      <c r="H177" s="15" t="s">
        <v>226</v>
      </c>
      <c r="I177" s="15" t="s">
        <v>227</v>
      </c>
    </row>
    <row r="178" spans="1:10">
      <c r="A178" s="29" t="s">
        <v>228</v>
      </c>
      <c r="J178" s="17"/>
    </row>
    <row r="179" spans="1:10">
      <c r="A179" s="4" t="s">
        <v>174</v>
      </c>
      <c r="B179" s="40">
        <f>SUMPRODUCT($B72:$F72,'Input'!$B$151:$F$151)</f>
        <v>0</v>
      </c>
      <c r="C179" s="42">
        <f>B179</f>
        <v>0</v>
      </c>
      <c r="D179" s="38">
        <f>'Input'!B181*(1-B179)</f>
        <v>0</v>
      </c>
      <c r="E179" s="38">
        <f>'Input'!C181*(1-B179)</f>
        <v>0</v>
      </c>
      <c r="F179" s="38">
        <f>'Input'!D181*(1-B179)</f>
        <v>0</v>
      </c>
      <c r="G179" s="38">
        <f>'Input'!E181*(1-C179)</f>
        <v>0</v>
      </c>
      <c r="H179" s="38">
        <f>'Input'!F181*(1-B179)</f>
        <v>0</v>
      </c>
      <c r="I179" s="38">
        <f>'Input'!G181*(1-B179)</f>
        <v>0</v>
      </c>
      <c r="J179" s="17"/>
    </row>
    <row r="180" spans="1:10">
      <c r="A180" s="4" t="s">
        <v>229</v>
      </c>
      <c r="B180" s="40">
        <f>SUMPRODUCT($B73:$F73,'Input'!$B$151:$F$151)</f>
        <v>0</v>
      </c>
      <c r="C180" s="42">
        <f>B180</f>
        <v>0</v>
      </c>
      <c r="D180" s="38">
        <f>'Input'!B182*(1-B180)</f>
        <v>0</v>
      </c>
      <c r="E180" s="38">
        <f>'Input'!C182*(1-B180)</f>
        <v>0</v>
      </c>
      <c r="F180" s="38">
        <f>'Input'!D182*(1-B180)</f>
        <v>0</v>
      </c>
      <c r="G180" s="38">
        <f>'Input'!E182*(1-C180)</f>
        <v>0</v>
      </c>
      <c r="H180" s="38">
        <f>'Input'!F182*(1-B180)</f>
        <v>0</v>
      </c>
      <c r="I180" s="38">
        <f>'Input'!G182*(1-B180)</f>
        <v>0</v>
      </c>
      <c r="J180" s="17"/>
    </row>
    <row r="181" spans="1:10">
      <c r="A181" s="4" t="s">
        <v>230</v>
      </c>
      <c r="B181" s="40">
        <f>SUMPRODUCT($B74:$F74,'Input'!$B$151:$F$151)</f>
        <v>0</v>
      </c>
      <c r="C181" s="42">
        <f>B181</f>
        <v>0</v>
      </c>
      <c r="D181" s="38">
        <f>'Input'!B183*(1-B181)</f>
        <v>0</v>
      </c>
      <c r="E181" s="38">
        <f>'Input'!C183*(1-B181)</f>
        <v>0</v>
      </c>
      <c r="F181" s="38">
        <f>'Input'!D183*(1-B181)</f>
        <v>0</v>
      </c>
      <c r="G181" s="38">
        <f>'Input'!E183*(1-C181)</f>
        <v>0</v>
      </c>
      <c r="H181" s="38">
        <f>'Input'!F183*(1-B181)</f>
        <v>0</v>
      </c>
      <c r="I181" s="38">
        <f>'Input'!G183*(1-B181)</f>
        <v>0</v>
      </c>
      <c r="J181" s="17"/>
    </row>
    <row r="182" spans="1:10">
      <c r="A182" s="29" t="s">
        <v>231</v>
      </c>
      <c r="J182" s="17"/>
    </row>
    <row r="183" spans="1:10">
      <c r="A183" s="4" t="s">
        <v>175</v>
      </c>
      <c r="B183" s="40">
        <f>SUMPRODUCT($B76:$F76,'Input'!$B$151:$F$151)</f>
        <v>0</v>
      </c>
      <c r="C183" s="42">
        <f>B183</f>
        <v>0</v>
      </c>
      <c r="D183" s="38">
        <f>'Input'!B185*(1-B183)</f>
        <v>0</v>
      </c>
      <c r="E183" s="38">
        <f>'Input'!C185*(1-B183)</f>
        <v>0</v>
      </c>
      <c r="F183" s="38">
        <f>'Input'!D185*(1-B183)</f>
        <v>0</v>
      </c>
      <c r="G183" s="38">
        <f>'Input'!E185*(1-C183)</f>
        <v>0</v>
      </c>
      <c r="H183" s="38">
        <f>'Input'!F185*(1-B183)</f>
        <v>0</v>
      </c>
      <c r="I183" s="38">
        <f>'Input'!G185*(1-B183)</f>
        <v>0</v>
      </c>
      <c r="J183" s="17"/>
    </row>
    <row r="184" spans="1:10">
      <c r="A184" s="4" t="s">
        <v>232</v>
      </c>
      <c r="B184" s="40">
        <f>SUMPRODUCT($B77:$F77,'Input'!$B$151:$F$151)</f>
        <v>0</v>
      </c>
      <c r="C184" s="42">
        <f>B184</f>
        <v>0</v>
      </c>
      <c r="D184" s="38">
        <f>'Input'!B186*(1-B184)</f>
        <v>0</v>
      </c>
      <c r="E184" s="38">
        <f>'Input'!C186*(1-B184)</f>
        <v>0</v>
      </c>
      <c r="F184" s="38">
        <f>'Input'!D186*(1-B184)</f>
        <v>0</v>
      </c>
      <c r="G184" s="38">
        <f>'Input'!E186*(1-C184)</f>
        <v>0</v>
      </c>
      <c r="H184" s="38">
        <f>'Input'!F186*(1-B184)</f>
        <v>0</v>
      </c>
      <c r="I184" s="38">
        <f>'Input'!G186*(1-B184)</f>
        <v>0</v>
      </c>
      <c r="J184" s="17"/>
    </row>
    <row r="185" spans="1:10">
      <c r="A185" s="4" t="s">
        <v>233</v>
      </c>
      <c r="B185" s="40">
        <f>SUMPRODUCT($B78:$F78,'Input'!$B$151:$F$151)</f>
        <v>0</v>
      </c>
      <c r="C185" s="42">
        <f>B185</f>
        <v>0</v>
      </c>
      <c r="D185" s="38">
        <f>'Input'!B187*(1-B185)</f>
        <v>0</v>
      </c>
      <c r="E185" s="38">
        <f>'Input'!C187*(1-B185)</f>
        <v>0</v>
      </c>
      <c r="F185" s="38">
        <f>'Input'!D187*(1-B185)</f>
        <v>0</v>
      </c>
      <c r="G185" s="38">
        <f>'Input'!E187*(1-C185)</f>
        <v>0</v>
      </c>
      <c r="H185" s="38">
        <f>'Input'!F187*(1-B185)</f>
        <v>0</v>
      </c>
      <c r="I185" s="38">
        <f>'Input'!G187*(1-B185)</f>
        <v>0</v>
      </c>
      <c r="J185" s="17"/>
    </row>
    <row r="186" spans="1:10">
      <c r="A186" s="29" t="s">
        <v>234</v>
      </c>
      <c r="J186" s="17"/>
    </row>
    <row r="187" spans="1:10">
      <c r="A187" s="4" t="s">
        <v>211</v>
      </c>
      <c r="B187" s="40">
        <f>SUMPRODUCT($B80:$F80,'Input'!$B$151:$F$151)</f>
        <v>0</v>
      </c>
      <c r="C187" s="42">
        <f>B187</f>
        <v>0</v>
      </c>
      <c r="D187" s="38">
        <f>'Input'!B189*(1-B187)</f>
        <v>0</v>
      </c>
      <c r="E187" s="38">
        <f>'Input'!C189*(1-B187)</f>
        <v>0</v>
      </c>
      <c r="F187" s="38">
        <f>'Input'!D189*(1-B187)</f>
        <v>0</v>
      </c>
      <c r="G187" s="38">
        <f>'Input'!E189*(1-C187)</f>
        <v>0</v>
      </c>
      <c r="H187" s="38">
        <f>'Input'!F189*(1-B187)</f>
        <v>0</v>
      </c>
      <c r="I187" s="38">
        <f>'Input'!G189*(1-B187)</f>
        <v>0</v>
      </c>
      <c r="J187" s="17"/>
    </row>
    <row r="188" spans="1:10">
      <c r="A188" s="4" t="s">
        <v>235</v>
      </c>
      <c r="B188" s="40">
        <f>SUMPRODUCT($B81:$F81,'Input'!$B$151:$F$151)</f>
        <v>0</v>
      </c>
      <c r="C188" s="42">
        <f>B188</f>
        <v>0</v>
      </c>
      <c r="D188" s="38">
        <f>'Input'!B190*(1-B188)</f>
        <v>0</v>
      </c>
      <c r="E188" s="38">
        <f>'Input'!C190*(1-B188)</f>
        <v>0</v>
      </c>
      <c r="F188" s="38">
        <f>'Input'!D190*(1-B188)</f>
        <v>0</v>
      </c>
      <c r="G188" s="38">
        <f>'Input'!E190*(1-C188)</f>
        <v>0</v>
      </c>
      <c r="H188" s="38">
        <f>'Input'!F190*(1-B188)</f>
        <v>0</v>
      </c>
      <c r="I188" s="38">
        <f>'Input'!G190*(1-B188)</f>
        <v>0</v>
      </c>
      <c r="J188" s="17"/>
    </row>
    <row r="189" spans="1:10">
      <c r="A189" s="4" t="s">
        <v>236</v>
      </c>
      <c r="B189" s="40">
        <f>SUMPRODUCT($B82:$F82,'Input'!$B$151:$F$151)</f>
        <v>0</v>
      </c>
      <c r="C189" s="42">
        <f>B189</f>
        <v>0</v>
      </c>
      <c r="D189" s="38">
        <f>'Input'!B191*(1-B189)</f>
        <v>0</v>
      </c>
      <c r="E189" s="38">
        <f>'Input'!C191*(1-B189)</f>
        <v>0</v>
      </c>
      <c r="F189" s="38">
        <f>'Input'!D191*(1-B189)</f>
        <v>0</v>
      </c>
      <c r="G189" s="38">
        <f>'Input'!E191*(1-C189)</f>
        <v>0</v>
      </c>
      <c r="H189" s="38">
        <f>'Input'!F191*(1-B189)</f>
        <v>0</v>
      </c>
      <c r="I189" s="38">
        <f>'Input'!G191*(1-B189)</f>
        <v>0</v>
      </c>
      <c r="J189" s="17"/>
    </row>
    <row r="190" spans="1:10">
      <c r="A190" s="29" t="s">
        <v>237</v>
      </c>
      <c r="J190" s="17"/>
    </row>
    <row r="191" spans="1:10">
      <c r="A191" s="4" t="s">
        <v>176</v>
      </c>
      <c r="B191" s="40">
        <f>SUMPRODUCT($B84:$F84,'Input'!$B$151:$F$151)</f>
        <v>0</v>
      </c>
      <c r="C191" s="42">
        <f>B191</f>
        <v>0</v>
      </c>
      <c r="D191" s="38">
        <f>'Input'!B193*(1-B191)</f>
        <v>0</v>
      </c>
      <c r="E191" s="38">
        <f>'Input'!C193*(1-B191)</f>
        <v>0</v>
      </c>
      <c r="F191" s="38">
        <f>'Input'!D193*(1-B191)</f>
        <v>0</v>
      </c>
      <c r="G191" s="38">
        <f>'Input'!E193*(1-C191)</f>
        <v>0</v>
      </c>
      <c r="H191" s="38">
        <f>'Input'!F193*(1-B191)</f>
        <v>0</v>
      </c>
      <c r="I191" s="38">
        <f>'Input'!G193*(1-B191)</f>
        <v>0</v>
      </c>
      <c r="J191" s="17"/>
    </row>
    <row r="192" spans="1:10">
      <c r="A192" s="4" t="s">
        <v>238</v>
      </c>
      <c r="B192" s="40">
        <f>SUMPRODUCT($B85:$F85,'Input'!$B$151:$F$151)</f>
        <v>0</v>
      </c>
      <c r="C192" s="42">
        <f>B192</f>
        <v>0</v>
      </c>
      <c r="D192" s="38">
        <f>'Input'!B194*(1-B192)</f>
        <v>0</v>
      </c>
      <c r="E192" s="38">
        <f>'Input'!C194*(1-B192)</f>
        <v>0</v>
      </c>
      <c r="F192" s="38">
        <f>'Input'!D194*(1-B192)</f>
        <v>0</v>
      </c>
      <c r="G192" s="38">
        <f>'Input'!E194*(1-C192)</f>
        <v>0</v>
      </c>
      <c r="H192" s="38">
        <f>'Input'!F194*(1-B192)</f>
        <v>0</v>
      </c>
      <c r="I192" s="38">
        <f>'Input'!G194*(1-B192)</f>
        <v>0</v>
      </c>
      <c r="J192" s="17"/>
    </row>
    <row r="193" spans="1:10">
      <c r="A193" s="4" t="s">
        <v>239</v>
      </c>
      <c r="B193" s="40">
        <f>SUMPRODUCT($B86:$F86,'Input'!$B$151:$F$151)</f>
        <v>0</v>
      </c>
      <c r="C193" s="42">
        <f>B193</f>
        <v>0</v>
      </c>
      <c r="D193" s="38">
        <f>'Input'!B195*(1-B193)</f>
        <v>0</v>
      </c>
      <c r="E193" s="38">
        <f>'Input'!C195*(1-B193)</f>
        <v>0</v>
      </c>
      <c r="F193" s="38">
        <f>'Input'!D195*(1-B193)</f>
        <v>0</v>
      </c>
      <c r="G193" s="38">
        <f>'Input'!E195*(1-C193)</f>
        <v>0</v>
      </c>
      <c r="H193" s="38">
        <f>'Input'!F195*(1-B193)</f>
        <v>0</v>
      </c>
      <c r="I193" s="38">
        <f>'Input'!G195*(1-B193)</f>
        <v>0</v>
      </c>
      <c r="J193" s="17"/>
    </row>
    <row r="194" spans="1:10">
      <c r="A194" s="29" t="s">
        <v>240</v>
      </c>
      <c r="J194" s="17"/>
    </row>
    <row r="195" spans="1:10">
      <c r="A195" s="4" t="s">
        <v>177</v>
      </c>
      <c r="B195" s="40">
        <f>SUMPRODUCT($B88:$F88,'Input'!$B$151:$F$151)</f>
        <v>0</v>
      </c>
      <c r="C195" s="42">
        <f>B195</f>
        <v>0</v>
      </c>
      <c r="D195" s="38">
        <f>'Input'!B197*(1-B195)</f>
        <v>0</v>
      </c>
      <c r="E195" s="38">
        <f>'Input'!C197*(1-B195)</f>
        <v>0</v>
      </c>
      <c r="F195" s="38">
        <f>'Input'!D197*(1-B195)</f>
        <v>0</v>
      </c>
      <c r="G195" s="38">
        <f>'Input'!E197*(1-C195)</f>
        <v>0</v>
      </c>
      <c r="H195" s="38">
        <f>'Input'!F197*(1-B195)</f>
        <v>0</v>
      </c>
      <c r="I195" s="38">
        <f>'Input'!G197*(1-B195)</f>
        <v>0</v>
      </c>
      <c r="J195" s="17"/>
    </row>
    <row r="196" spans="1:10">
      <c r="A196" s="4" t="s">
        <v>241</v>
      </c>
      <c r="B196" s="40">
        <f>SUMPRODUCT($B89:$F89,'Input'!$B$151:$F$151)</f>
        <v>0</v>
      </c>
      <c r="C196" s="42">
        <f>B196</f>
        <v>0</v>
      </c>
      <c r="D196" s="38">
        <f>'Input'!B198*(1-B196)</f>
        <v>0</v>
      </c>
      <c r="E196" s="38">
        <f>'Input'!C198*(1-B196)</f>
        <v>0</v>
      </c>
      <c r="F196" s="38">
        <f>'Input'!D198*(1-B196)</f>
        <v>0</v>
      </c>
      <c r="G196" s="38">
        <f>'Input'!E198*(1-C196)</f>
        <v>0</v>
      </c>
      <c r="H196" s="38">
        <f>'Input'!F198*(1-B196)</f>
        <v>0</v>
      </c>
      <c r="I196" s="38">
        <f>'Input'!G198*(1-B196)</f>
        <v>0</v>
      </c>
      <c r="J196" s="17"/>
    </row>
    <row r="197" spans="1:10">
      <c r="A197" s="4" t="s">
        <v>242</v>
      </c>
      <c r="B197" s="40">
        <f>SUMPRODUCT($B90:$F90,'Input'!$B$151:$F$151)</f>
        <v>0</v>
      </c>
      <c r="C197" s="42">
        <f>B197</f>
        <v>0</v>
      </c>
      <c r="D197" s="38">
        <f>'Input'!B199*(1-B197)</f>
        <v>0</v>
      </c>
      <c r="E197" s="38">
        <f>'Input'!C199*(1-B197)</f>
        <v>0</v>
      </c>
      <c r="F197" s="38">
        <f>'Input'!D199*(1-B197)</f>
        <v>0</v>
      </c>
      <c r="G197" s="38">
        <f>'Input'!E199*(1-C197)</f>
        <v>0</v>
      </c>
      <c r="H197" s="38">
        <f>'Input'!F199*(1-B197)</f>
        <v>0</v>
      </c>
      <c r="I197" s="38">
        <f>'Input'!G199*(1-B197)</f>
        <v>0</v>
      </c>
      <c r="J197" s="17"/>
    </row>
    <row r="198" spans="1:10">
      <c r="A198" s="29" t="s">
        <v>243</v>
      </c>
      <c r="J198" s="17"/>
    </row>
    <row r="199" spans="1:10">
      <c r="A199" s="4" t="s">
        <v>212</v>
      </c>
      <c r="B199" s="40">
        <f>SUMPRODUCT($B92:$F92,'Input'!$B$151:$F$151)</f>
        <v>0</v>
      </c>
      <c r="C199" s="42">
        <f>B199</f>
        <v>0</v>
      </c>
      <c r="D199" s="38">
        <f>'Input'!B201*(1-B199)</f>
        <v>0</v>
      </c>
      <c r="E199" s="38">
        <f>'Input'!C201*(1-B199)</f>
        <v>0</v>
      </c>
      <c r="F199" s="38">
        <f>'Input'!D201*(1-B199)</f>
        <v>0</v>
      </c>
      <c r="G199" s="38">
        <f>'Input'!E201*(1-C199)</f>
        <v>0</v>
      </c>
      <c r="H199" s="38">
        <f>'Input'!F201*(1-B199)</f>
        <v>0</v>
      </c>
      <c r="I199" s="38">
        <f>'Input'!G201*(1-B199)</f>
        <v>0</v>
      </c>
      <c r="J199" s="17"/>
    </row>
    <row r="200" spans="1:10">
      <c r="A200" s="4" t="s">
        <v>244</v>
      </c>
      <c r="B200" s="40">
        <f>SUMPRODUCT($B93:$F93,'Input'!$B$151:$F$151)</f>
        <v>0</v>
      </c>
      <c r="C200" s="42">
        <f>B200</f>
        <v>0</v>
      </c>
      <c r="D200" s="38">
        <f>'Input'!B202*(1-B200)</f>
        <v>0</v>
      </c>
      <c r="E200" s="38">
        <f>'Input'!C202*(1-B200)</f>
        <v>0</v>
      </c>
      <c r="F200" s="38">
        <f>'Input'!D202*(1-B200)</f>
        <v>0</v>
      </c>
      <c r="G200" s="38">
        <f>'Input'!E202*(1-C200)</f>
        <v>0</v>
      </c>
      <c r="H200" s="38">
        <f>'Input'!F202*(1-B200)</f>
        <v>0</v>
      </c>
      <c r="I200" s="38">
        <f>'Input'!G202*(1-B200)</f>
        <v>0</v>
      </c>
      <c r="J200" s="17"/>
    </row>
    <row r="201" spans="1:10">
      <c r="A201" s="4" t="s">
        <v>245</v>
      </c>
      <c r="B201" s="40">
        <f>SUMPRODUCT($B94:$F94,'Input'!$B$151:$F$151)</f>
        <v>0</v>
      </c>
      <c r="C201" s="42">
        <f>B201</f>
        <v>0</v>
      </c>
      <c r="D201" s="38">
        <f>'Input'!B203*(1-B201)</f>
        <v>0</v>
      </c>
      <c r="E201" s="38">
        <f>'Input'!C203*(1-B201)</f>
        <v>0</v>
      </c>
      <c r="F201" s="38">
        <f>'Input'!D203*(1-B201)</f>
        <v>0</v>
      </c>
      <c r="G201" s="38">
        <f>'Input'!E203*(1-C201)</f>
        <v>0</v>
      </c>
      <c r="H201" s="38">
        <f>'Input'!F203*(1-B201)</f>
        <v>0</v>
      </c>
      <c r="I201" s="38">
        <f>'Input'!G203*(1-B201)</f>
        <v>0</v>
      </c>
      <c r="J201" s="17"/>
    </row>
    <row r="202" spans="1:10">
      <c r="A202" s="29" t="s">
        <v>246</v>
      </c>
      <c r="J202" s="17"/>
    </row>
    <row r="203" spans="1:10">
      <c r="A203" s="4" t="s">
        <v>178</v>
      </c>
      <c r="B203" s="40">
        <f>SUMPRODUCT($B96:$F96,'Input'!$B$151:$F$151)</f>
        <v>0</v>
      </c>
      <c r="C203" s="42">
        <f>B203</f>
        <v>0</v>
      </c>
      <c r="D203" s="38">
        <f>'Input'!B205*(1-B203)</f>
        <v>0</v>
      </c>
      <c r="E203" s="38">
        <f>'Input'!C205*(1-B203)</f>
        <v>0</v>
      </c>
      <c r="F203" s="38">
        <f>'Input'!D205*(1-B203)</f>
        <v>0</v>
      </c>
      <c r="G203" s="38">
        <f>'Input'!E205*(1-C203)</f>
        <v>0</v>
      </c>
      <c r="H203" s="38">
        <f>'Input'!F205*(1-B203)</f>
        <v>0</v>
      </c>
      <c r="I203" s="38">
        <f>'Input'!G205*(1-B203)</f>
        <v>0</v>
      </c>
      <c r="J203" s="17"/>
    </row>
    <row r="204" spans="1:10">
      <c r="A204" s="4" t="s">
        <v>247</v>
      </c>
      <c r="B204" s="40">
        <f>SUMPRODUCT($B97:$F97,'Input'!$B$151:$F$151)</f>
        <v>0</v>
      </c>
      <c r="C204" s="42">
        <f>B204</f>
        <v>0</v>
      </c>
      <c r="D204" s="38">
        <f>'Input'!B206*(1-B204)</f>
        <v>0</v>
      </c>
      <c r="E204" s="38">
        <f>'Input'!C206*(1-B204)</f>
        <v>0</v>
      </c>
      <c r="F204" s="38">
        <f>'Input'!D206*(1-B204)</f>
        <v>0</v>
      </c>
      <c r="G204" s="38">
        <f>'Input'!E206*(1-C204)</f>
        <v>0</v>
      </c>
      <c r="H204" s="38">
        <f>'Input'!F206*(1-B204)</f>
        <v>0</v>
      </c>
      <c r="I204" s="38">
        <f>'Input'!G206*(1-B204)</f>
        <v>0</v>
      </c>
      <c r="J204" s="17"/>
    </row>
    <row r="205" spans="1:10">
      <c r="A205" s="4" t="s">
        <v>248</v>
      </c>
      <c r="B205" s="40">
        <f>SUMPRODUCT($B98:$F98,'Input'!$B$151:$F$151)</f>
        <v>0</v>
      </c>
      <c r="C205" s="42">
        <f>B205</f>
        <v>0</v>
      </c>
      <c r="D205" s="38">
        <f>'Input'!B207*(1-B205)</f>
        <v>0</v>
      </c>
      <c r="E205" s="38">
        <f>'Input'!C207*(1-B205)</f>
        <v>0</v>
      </c>
      <c r="F205" s="38">
        <f>'Input'!D207*(1-B205)</f>
        <v>0</v>
      </c>
      <c r="G205" s="38">
        <f>'Input'!E207*(1-C205)</f>
        <v>0</v>
      </c>
      <c r="H205" s="38">
        <f>'Input'!F207*(1-B205)</f>
        <v>0</v>
      </c>
      <c r="I205" s="38">
        <f>'Input'!G207*(1-B205)</f>
        <v>0</v>
      </c>
      <c r="J205" s="17"/>
    </row>
    <row r="206" spans="1:10">
      <c r="A206" s="29" t="s">
        <v>249</v>
      </c>
      <c r="J206" s="17"/>
    </row>
    <row r="207" spans="1:10">
      <c r="A207" s="4" t="s">
        <v>179</v>
      </c>
      <c r="B207" s="40">
        <f>SUMPRODUCT($B100:$F100,'Input'!$B$151:$F$151)</f>
        <v>0</v>
      </c>
      <c r="C207" s="42">
        <f>B207</f>
        <v>0</v>
      </c>
      <c r="D207" s="38">
        <f>'Input'!B209*(1-B207)</f>
        <v>0</v>
      </c>
      <c r="E207" s="38">
        <f>'Input'!C209*(1-B207)</f>
        <v>0</v>
      </c>
      <c r="F207" s="38">
        <f>'Input'!D209*(1-B207)</f>
        <v>0</v>
      </c>
      <c r="G207" s="38">
        <f>'Input'!E209*(1-C207)</f>
        <v>0</v>
      </c>
      <c r="H207" s="38">
        <f>'Input'!F209*(1-B207)</f>
        <v>0</v>
      </c>
      <c r="I207" s="38">
        <f>'Input'!G209*(1-B207)</f>
        <v>0</v>
      </c>
      <c r="J207" s="17"/>
    </row>
    <row r="208" spans="1:10">
      <c r="A208" s="4" t="s">
        <v>250</v>
      </c>
      <c r="B208" s="40">
        <f>SUMPRODUCT($B101:$F101,'Input'!$B$151:$F$151)</f>
        <v>0</v>
      </c>
      <c r="C208" s="42">
        <f>B208</f>
        <v>0</v>
      </c>
      <c r="D208" s="38">
        <f>'Input'!B210*(1-B208)</f>
        <v>0</v>
      </c>
      <c r="E208" s="38">
        <f>'Input'!C210*(1-B208)</f>
        <v>0</v>
      </c>
      <c r="F208" s="38">
        <f>'Input'!D210*(1-B208)</f>
        <v>0</v>
      </c>
      <c r="G208" s="38">
        <f>'Input'!E210*(1-C208)</f>
        <v>0</v>
      </c>
      <c r="H208" s="38">
        <f>'Input'!F210*(1-B208)</f>
        <v>0</v>
      </c>
      <c r="I208" s="38">
        <f>'Input'!G210*(1-B208)</f>
        <v>0</v>
      </c>
      <c r="J208" s="17"/>
    </row>
    <row r="209" spans="1:10">
      <c r="A209" s="4" t="s">
        <v>251</v>
      </c>
      <c r="B209" s="40">
        <f>SUMPRODUCT($B102:$F102,'Input'!$B$151:$F$151)</f>
        <v>0</v>
      </c>
      <c r="C209" s="42">
        <f>B209</f>
        <v>0</v>
      </c>
      <c r="D209" s="38">
        <f>'Input'!B211*(1-B209)</f>
        <v>0</v>
      </c>
      <c r="E209" s="38">
        <f>'Input'!C211*(1-B209)</f>
        <v>0</v>
      </c>
      <c r="F209" s="38">
        <f>'Input'!D211*(1-B209)</f>
        <v>0</v>
      </c>
      <c r="G209" s="38">
        <f>'Input'!E211*(1-C209)</f>
        <v>0</v>
      </c>
      <c r="H209" s="38">
        <f>'Input'!F211*(1-B209)</f>
        <v>0</v>
      </c>
      <c r="I209" s="38">
        <f>'Input'!G211*(1-B209)</f>
        <v>0</v>
      </c>
      <c r="J209" s="17"/>
    </row>
    <row r="210" spans="1:10">
      <c r="A210" s="29" t="s">
        <v>252</v>
      </c>
      <c r="J210" s="17"/>
    </row>
    <row r="211" spans="1:10">
      <c r="A211" s="4" t="s">
        <v>180</v>
      </c>
      <c r="B211" s="40">
        <f>SUMPRODUCT($B104:$F104,'Input'!$B$151:$F$151)</f>
        <v>0</v>
      </c>
      <c r="C211" s="42">
        <f>B211</f>
        <v>0</v>
      </c>
      <c r="D211" s="38">
        <f>'Input'!B213*(1-B211)</f>
        <v>0</v>
      </c>
      <c r="E211" s="38">
        <f>'Input'!C213*(1-B211)</f>
        <v>0</v>
      </c>
      <c r="F211" s="38">
        <f>'Input'!D213*(1-B211)</f>
        <v>0</v>
      </c>
      <c r="G211" s="38">
        <f>'Input'!E213*(1-C211)</f>
        <v>0</v>
      </c>
      <c r="H211" s="38">
        <f>'Input'!F213*(1-B211)</f>
        <v>0</v>
      </c>
      <c r="I211" s="38">
        <f>'Input'!G213*(1-B211)</f>
        <v>0</v>
      </c>
      <c r="J211" s="17"/>
    </row>
    <row r="212" spans="1:10">
      <c r="A212" s="4" t="s">
        <v>253</v>
      </c>
      <c r="B212" s="40">
        <f>SUMPRODUCT($B105:$F105,'Input'!$B$151:$F$151)</f>
        <v>0</v>
      </c>
      <c r="C212" s="42">
        <f>B212</f>
        <v>0</v>
      </c>
      <c r="D212" s="38">
        <f>'Input'!B214*(1-B212)</f>
        <v>0</v>
      </c>
      <c r="E212" s="38">
        <f>'Input'!C214*(1-B212)</f>
        <v>0</v>
      </c>
      <c r="F212" s="38">
        <f>'Input'!D214*(1-B212)</f>
        <v>0</v>
      </c>
      <c r="G212" s="38">
        <f>'Input'!E214*(1-C212)</f>
        <v>0</v>
      </c>
      <c r="H212" s="38">
        <f>'Input'!F214*(1-B212)</f>
        <v>0</v>
      </c>
      <c r="I212" s="38">
        <f>'Input'!G214*(1-B212)</f>
        <v>0</v>
      </c>
      <c r="J212" s="17"/>
    </row>
    <row r="213" spans="1:10">
      <c r="A213" s="4" t="s">
        <v>254</v>
      </c>
      <c r="B213" s="40">
        <f>SUMPRODUCT($B106:$F106,'Input'!$B$151:$F$151)</f>
        <v>0</v>
      </c>
      <c r="C213" s="42">
        <f>B213</f>
        <v>0</v>
      </c>
      <c r="D213" s="38">
        <f>'Input'!B215*(1-B213)</f>
        <v>0</v>
      </c>
      <c r="E213" s="38">
        <f>'Input'!C215*(1-B213)</f>
        <v>0</v>
      </c>
      <c r="F213" s="38">
        <f>'Input'!D215*(1-B213)</f>
        <v>0</v>
      </c>
      <c r="G213" s="38">
        <f>'Input'!E215*(1-C213)</f>
        <v>0</v>
      </c>
      <c r="H213" s="38">
        <f>'Input'!F215*(1-B213)</f>
        <v>0</v>
      </c>
      <c r="I213" s="38">
        <f>'Input'!G215*(1-B213)</f>
        <v>0</v>
      </c>
      <c r="J213" s="17"/>
    </row>
    <row r="214" spans="1:10">
      <c r="A214" s="29" t="s">
        <v>255</v>
      </c>
      <c r="J214" s="17"/>
    </row>
    <row r="215" spans="1:10">
      <c r="A215" s="4" t="s">
        <v>181</v>
      </c>
      <c r="B215" s="40">
        <f>SUMPRODUCT($B108:$F108,'Input'!$B$151:$F$151)</f>
        <v>0</v>
      </c>
      <c r="C215" s="42">
        <f>B215</f>
        <v>0</v>
      </c>
      <c r="D215" s="38">
        <f>'Input'!B217*(1-B215)</f>
        <v>0</v>
      </c>
      <c r="E215" s="38">
        <f>'Input'!C217*(1-B215)</f>
        <v>0</v>
      </c>
      <c r="F215" s="38">
        <f>'Input'!D217*(1-B215)</f>
        <v>0</v>
      </c>
      <c r="G215" s="38">
        <f>'Input'!E217*(1-C215)</f>
        <v>0</v>
      </c>
      <c r="H215" s="38">
        <f>'Input'!F217*(1-B215)</f>
        <v>0</v>
      </c>
      <c r="I215" s="38">
        <f>'Input'!G217*(1-B215)</f>
        <v>0</v>
      </c>
      <c r="J215" s="17"/>
    </row>
    <row r="216" spans="1:10">
      <c r="A216" s="4" t="s">
        <v>256</v>
      </c>
      <c r="B216" s="40">
        <f>SUMPRODUCT($B109:$F109,'Input'!$B$151:$F$151)</f>
        <v>0</v>
      </c>
      <c r="C216" s="42">
        <f>B216</f>
        <v>0</v>
      </c>
      <c r="D216" s="38">
        <f>'Input'!B218*(1-B216)</f>
        <v>0</v>
      </c>
      <c r="E216" s="38">
        <f>'Input'!C218*(1-B216)</f>
        <v>0</v>
      </c>
      <c r="F216" s="38">
        <f>'Input'!D218*(1-B216)</f>
        <v>0</v>
      </c>
      <c r="G216" s="38">
        <f>'Input'!E218*(1-C216)</f>
        <v>0</v>
      </c>
      <c r="H216" s="38">
        <f>'Input'!F218*(1-B216)</f>
        <v>0</v>
      </c>
      <c r="I216" s="38">
        <f>'Input'!G218*(1-B216)</f>
        <v>0</v>
      </c>
      <c r="J216" s="17"/>
    </row>
    <row r="217" spans="1:10">
      <c r="A217" s="29" t="s">
        <v>257</v>
      </c>
      <c r="J217" s="17"/>
    </row>
    <row r="218" spans="1:10">
      <c r="A218" s="4" t="s">
        <v>193</v>
      </c>
      <c r="B218" s="40">
        <f>SUMPRODUCT($B111:$F111,'Input'!$B$151:$F$151)</f>
        <v>0</v>
      </c>
      <c r="C218" s="42">
        <f>B218</f>
        <v>0</v>
      </c>
      <c r="D218" s="38">
        <f>'Input'!B220*(1-B218)</f>
        <v>0</v>
      </c>
      <c r="E218" s="38">
        <f>'Input'!C220*(1-B218)</f>
        <v>0</v>
      </c>
      <c r="F218" s="38">
        <f>'Input'!D220*(1-B218)</f>
        <v>0</v>
      </c>
      <c r="G218" s="38">
        <f>'Input'!E220*(1-C218)</f>
        <v>0</v>
      </c>
      <c r="H218" s="38">
        <f>'Input'!F220*(1-B218)</f>
        <v>0</v>
      </c>
      <c r="I218" s="38">
        <f>'Input'!G220*(1-B218)</f>
        <v>0</v>
      </c>
      <c r="J218" s="17"/>
    </row>
    <row r="219" spans="1:10">
      <c r="A219" s="4" t="s">
        <v>258</v>
      </c>
      <c r="B219" s="40">
        <f>SUMPRODUCT($B112:$F112,'Input'!$B$151:$F$151)</f>
        <v>0</v>
      </c>
      <c r="C219" s="42">
        <f>B219</f>
        <v>0</v>
      </c>
      <c r="D219" s="38">
        <f>'Input'!B221*(1-B219)</f>
        <v>0</v>
      </c>
      <c r="E219" s="38">
        <f>'Input'!C221*(1-B219)</f>
        <v>0</v>
      </c>
      <c r="F219" s="38">
        <f>'Input'!D221*(1-B219)</f>
        <v>0</v>
      </c>
      <c r="G219" s="38">
        <f>'Input'!E221*(1-C219)</f>
        <v>0</v>
      </c>
      <c r="H219" s="38">
        <f>'Input'!F221*(1-B219)</f>
        <v>0</v>
      </c>
      <c r="I219" s="38">
        <f>'Input'!G221*(1-B219)</f>
        <v>0</v>
      </c>
      <c r="J219" s="17"/>
    </row>
    <row r="220" spans="1:10">
      <c r="A220" s="29" t="s">
        <v>259</v>
      </c>
      <c r="J220" s="17"/>
    </row>
    <row r="221" spans="1:10">
      <c r="A221" s="4" t="s">
        <v>213</v>
      </c>
      <c r="B221" s="40">
        <f>SUMPRODUCT($B114:$F114,'Input'!$B$151:$F$151)</f>
        <v>0</v>
      </c>
      <c r="C221" s="42">
        <f>B221</f>
        <v>0</v>
      </c>
      <c r="D221" s="38">
        <f>'Input'!B223*(1-B221)</f>
        <v>0</v>
      </c>
      <c r="E221" s="38">
        <f>'Input'!C223*(1-B221)</f>
        <v>0</v>
      </c>
      <c r="F221" s="38">
        <f>'Input'!D223*(1-B221)</f>
        <v>0</v>
      </c>
      <c r="G221" s="38">
        <f>'Input'!E223*(1-C221)</f>
        <v>0</v>
      </c>
      <c r="H221" s="38">
        <f>'Input'!F223*(1-B221)</f>
        <v>0</v>
      </c>
      <c r="I221" s="38">
        <f>'Input'!G223*(1-B221)</f>
        <v>0</v>
      </c>
      <c r="J221" s="17"/>
    </row>
    <row r="222" spans="1:10">
      <c r="A222" s="4" t="s">
        <v>260</v>
      </c>
      <c r="B222" s="40">
        <f>SUMPRODUCT($B115:$F115,'Input'!$B$151:$F$151)</f>
        <v>0</v>
      </c>
      <c r="C222" s="42">
        <f>B222</f>
        <v>0</v>
      </c>
      <c r="D222" s="38">
        <f>'Input'!B224*(1-B222)</f>
        <v>0</v>
      </c>
      <c r="E222" s="38">
        <f>'Input'!C224*(1-B222)</f>
        <v>0</v>
      </c>
      <c r="F222" s="38">
        <f>'Input'!D224*(1-B222)</f>
        <v>0</v>
      </c>
      <c r="G222" s="38">
        <f>'Input'!E224*(1-C222)</f>
        <v>0</v>
      </c>
      <c r="H222" s="38">
        <f>'Input'!F224*(1-B222)</f>
        <v>0</v>
      </c>
      <c r="I222" s="38">
        <f>'Input'!G224*(1-B222)</f>
        <v>0</v>
      </c>
      <c r="J222" s="17"/>
    </row>
    <row r="223" spans="1:10">
      <c r="A223" s="4" t="s">
        <v>261</v>
      </c>
      <c r="B223" s="40">
        <f>SUMPRODUCT($B116:$F116,'Input'!$B$151:$F$151)</f>
        <v>0</v>
      </c>
      <c r="C223" s="42">
        <f>B223</f>
        <v>0</v>
      </c>
      <c r="D223" s="38">
        <f>'Input'!B225*(1-B223)</f>
        <v>0</v>
      </c>
      <c r="E223" s="38">
        <f>'Input'!C225*(1-B223)</f>
        <v>0</v>
      </c>
      <c r="F223" s="38">
        <f>'Input'!D225*(1-B223)</f>
        <v>0</v>
      </c>
      <c r="G223" s="38">
        <f>'Input'!E225*(1-C223)</f>
        <v>0</v>
      </c>
      <c r="H223" s="38">
        <f>'Input'!F225*(1-B223)</f>
        <v>0</v>
      </c>
      <c r="I223" s="38">
        <f>'Input'!G225*(1-B223)</f>
        <v>0</v>
      </c>
      <c r="J223" s="17"/>
    </row>
    <row r="224" spans="1:10">
      <c r="A224" s="29" t="s">
        <v>262</v>
      </c>
      <c r="J224" s="17"/>
    </row>
    <row r="225" spans="1:10">
      <c r="A225" s="4" t="s">
        <v>214</v>
      </c>
      <c r="B225" s="40">
        <f>SUMPRODUCT($B118:$F118,'Input'!$B$151:$F$151)</f>
        <v>0</v>
      </c>
      <c r="C225" s="42">
        <f>B225</f>
        <v>0</v>
      </c>
      <c r="D225" s="38">
        <f>'Input'!B227*(1-B225)</f>
        <v>0</v>
      </c>
      <c r="E225" s="38">
        <f>'Input'!C227*(1-B225)</f>
        <v>0</v>
      </c>
      <c r="F225" s="38">
        <f>'Input'!D227*(1-B225)</f>
        <v>0</v>
      </c>
      <c r="G225" s="38">
        <f>'Input'!E227*(1-C225)</f>
        <v>0</v>
      </c>
      <c r="H225" s="38">
        <f>'Input'!F227*(1-B225)</f>
        <v>0</v>
      </c>
      <c r="I225" s="38">
        <f>'Input'!G227*(1-B225)</f>
        <v>0</v>
      </c>
      <c r="J225" s="17"/>
    </row>
    <row r="226" spans="1:10">
      <c r="A226" s="4" t="s">
        <v>263</v>
      </c>
      <c r="B226" s="40">
        <f>SUMPRODUCT($B119:$F119,'Input'!$B$151:$F$151)</f>
        <v>0</v>
      </c>
      <c r="C226" s="42">
        <f>B226</f>
        <v>0</v>
      </c>
      <c r="D226" s="38">
        <f>'Input'!B228*(1-B226)</f>
        <v>0</v>
      </c>
      <c r="E226" s="38">
        <f>'Input'!C228*(1-B226)</f>
        <v>0</v>
      </c>
      <c r="F226" s="38">
        <f>'Input'!D228*(1-B226)</f>
        <v>0</v>
      </c>
      <c r="G226" s="38">
        <f>'Input'!E228*(1-C226)</f>
        <v>0</v>
      </c>
      <c r="H226" s="38">
        <f>'Input'!F228*(1-B226)</f>
        <v>0</v>
      </c>
      <c r="I226" s="38">
        <f>'Input'!G228*(1-B226)</f>
        <v>0</v>
      </c>
      <c r="J226" s="17"/>
    </row>
    <row r="227" spans="1:10">
      <c r="A227" s="4" t="s">
        <v>264</v>
      </c>
      <c r="B227" s="40">
        <f>SUMPRODUCT($B120:$F120,'Input'!$B$151:$F$151)</f>
        <v>0</v>
      </c>
      <c r="C227" s="42">
        <f>B227</f>
        <v>0</v>
      </c>
      <c r="D227" s="38">
        <f>'Input'!B229*(1-B227)</f>
        <v>0</v>
      </c>
      <c r="E227" s="38">
        <f>'Input'!C229*(1-B227)</f>
        <v>0</v>
      </c>
      <c r="F227" s="38">
        <f>'Input'!D229*(1-B227)</f>
        <v>0</v>
      </c>
      <c r="G227" s="38">
        <f>'Input'!E229*(1-C227)</f>
        <v>0</v>
      </c>
      <c r="H227" s="38">
        <f>'Input'!F229*(1-B227)</f>
        <v>0</v>
      </c>
      <c r="I227" s="38">
        <f>'Input'!G229*(1-B227)</f>
        <v>0</v>
      </c>
      <c r="J227" s="17"/>
    </row>
    <row r="228" spans="1:10">
      <c r="A228" s="29" t="s">
        <v>265</v>
      </c>
      <c r="J228" s="17"/>
    </row>
    <row r="229" spans="1:10">
      <c r="A229" s="4" t="s">
        <v>215</v>
      </c>
      <c r="B229" s="40">
        <f>SUMPRODUCT($B122:$F122,'Input'!$B$151:$F$151)</f>
        <v>0</v>
      </c>
      <c r="C229" s="42">
        <f>B229</f>
        <v>0</v>
      </c>
      <c r="D229" s="38">
        <f>'Input'!B231*(1-B229)</f>
        <v>0</v>
      </c>
      <c r="E229" s="38">
        <f>'Input'!C231*(1-B229)</f>
        <v>0</v>
      </c>
      <c r="F229" s="38">
        <f>'Input'!D231*(1-B229)</f>
        <v>0</v>
      </c>
      <c r="G229" s="38">
        <f>'Input'!E231*(1-C229)</f>
        <v>0</v>
      </c>
      <c r="H229" s="38">
        <f>'Input'!F231*(1-B229)</f>
        <v>0</v>
      </c>
      <c r="I229" s="38">
        <f>'Input'!G231*(1-B229)</f>
        <v>0</v>
      </c>
      <c r="J229" s="17"/>
    </row>
    <row r="230" spans="1:10">
      <c r="A230" s="4" t="s">
        <v>266</v>
      </c>
      <c r="B230" s="40">
        <f>SUMPRODUCT($B123:$F123,'Input'!$B$151:$F$151)</f>
        <v>0</v>
      </c>
      <c r="C230" s="42">
        <f>B230</f>
        <v>0</v>
      </c>
      <c r="D230" s="38">
        <f>'Input'!B232*(1-B230)</f>
        <v>0</v>
      </c>
      <c r="E230" s="38">
        <f>'Input'!C232*(1-B230)</f>
        <v>0</v>
      </c>
      <c r="F230" s="38">
        <f>'Input'!D232*(1-B230)</f>
        <v>0</v>
      </c>
      <c r="G230" s="38">
        <f>'Input'!E232*(1-C230)</f>
        <v>0</v>
      </c>
      <c r="H230" s="38">
        <f>'Input'!F232*(1-B230)</f>
        <v>0</v>
      </c>
      <c r="I230" s="38">
        <f>'Input'!G232*(1-B230)</f>
        <v>0</v>
      </c>
      <c r="J230" s="17"/>
    </row>
    <row r="231" spans="1:10">
      <c r="A231" s="4" t="s">
        <v>267</v>
      </c>
      <c r="B231" s="40">
        <f>SUMPRODUCT($B124:$F124,'Input'!$B$151:$F$151)</f>
        <v>0</v>
      </c>
      <c r="C231" s="42">
        <f>B231</f>
        <v>0</v>
      </c>
      <c r="D231" s="38">
        <f>'Input'!B233*(1-B231)</f>
        <v>0</v>
      </c>
      <c r="E231" s="38">
        <f>'Input'!C233*(1-B231)</f>
        <v>0</v>
      </c>
      <c r="F231" s="38">
        <f>'Input'!D233*(1-B231)</f>
        <v>0</v>
      </c>
      <c r="G231" s="38">
        <f>'Input'!E233*(1-C231)</f>
        <v>0</v>
      </c>
      <c r="H231" s="38">
        <f>'Input'!F233*(1-B231)</f>
        <v>0</v>
      </c>
      <c r="I231" s="38">
        <f>'Input'!G233*(1-B231)</f>
        <v>0</v>
      </c>
      <c r="J231" s="17"/>
    </row>
    <row r="232" spans="1:10">
      <c r="A232" s="29" t="s">
        <v>268</v>
      </c>
      <c r="J232" s="17"/>
    </row>
    <row r="233" spans="1:10">
      <c r="A233" s="4" t="s">
        <v>216</v>
      </c>
      <c r="B233" s="40">
        <f>SUMPRODUCT($B126:$F126,'Input'!$B$151:$F$151)</f>
        <v>0</v>
      </c>
      <c r="C233" s="42">
        <f>B233</f>
        <v>0</v>
      </c>
      <c r="D233" s="38">
        <f>'Input'!B235*(1-B233)</f>
        <v>0</v>
      </c>
      <c r="E233" s="38">
        <f>'Input'!C235*(1-B233)</f>
        <v>0</v>
      </c>
      <c r="F233" s="38">
        <f>'Input'!D235*(1-B233)</f>
        <v>0</v>
      </c>
      <c r="G233" s="38">
        <f>'Input'!E235*(1-C233)</f>
        <v>0</v>
      </c>
      <c r="H233" s="38">
        <f>'Input'!F235*(1-B233)</f>
        <v>0</v>
      </c>
      <c r="I233" s="38">
        <f>'Input'!G235*(1-B233)</f>
        <v>0</v>
      </c>
      <c r="J233" s="17"/>
    </row>
    <row r="234" spans="1:10">
      <c r="A234" s="4" t="s">
        <v>269</v>
      </c>
      <c r="B234" s="40">
        <f>SUMPRODUCT($B127:$F127,'Input'!$B$151:$F$151)</f>
        <v>0</v>
      </c>
      <c r="C234" s="42">
        <f>B234</f>
        <v>0</v>
      </c>
      <c r="D234" s="38">
        <f>'Input'!B236*(1-B234)</f>
        <v>0</v>
      </c>
      <c r="E234" s="38">
        <f>'Input'!C236*(1-B234)</f>
        <v>0</v>
      </c>
      <c r="F234" s="38">
        <f>'Input'!D236*(1-B234)</f>
        <v>0</v>
      </c>
      <c r="G234" s="38">
        <f>'Input'!E236*(1-C234)</f>
        <v>0</v>
      </c>
      <c r="H234" s="38">
        <f>'Input'!F236*(1-B234)</f>
        <v>0</v>
      </c>
      <c r="I234" s="38">
        <f>'Input'!G236*(1-B234)</f>
        <v>0</v>
      </c>
      <c r="J234" s="17"/>
    </row>
    <row r="235" spans="1:10">
      <c r="A235" s="4" t="s">
        <v>270</v>
      </c>
      <c r="B235" s="40">
        <f>SUMPRODUCT($B128:$F128,'Input'!$B$151:$F$151)</f>
        <v>0</v>
      </c>
      <c r="C235" s="42">
        <f>B235</f>
        <v>0</v>
      </c>
      <c r="D235" s="38">
        <f>'Input'!B237*(1-B235)</f>
        <v>0</v>
      </c>
      <c r="E235" s="38">
        <f>'Input'!C237*(1-B235)</f>
        <v>0</v>
      </c>
      <c r="F235" s="38">
        <f>'Input'!D237*(1-B235)</f>
        <v>0</v>
      </c>
      <c r="G235" s="38">
        <f>'Input'!E237*(1-C235)</f>
        <v>0</v>
      </c>
      <c r="H235" s="38">
        <f>'Input'!F237*(1-B235)</f>
        <v>0</v>
      </c>
      <c r="I235" s="38">
        <f>'Input'!G237*(1-B235)</f>
        <v>0</v>
      </c>
      <c r="J235" s="17"/>
    </row>
    <row r="236" spans="1:10">
      <c r="A236" s="29" t="s">
        <v>271</v>
      </c>
      <c r="J236" s="17"/>
    </row>
    <row r="237" spans="1:10">
      <c r="A237" s="4" t="s">
        <v>217</v>
      </c>
      <c r="B237" s="40">
        <f>SUMPRODUCT($B130:$F130,'Input'!$B$151:$F$151)</f>
        <v>0</v>
      </c>
      <c r="C237" s="42">
        <f>B237</f>
        <v>0</v>
      </c>
      <c r="D237" s="38">
        <f>'Input'!B239*(1-B237)</f>
        <v>0</v>
      </c>
      <c r="E237" s="38">
        <f>'Input'!C239*(1-B237)</f>
        <v>0</v>
      </c>
      <c r="F237" s="38">
        <f>'Input'!D239*(1-B237)</f>
        <v>0</v>
      </c>
      <c r="G237" s="38">
        <f>'Input'!E239*(1-C237)</f>
        <v>0</v>
      </c>
      <c r="H237" s="38">
        <f>'Input'!F239*(1-B237)</f>
        <v>0</v>
      </c>
      <c r="I237" s="38">
        <f>'Input'!G239*(1-B237)</f>
        <v>0</v>
      </c>
      <c r="J237" s="17"/>
    </row>
    <row r="238" spans="1:10">
      <c r="A238" s="4" t="s">
        <v>272</v>
      </c>
      <c r="B238" s="40">
        <f>SUMPRODUCT($B131:$F131,'Input'!$B$151:$F$151)</f>
        <v>0</v>
      </c>
      <c r="C238" s="42">
        <f>B238</f>
        <v>0</v>
      </c>
      <c r="D238" s="38">
        <f>'Input'!B240*(1-B238)</f>
        <v>0</v>
      </c>
      <c r="E238" s="38">
        <f>'Input'!C240*(1-B238)</f>
        <v>0</v>
      </c>
      <c r="F238" s="38">
        <f>'Input'!D240*(1-B238)</f>
        <v>0</v>
      </c>
      <c r="G238" s="38">
        <f>'Input'!E240*(1-C238)</f>
        <v>0</v>
      </c>
      <c r="H238" s="38">
        <f>'Input'!F240*(1-B238)</f>
        <v>0</v>
      </c>
      <c r="I238" s="38">
        <f>'Input'!G240*(1-B238)</f>
        <v>0</v>
      </c>
      <c r="J238" s="17"/>
    </row>
    <row r="239" spans="1:10">
      <c r="A239" s="4" t="s">
        <v>273</v>
      </c>
      <c r="B239" s="40">
        <f>SUMPRODUCT($B132:$F132,'Input'!$B$151:$F$151)</f>
        <v>0</v>
      </c>
      <c r="C239" s="42">
        <f>B239</f>
        <v>0</v>
      </c>
      <c r="D239" s="38">
        <f>'Input'!B241*(1-B239)</f>
        <v>0</v>
      </c>
      <c r="E239" s="38">
        <f>'Input'!C241*(1-B239)</f>
        <v>0</v>
      </c>
      <c r="F239" s="38">
        <f>'Input'!D241*(1-B239)</f>
        <v>0</v>
      </c>
      <c r="G239" s="38">
        <f>'Input'!E241*(1-C239)</f>
        <v>0</v>
      </c>
      <c r="H239" s="38">
        <f>'Input'!F241*(1-B239)</f>
        <v>0</v>
      </c>
      <c r="I239" s="38">
        <f>'Input'!G241*(1-B239)</f>
        <v>0</v>
      </c>
      <c r="J239" s="17"/>
    </row>
    <row r="240" spans="1:10">
      <c r="A240" s="29" t="s">
        <v>274</v>
      </c>
      <c r="J240" s="17"/>
    </row>
    <row r="241" spans="1:10">
      <c r="A241" s="4" t="s">
        <v>182</v>
      </c>
      <c r="B241" s="40">
        <f>SUMPRODUCT($B134:$F134,'Input'!$B$151:$F$151)</f>
        <v>0</v>
      </c>
      <c r="C241" s="42">
        <f>B241</f>
        <v>0</v>
      </c>
      <c r="D241" s="38">
        <f>'Input'!B243*(1-B241)</f>
        <v>0</v>
      </c>
      <c r="E241" s="38">
        <f>'Input'!C243*(1-B241)</f>
        <v>0</v>
      </c>
      <c r="F241" s="38">
        <f>'Input'!D243*(1-B241)</f>
        <v>0</v>
      </c>
      <c r="G241" s="38">
        <f>'Input'!E243*(1-C241)</f>
        <v>0</v>
      </c>
      <c r="H241" s="38">
        <f>'Input'!F243*(1-B241)</f>
        <v>0</v>
      </c>
      <c r="I241" s="38">
        <f>'Input'!G243*(1-B241)</f>
        <v>0</v>
      </c>
      <c r="J241" s="17"/>
    </row>
    <row r="242" spans="1:10">
      <c r="A242" s="4" t="s">
        <v>275</v>
      </c>
      <c r="B242" s="40">
        <f>SUMPRODUCT($B135:$F135,'Input'!$B$151:$F$151)</f>
        <v>0</v>
      </c>
      <c r="C242" s="41">
        <v>1</v>
      </c>
      <c r="D242" s="38">
        <f>'Input'!B244*(1-B242)</f>
        <v>0</v>
      </c>
      <c r="E242" s="38">
        <f>'Input'!C244*(1-B242)</f>
        <v>0</v>
      </c>
      <c r="F242" s="38">
        <f>'Input'!D244*(1-B242)</f>
        <v>0</v>
      </c>
      <c r="G242" s="38">
        <f>'Input'!E244*(1-C242)</f>
        <v>0</v>
      </c>
      <c r="H242" s="38">
        <f>'Input'!F244*(1-B242)</f>
        <v>0</v>
      </c>
      <c r="I242" s="38">
        <f>'Input'!G244*(1-B242)</f>
        <v>0</v>
      </c>
      <c r="J242" s="17"/>
    </row>
    <row r="243" spans="1:10">
      <c r="A243" s="4" t="s">
        <v>276</v>
      </c>
      <c r="B243" s="40">
        <f>SUMPRODUCT($B136:$F136,'Input'!$B$151:$F$151)</f>
        <v>0</v>
      </c>
      <c r="C243" s="41">
        <v>1</v>
      </c>
      <c r="D243" s="38">
        <f>'Input'!B245*(1-B243)</f>
        <v>0</v>
      </c>
      <c r="E243" s="38">
        <f>'Input'!C245*(1-B243)</f>
        <v>0</v>
      </c>
      <c r="F243" s="38">
        <f>'Input'!D245*(1-B243)</f>
        <v>0</v>
      </c>
      <c r="G243" s="38">
        <f>'Input'!E245*(1-C243)</f>
        <v>0</v>
      </c>
      <c r="H243" s="38">
        <f>'Input'!F245*(1-B243)</f>
        <v>0</v>
      </c>
      <c r="I243" s="38">
        <f>'Input'!G245*(1-B243)</f>
        <v>0</v>
      </c>
      <c r="J243" s="17"/>
    </row>
    <row r="244" spans="1:10">
      <c r="A244" s="29" t="s">
        <v>277</v>
      </c>
      <c r="J244" s="17"/>
    </row>
    <row r="245" spans="1:10">
      <c r="A245" s="4" t="s">
        <v>183</v>
      </c>
      <c r="B245" s="40">
        <f>SUMPRODUCT($B138:$F138,'Input'!$B$151:$F$151)</f>
        <v>0</v>
      </c>
      <c r="C245" s="42">
        <f>B245</f>
        <v>0</v>
      </c>
      <c r="D245" s="38">
        <f>'Input'!B247*(1-B245)</f>
        <v>0</v>
      </c>
      <c r="E245" s="38">
        <f>'Input'!C247*(1-B245)</f>
        <v>0</v>
      </c>
      <c r="F245" s="38">
        <f>'Input'!D247*(1-B245)</f>
        <v>0</v>
      </c>
      <c r="G245" s="38">
        <f>'Input'!E247*(1-C245)</f>
        <v>0</v>
      </c>
      <c r="H245" s="38">
        <f>'Input'!F247*(1-B245)</f>
        <v>0</v>
      </c>
      <c r="I245" s="38">
        <f>'Input'!G247*(1-B245)</f>
        <v>0</v>
      </c>
      <c r="J245" s="17"/>
    </row>
    <row r="246" spans="1:10">
      <c r="A246" s="4" t="s">
        <v>278</v>
      </c>
      <c r="B246" s="40">
        <f>SUMPRODUCT($B139:$F139,'Input'!$B$151:$F$151)</f>
        <v>0</v>
      </c>
      <c r="C246" s="41">
        <v>1</v>
      </c>
      <c r="D246" s="38">
        <f>'Input'!B248*(1-B246)</f>
        <v>0</v>
      </c>
      <c r="E246" s="38">
        <f>'Input'!C248*(1-B246)</f>
        <v>0</v>
      </c>
      <c r="F246" s="38">
        <f>'Input'!D248*(1-B246)</f>
        <v>0</v>
      </c>
      <c r="G246" s="38">
        <f>'Input'!E248*(1-C246)</f>
        <v>0</v>
      </c>
      <c r="H246" s="38">
        <f>'Input'!F248*(1-B246)</f>
        <v>0</v>
      </c>
      <c r="I246" s="38">
        <f>'Input'!G248*(1-B246)</f>
        <v>0</v>
      </c>
      <c r="J246" s="17"/>
    </row>
    <row r="247" spans="1:10">
      <c r="A247" s="29" t="s">
        <v>279</v>
      </c>
      <c r="J247" s="17"/>
    </row>
    <row r="248" spans="1:10">
      <c r="A248" s="4" t="s">
        <v>184</v>
      </c>
      <c r="B248" s="40">
        <f>SUMPRODUCT($B141:$F141,'Input'!$B$151:$F$151)</f>
        <v>0</v>
      </c>
      <c r="C248" s="42">
        <f>B248</f>
        <v>0</v>
      </c>
      <c r="D248" s="38">
        <f>'Input'!B250*(1-B248)</f>
        <v>0</v>
      </c>
      <c r="E248" s="38">
        <f>'Input'!C250*(1-B248)</f>
        <v>0</v>
      </c>
      <c r="F248" s="38">
        <f>'Input'!D250*(1-B248)</f>
        <v>0</v>
      </c>
      <c r="G248" s="38">
        <f>'Input'!E250*(1-C248)</f>
        <v>0</v>
      </c>
      <c r="H248" s="38">
        <f>'Input'!F250*(1-B248)</f>
        <v>0</v>
      </c>
      <c r="I248" s="38">
        <f>'Input'!G250*(1-B248)</f>
        <v>0</v>
      </c>
      <c r="J248" s="17"/>
    </row>
    <row r="249" spans="1:10">
      <c r="A249" s="4" t="s">
        <v>280</v>
      </c>
      <c r="B249" s="40">
        <f>SUMPRODUCT($B142:$F142,'Input'!$B$151:$F$151)</f>
        <v>0</v>
      </c>
      <c r="C249" s="41">
        <v>1</v>
      </c>
      <c r="D249" s="38">
        <f>'Input'!B251*(1-B249)</f>
        <v>0</v>
      </c>
      <c r="E249" s="38">
        <f>'Input'!C251*(1-B249)</f>
        <v>0</v>
      </c>
      <c r="F249" s="38">
        <f>'Input'!D251*(1-B249)</f>
        <v>0</v>
      </c>
      <c r="G249" s="38">
        <f>'Input'!E251*(1-C249)</f>
        <v>0</v>
      </c>
      <c r="H249" s="38">
        <f>'Input'!F251*(1-B249)</f>
        <v>0</v>
      </c>
      <c r="I249" s="38">
        <f>'Input'!G251*(1-B249)</f>
        <v>0</v>
      </c>
      <c r="J249" s="17"/>
    </row>
    <row r="250" spans="1:10">
      <c r="A250" s="4" t="s">
        <v>281</v>
      </c>
      <c r="B250" s="40">
        <f>SUMPRODUCT($B143:$F143,'Input'!$B$151:$F$151)</f>
        <v>0</v>
      </c>
      <c r="C250" s="41">
        <v>1</v>
      </c>
      <c r="D250" s="38">
        <f>'Input'!B252*(1-B250)</f>
        <v>0</v>
      </c>
      <c r="E250" s="38">
        <f>'Input'!C252*(1-B250)</f>
        <v>0</v>
      </c>
      <c r="F250" s="38">
        <f>'Input'!D252*(1-B250)</f>
        <v>0</v>
      </c>
      <c r="G250" s="38">
        <f>'Input'!E252*(1-C250)</f>
        <v>0</v>
      </c>
      <c r="H250" s="38">
        <f>'Input'!F252*(1-B250)</f>
        <v>0</v>
      </c>
      <c r="I250" s="38">
        <f>'Input'!G252*(1-B250)</f>
        <v>0</v>
      </c>
      <c r="J250" s="17"/>
    </row>
    <row r="251" spans="1:10">
      <c r="A251" s="29" t="s">
        <v>282</v>
      </c>
      <c r="J251" s="17"/>
    </row>
    <row r="252" spans="1:10">
      <c r="A252" s="4" t="s">
        <v>185</v>
      </c>
      <c r="B252" s="40">
        <f>SUMPRODUCT($B145:$F145,'Input'!$B$151:$F$151)</f>
        <v>0</v>
      </c>
      <c r="C252" s="42">
        <f>B252</f>
        <v>0</v>
      </c>
      <c r="D252" s="38">
        <f>'Input'!B254*(1-B252)</f>
        <v>0</v>
      </c>
      <c r="E252" s="38">
        <f>'Input'!C254*(1-B252)</f>
        <v>0</v>
      </c>
      <c r="F252" s="38">
        <f>'Input'!D254*(1-B252)</f>
        <v>0</v>
      </c>
      <c r="G252" s="38">
        <f>'Input'!E254*(1-C252)</f>
        <v>0</v>
      </c>
      <c r="H252" s="38">
        <f>'Input'!F254*(1-B252)</f>
        <v>0</v>
      </c>
      <c r="I252" s="38">
        <f>'Input'!G254*(1-B252)</f>
        <v>0</v>
      </c>
      <c r="J252" s="17"/>
    </row>
    <row r="253" spans="1:10">
      <c r="A253" s="4" t="s">
        <v>283</v>
      </c>
      <c r="B253" s="40">
        <f>SUMPRODUCT($B146:$F146,'Input'!$B$151:$F$151)</f>
        <v>0</v>
      </c>
      <c r="C253" s="41">
        <v>1</v>
      </c>
      <c r="D253" s="38">
        <f>'Input'!B255*(1-B253)</f>
        <v>0</v>
      </c>
      <c r="E253" s="38">
        <f>'Input'!C255*(1-B253)</f>
        <v>0</v>
      </c>
      <c r="F253" s="38">
        <f>'Input'!D255*(1-B253)</f>
        <v>0</v>
      </c>
      <c r="G253" s="38">
        <f>'Input'!E255*(1-C253)</f>
        <v>0</v>
      </c>
      <c r="H253" s="38">
        <f>'Input'!F255*(1-B253)</f>
        <v>0</v>
      </c>
      <c r="I253" s="38">
        <f>'Input'!G255*(1-B253)</f>
        <v>0</v>
      </c>
      <c r="J253" s="17"/>
    </row>
    <row r="254" spans="1:10">
      <c r="A254" s="4" t="s">
        <v>284</v>
      </c>
      <c r="B254" s="40">
        <f>SUMPRODUCT($B147:$F147,'Input'!$B$151:$F$151)</f>
        <v>0</v>
      </c>
      <c r="C254" s="41">
        <v>1</v>
      </c>
      <c r="D254" s="38">
        <f>'Input'!B256*(1-B254)</f>
        <v>0</v>
      </c>
      <c r="E254" s="38">
        <f>'Input'!C256*(1-B254)</f>
        <v>0</v>
      </c>
      <c r="F254" s="38">
        <f>'Input'!D256*(1-B254)</f>
        <v>0</v>
      </c>
      <c r="G254" s="38">
        <f>'Input'!E256*(1-C254)</f>
        <v>0</v>
      </c>
      <c r="H254" s="38">
        <f>'Input'!F256*(1-B254)</f>
        <v>0</v>
      </c>
      <c r="I254" s="38">
        <f>'Input'!G256*(1-B254)</f>
        <v>0</v>
      </c>
      <c r="J254" s="17"/>
    </row>
    <row r="255" spans="1:10">
      <c r="A255" s="29" t="s">
        <v>285</v>
      </c>
      <c r="J255" s="17"/>
    </row>
    <row r="256" spans="1:10">
      <c r="A256" s="4" t="s">
        <v>186</v>
      </c>
      <c r="B256" s="40">
        <f>SUMPRODUCT($B149:$F149,'Input'!$B$151:$F$151)</f>
        <v>0</v>
      </c>
      <c r="C256" s="42">
        <f>B256</f>
        <v>0</v>
      </c>
      <c r="D256" s="38">
        <f>'Input'!B258*(1-B256)</f>
        <v>0</v>
      </c>
      <c r="E256" s="38">
        <f>'Input'!C258*(1-B256)</f>
        <v>0</v>
      </c>
      <c r="F256" s="38">
        <f>'Input'!D258*(1-B256)</f>
        <v>0</v>
      </c>
      <c r="G256" s="38">
        <f>'Input'!E258*(1-C256)</f>
        <v>0</v>
      </c>
      <c r="H256" s="38">
        <f>'Input'!F258*(1-B256)</f>
        <v>0</v>
      </c>
      <c r="I256" s="38">
        <f>'Input'!G258*(1-B256)</f>
        <v>0</v>
      </c>
      <c r="J256" s="17"/>
    </row>
    <row r="257" spans="1:10">
      <c r="A257" s="4" t="s">
        <v>286</v>
      </c>
      <c r="B257" s="40">
        <f>SUMPRODUCT($B150:$F150,'Input'!$B$151:$F$151)</f>
        <v>0</v>
      </c>
      <c r="C257" s="41">
        <v>1</v>
      </c>
      <c r="D257" s="38">
        <f>'Input'!B259*(1-B257)</f>
        <v>0</v>
      </c>
      <c r="E257" s="38">
        <f>'Input'!C259*(1-B257)</f>
        <v>0</v>
      </c>
      <c r="F257" s="38">
        <f>'Input'!D259*(1-B257)</f>
        <v>0</v>
      </c>
      <c r="G257" s="38">
        <f>'Input'!E259*(1-C257)</f>
        <v>0</v>
      </c>
      <c r="H257" s="38">
        <f>'Input'!F259*(1-B257)</f>
        <v>0</v>
      </c>
      <c r="I257" s="38">
        <f>'Input'!G259*(1-B257)</f>
        <v>0</v>
      </c>
      <c r="J257" s="17"/>
    </row>
    <row r="258" spans="1:10">
      <c r="A258" s="29" t="s">
        <v>287</v>
      </c>
      <c r="J258" s="17"/>
    </row>
    <row r="259" spans="1:10">
      <c r="A259" s="4" t="s">
        <v>187</v>
      </c>
      <c r="B259" s="40">
        <f>SUMPRODUCT($B152:$F152,'Input'!$B$151:$F$151)</f>
        <v>0</v>
      </c>
      <c r="C259" s="42">
        <f>B259</f>
        <v>0</v>
      </c>
      <c r="D259" s="38">
        <f>'Input'!B261*(1-B259)</f>
        <v>0</v>
      </c>
      <c r="E259" s="38">
        <f>'Input'!C261*(1-B259)</f>
        <v>0</v>
      </c>
      <c r="F259" s="38">
        <f>'Input'!D261*(1-B259)</f>
        <v>0</v>
      </c>
      <c r="G259" s="38">
        <f>'Input'!E261*(1-C259)</f>
        <v>0</v>
      </c>
      <c r="H259" s="38">
        <f>'Input'!F261*(1-B259)</f>
        <v>0</v>
      </c>
      <c r="I259" s="38">
        <f>'Input'!G261*(1-B259)</f>
        <v>0</v>
      </c>
      <c r="J259" s="17"/>
    </row>
    <row r="260" spans="1:10">
      <c r="A260" s="4" t="s">
        <v>288</v>
      </c>
      <c r="B260" s="40">
        <f>SUMPRODUCT($B153:$F153,'Input'!$B$151:$F$151)</f>
        <v>0</v>
      </c>
      <c r="C260" s="41">
        <v>1</v>
      </c>
      <c r="D260" s="38">
        <f>'Input'!B262*(1-B260)</f>
        <v>0</v>
      </c>
      <c r="E260" s="38">
        <f>'Input'!C262*(1-B260)</f>
        <v>0</v>
      </c>
      <c r="F260" s="38">
        <f>'Input'!D262*(1-B260)</f>
        <v>0</v>
      </c>
      <c r="G260" s="38">
        <f>'Input'!E262*(1-C260)</f>
        <v>0</v>
      </c>
      <c r="H260" s="38">
        <f>'Input'!F262*(1-B260)</f>
        <v>0</v>
      </c>
      <c r="I260" s="38">
        <f>'Input'!G262*(1-B260)</f>
        <v>0</v>
      </c>
      <c r="J260" s="17"/>
    </row>
    <row r="261" spans="1:10">
      <c r="A261" s="29" t="s">
        <v>289</v>
      </c>
      <c r="J261" s="17"/>
    </row>
    <row r="262" spans="1:10">
      <c r="A262" s="4" t="s">
        <v>194</v>
      </c>
      <c r="B262" s="40">
        <f>SUMPRODUCT($B155:$F155,'Input'!$B$151:$F$151)</f>
        <v>0</v>
      </c>
      <c r="C262" s="42">
        <f>B262</f>
        <v>0</v>
      </c>
      <c r="D262" s="38">
        <f>'Input'!B264*(1-B262)</f>
        <v>0</v>
      </c>
      <c r="E262" s="38">
        <f>'Input'!C264*(1-B262)</f>
        <v>0</v>
      </c>
      <c r="F262" s="38">
        <f>'Input'!D264*(1-B262)</f>
        <v>0</v>
      </c>
      <c r="G262" s="38">
        <f>'Input'!E264*(1-C262)</f>
        <v>0</v>
      </c>
      <c r="H262" s="38">
        <f>'Input'!F264*(1-B262)</f>
        <v>0</v>
      </c>
      <c r="I262" s="38">
        <f>'Input'!G264*(1-B262)</f>
        <v>0</v>
      </c>
      <c r="J262" s="17"/>
    </row>
    <row r="263" spans="1:10">
      <c r="A263" s="4" t="s">
        <v>290</v>
      </c>
      <c r="B263" s="40">
        <f>SUMPRODUCT($B156:$F156,'Input'!$B$151:$F$151)</f>
        <v>0</v>
      </c>
      <c r="C263" s="41">
        <v>1</v>
      </c>
      <c r="D263" s="38">
        <f>'Input'!B265*(1-B263)</f>
        <v>0</v>
      </c>
      <c r="E263" s="38">
        <f>'Input'!C265*(1-B263)</f>
        <v>0</v>
      </c>
      <c r="F263" s="38">
        <f>'Input'!D265*(1-B263)</f>
        <v>0</v>
      </c>
      <c r="G263" s="38">
        <f>'Input'!E265*(1-C263)</f>
        <v>0</v>
      </c>
      <c r="H263" s="38">
        <f>'Input'!F265*(1-B263)</f>
        <v>0</v>
      </c>
      <c r="I263" s="38">
        <f>'Input'!G265*(1-B263)</f>
        <v>0</v>
      </c>
      <c r="J263" s="17"/>
    </row>
    <row r="264" spans="1:10">
      <c r="A264" s="29" t="s">
        <v>291</v>
      </c>
      <c r="J264" s="17"/>
    </row>
    <row r="265" spans="1:10">
      <c r="A265" s="4" t="s">
        <v>195</v>
      </c>
      <c r="B265" s="40">
        <f>SUMPRODUCT($B158:$F158,'Input'!$B$151:$F$151)</f>
        <v>0</v>
      </c>
      <c r="C265" s="42">
        <f>B265</f>
        <v>0</v>
      </c>
      <c r="D265" s="38">
        <f>'Input'!B267*(1-B265)</f>
        <v>0</v>
      </c>
      <c r="E265" s="38">
        <f>'Input'!C267*(1-B265)</f>
        <v>0</v>
      </c>
      <c r="F265" s="38">
        <f>'Input'!D267*(1-B265)</f>
        <v>0</v>
      </c>
      <c r="G265" s="38">
        <f>'Input'!E267*(1-C265)</f>
        <v>0</v>
      </c>
      <c r="H265" s="38">
        <f>'Input'!F267*(1-B265)</f>
        <v>0</v>
      </c>
      <c r="I265" s="38">
        <f>'Input'!G267*(1-B265)</f>
        <v>0</v>
      </c>
      <c r="J265" s="17"/>
    </row>
    <row r="266" spans="1:10">
      <c r="A266" s="4" t="s">
        <v>292</v>
      </c>
      <c r="B266" s="40">
        <f>SUMPRODUCT($B159:$F159,'Input'!$B$151:$F$151)</f>
        <v>0</v>
      </c>
      <c r="C266" s="41">
        <v>1</v>
      </c>
      <c r="D266" s="38">
        <f>'Input'!B268*(1-B266)</f>
        <v>0</v>
      </c>
      <c r="E266" s="38">
        <f>'Input'!C268*(1-B266)</f>
        <v>0</v>
      </c>
      <c r="F266" s="38">
        <f>'Input'!D268*(1-B266)</f>
        <v>0</v>
      </c>
      <c r="G266" s="38">
        <f>'Input'!E268*(1-C266)</f>
        <v>0</v>
      </c>
      <c r="H266" s="38">
        <f>'Input'!F268*(1-B266)</f>
        <v>0</v>
      </c>
      <c r="I266" s="38">
        <f>'Input'!G268*(1-B266)</f>
        <v>0</v>
      </c>
      <c r="J266" s="17"/>
    </row>
    <row r="268" spans="1:10" ht="21" customHeight="1">
      <c r="A268" s="1" t="s">
        <v>528</v>
      </c>
    </row>
    <row r="269" spans="1:10">
      <c r="A269" s="2" t="s">
        <v>351</v>
      </c>
    </row>
    <row r="270" spans="1:10">
      <c r="A270" s="33" t="s">
        <v>529</v>
      </c>
    </row>
    <row r="271" spans="1:10">
      <c r="A271" s="33" t="s">
        <v>530</v>
      </c>
    </row>
    <row r="272" spans="1:10">
      <c r="A272" s="33" t="s">
        <v>531</v>
      </c>
    </row>
    <row r="273" spans="1:8">
      <c r="A273" s="33" t="s">
        <v>532</v>
      </c>
    </row>
    <row r="274" spans="1:8">
      <c r="A274" s="33" t="s">
        <v>533</v>
      </c>
    </row>
    <row r="275" spans="1:8">
      <c r="A275" s="33" t="s">
        <v>534</v>
      </c>
    </row>
    <row r="276" spans="1:8">
      <c r="A276" s="34" t="s">
        <v>354</v>
      </c>
      <c r="B276" s="34" t="s">
        <v>485</v>
      </c>
      <c r="C276" s="34" t="s">
        <v>485</v>
      </c>
      <c r="D276" s="34" t="s">
        <v>485</v>
      </c>
      <c r="E276" s="34" t="s">
        <v>485</v>
      </c>
      <c r="F276" s="34" t="s">
        <v>485</v>
      </c>
      <c r="G276" s="34" t="s">
        <v>485</v>
      </c>
    </row>
    <row r="277" spans="1:8">
      <c r="A277" s="34" t="s">
        <v>357</v>
      </c>
      <c r="B277" s="34" t="s">
        <v>535</v>
      </c>
      <c r="C277" s="34" t="s">
        <v>536</v>
      </c>
      <c r="D277" s="34" t="s">
        <v>537</v>
      </c>
      <c r="E277" s="34" t="s">
        <v>538</v>
      </c>
      <c r="F277" s="34" t="s">
        <v>487</v>
      </c>
      <c r="G277" s="34" t="s">
        <v>539</v>
      </c>
    </row>
    <row r="279" spans="1:8">
      <c r="B279" s="15" t="s">
        <v>222</v>
      </c>
      <c r="C279" s="15" t="s">
        <v>223</v>
      </c>
      <c r="D279" s="15" t="s">
        <v>224</v>
      </c>
      <c r="E279" s="15" t="s">
        <v>225</v>
      </c>
      <c r="F279" s="15" t="s">
        <v>226</v>
      </c>
      <c r="G279" s="15" t="s">
        <v>227</v>
      </c>
    </row>
    <row r="280" spans="1:8">
      <c r="A280" s="4" t="s">
        <v>174</v>
      </c>
      <c r="B280" s="21">
        <f>SUM(D$179:D$181)</f>
        <v>0</v>
      </c>
      <c r="C280" s="21">
        <f>SUM(E$179:E$181)</f>
        <v>0</v>
      </c>
      <c r="D280" s="21">
        <f>SUM(F$179:F$181)</f>
        <v>0</v>
      </c>
      <c r="E280" s="21">
        <f>SUM(G$179:G$181)</f>
        <v>0</v>
      </c>
      <c r="F280" s="21">
        <f>SUM(H$179:H$181)</f>
        <v>0</v>
      </c>
      <c r="G280" s="21">
        <f>SUM(I$179:I$181)</f>
        <v>0</v>
      </c>
      <c r="H280" s="17"/>
    </row>
    <row r="281" spans="1:8">
      <c r="A281" s="4" t="s">
        <v>175</v>
      </c>
      <c r="B281" s="21">
        <f>SUM(D$183:D$185)</f>
        <v>0</v>
      </c>
      <c r="C281" s="21">
        <f>SUM(E$183:E$185)</f>
        <v>0</v>
      </c>
      <c r="D281" s="21">
        <f>SUM(F$183:F$185)</f>
        <v>0</v>
      </c>
      <c r="E281" s="21">
        <f>SUM(G$183:G$185)</f>
        <v>0</v>
      </c>
      <c r="F281" s="21">
        <f>SUM(H$183:H$185)</f>
        <v>0</v>
      </c>
      <c r="G281" s="21">
        <f>SUM(I$183:I$185)</f>
        <v>0</v>
      </c>
      <c r="H281" s="17"/>
    </row>
    <row r="282" spans="1:8">
      <c r="A282" s="4" t="s">
        <v>211</v>
      </c>
      <c r="B282" s="21">
        <f>SUM(D$187:D$189)</f>
        <v>0</v>
      </c>
      <c r="C282" s="21">
        <f>SUM(E$187:E$189)</f>
        <v>0</v>
      </c>
      <c r="D282" s="21">
        <f>SUM(F$187:F$189)</f>
        <v>0</v>
      </c>
      <c r="E282" s="21">
        <f>SUM(G$187:G$189)</f>
        <v>0</v>
      </c>
      <c r="F282" s="21">
        <f>SUM(H$187:H$189)</f>
        <v>0</v>
      </c>
      <c r="G282" s="21">
        <f>SUM(I$187:I$189)</f>
        <v>0</v>
      </c>
      <c r="H282" s="17"/>
    </row>
    <row r="283" spans="1:8">
      <c r="A283" s="4" t="s">
        <v>176</v>
      </c>
      <c r="B283" s="21">
        <f>SUM(D$191:D$193)</f>
        <v>0</v>
      </c>
      <c r="C283" s="21">
        <f>SUM(E$191:E$193)</f>
        <v>0</v>
      </c>
      <c r="D283" s="21">
        <f>SUM(F$191:F$193)</f>
        <v>0</v>
      </c>
      <c r="E283" s="21">
        <f>SUM(G$191:G$193)</f>
        <v>0</v>
      </c>
      <c r="F283" s="21">
        <f>SUM(H$191:H$193)</f>
        <v>0</v>
      </c>
      <c r="G283" s="21">
        <f>SUM(I$191:I$193)</f>
        <v>0</v>
      </c>
      <c r="H283" s="17"/>
    </row>
    <row r="284" spans="1:8">
      <c r="A284" s="4" t="s">
        <v>177</v>
      </c>
      <c r="B284" s="21">
        <f>SUM(D$195:D$197)</f>
        <v>0</v>
      </c>
      <c r="C284" s="21">
        <f>SUM(E$195:E$197)</f>
        <v>0</v>
      </c>
      <c r="D284" s="21">
        <f>SUM(F$195:F$197)</f>
        <v>0</v>
      </c>
      <c r="E284" s="21">
        <f>SUM(G$195:G$197)</f>
        <v>0</v>
      </c>
      <c r="F284" s="21">
        <f>SUM(H$195:H$197)</f>
        <v>0</v>
      </c>
      <c r="G284" s="21">
        <f>SUM(I$195:I$197)</f>
        <v>0</v>
      </c>
      <c r="H284" s="17"/>
    </row>
    <row r="285" spans="1:8">
      <c r="A285" s="4" t="s">
        <v>212</v>
      </c>
      <c r="B285" s="21">
        <f>SUM(D$199:D$201)</f>
        <v>0</v>
      </c>
      <c r="C285" s="21">
        <f>SUM(E$199:E$201)</f>
        <v>0</v>
      </c>
      <c r="D285" s="21">
        <f>SUM(F$199:F$201)</f>
        <v>0</v>
      </c>
      <c r="E285" s="21">
        <f>SUM(G$199:G$201)</f>
        <v>0</v>
      </c>
      <c r="F285" s="21">
        <f>SUM(H$199:H$201)</f>
        <v>0</v>
      </c>
      <c r="G285" s="21">
        <f>SUM(I$199:I$201)</f>
        <v>0</v>
      </c>
      <c r="H285" s="17"/>
    </row>
    <row r="286" spans="1:8">
      <c r="A286" s="4" t="s">
        <v>178</v>
      </c>
      <c r="B286" s="21">
        <f>SUM(D$203:D$205)</f>
        <v>0</v>
      </c>
      <c r="C286" s="21">
        <f>SUM(E$203:E$205)</f>
        <v>0</v>
      </c>
      <c r="D286" s="21">
        <f>SUM(F$203:F$205)</f>
        <v>0</v>
      </c>
      <c r="E286" s="21">
        <f>SUM(G$203:G$205)</f>
        <v>0</v>
      </c>
      <c r="F286" s="21">
        <f>SUM(H$203:H$205)</f>
        <v>0</v>
      </c>
      <c r="G286" s="21">
        <f>SUM(I$203:I$205)</f>
        <v>0</v>
      </c>
      <c r="H286" s="17"/>
    </row>
    <row r="287" spans="1:8">
      <c r="A287" s="4" t="s">
        <v>179</v>
      </c>
      <c r="B287" s="21">
        <f>SUM(D$207:D$209)</f>
        <v>0</v>
      </c>
      <c r="C287" s="21">
        <f>SUM(E$207:E$209)</f>
        <v>0</v>
      </c>
      <c r="D287" s="21">
        <f>SUM(F$207:F$209)</f>
        <v>0</v>
      </c>
      <c r="E287" s="21">
        <f>SUM(G$207:G$209)</f>
        <v>0</v>
      </c>
      <c r="F287" s="21">
        <f>SUM(H$207:H$209)</f>
        <v>0</v>
      </c>
      <c r="G287" s="21">
        <f>SUM(I$207:I$209)</f>
        <v>0</v>
      </c>
      <c r="H287" s="17"/>
    </row>
    <row r="288" spans="1:8">
      <c r="A288" s="4" t="s">
        <v>180</v>
      </c>
      <c r="B288" s="21">
        <f>SUM(D$211:D$213)</f>
        <v>0</v>
      </c>
      <c r="C288" s="21">
        <f>SUM(E$211:E$213)</f>
        <v>0</v>
      </c>
      <c r="D288" s="21">
        <f>SUM(F$211:F$213)</f>
        <v>0</v>
      </c>
      <c r="E288" s="21">
        <f>SUM(G$211:G$213)</f>
        <v>0</v>
      </c>
      <c r="F288" s="21">
        <f>SUM(H$211:H$213)</f>
        <v>0</v>
      </c>
      <c r="G288" s="21">
        <f>SUM(I$211:I$213)</f>
        <v>0</v>
      </c>
      <c r="H288" s="17"/>
    </row>
    <row r="289" spans="1:8">
      <c r="A289" s="4" t="s">
        <v>181</v>
      </c>
      <c r="B289" s="21">
        <f>SUM(D$215:D$216)</f>
        <v>0</v>
      </c>
      <c r="C289" s="21">
        <f>SUM(E$215:E$216)</f>
        <v>0</v>
      </c>
      <c r="D289" s="21">
        <f>SUM(F$215:F$216)</f>
        <v>0</v>
      </c>
      <c r="E289" s="21">
        <f>SUM(G$215:G$216)</f>
        <v>0</v>
      </c>
      <c r="F289" s="21">
        <f>SUM(H$215:H$216)</f>
        <v>0</v>
      </c>
      <c r="G289" s="21">
        <f>SUM(I$215:I$216)</f>
        <v>0</v>
      </c>
      <c r="H289" s="17"/>
    </row>
    <row r="290" spans="1:8">
      <c r="A290" s="4" t="s">
        <v>193</v>
      </c>
      <c r="B290" s="21">
        <f>SUM(D$218:D$219)</f>
        <v>0</v>
      </c>
      <c r="C290" s="21">
        <f>SUM(E$218:E$219)</f>
        <v>0</v>
      </c>
      <c r="D290" s="21">
        <f>SUM(F$218:F$219)</f>
        <v>0</v>
      </c>
      <c r="E290" s="21">
        <f>SUM(G$218:G$219)</f>
        <v>0</v>
      </c>
      <c r="F290" s="21">
        <f>SUM(H$218:H$219)</f>
        <v>0</v>
      </c>
      <c r="G290" s="21">
        <f>SUM(I$218:I$219)</f>
        <v>0</v>
      </c>
      <c r="H290" s="17"/>
    </row>
    <row r="291" spans="1:8">
      <c r="A291" s="4" t="s">
        <v>213</v>
      </c>
      <c r="B291" s="21">
        <f>SUM(D$221:D$223)</f>
        <v>0</v>
      </c>
      <c r="C291" s="21">
        <f>SUM(E$221:E$223)</f>
        <v>0</v>
      </c>
      <c r="D291" s="21">
        <f>SUM(F$221:F$223)</f>
        <v>0</v>
      </c>
      <c r="E291" s="21">
        <f>SUM(G$221:G$223)</f>
        <v>0</v>
      </c>
      <c r="F291" s="21">
        <f>SUM(H$221:H$223)</f>
        <v>0</v>
      </c>
      <c r="G291" s="21">
        <f>SUM(I$221:I$223)</f>
        <v>0</v>
      </c>
      <c r="H291" s="17"/>
    </row>
    <row r="292" spans="1:8">
      <c r="A292" s="4" t="s">
        <v>214</v>
      </c>
      <c r="B292" s="21">
        <f>SUM(D$225:D$227)</f>
        <v>0</v>
      </c>
      <c r="C292" s="21">
        <f>SUM(E$225:E$227)</f>
        <v>0</v>
      </c>
      <c r="D292" s="21">
        <f>SUM(F$225:F$227)</f>
        <v>0</v>
      </c>
      <c r="E292" s="21">
        <f>SUM(G$225:G$227)</f>
        <v>0</v>
      </c>
      <c r="F292" s="21">
        <f>SUM(H$225:H$227)</f>
        <v>0</v>
      </c>
      <c r="G292" s="21">
        <f>SUM(I$225:I$227)</f>
        <v>0</v>
      </c>
      <c r="H292" s="17"/>
    </row>
    <row r="293" spans="1:8">
      <c r="A293" s="4" t="s">
        <v>215</v>
      </c>
      <c r="B293" s="21">
        <f>SUM(D$229:D$231)</f>
        <v>0</v>
      </c>
      <c r="C293" s="21">
        <f>SUM(E$229:E$231)</f>
        <v>0</v>
      </c>
      <c r="D293" s="21">
        <f>SUM(F$229:F$231)</f>
        <v>0</v>
      </c>
      <c r="E293" s="21">
        <f>SUM(G$229:G$231)</f>
        <v>0</v>
      </c>
      <c r="F293" s="21">
        <f>SUM(H$229:H$231)</f>
        <v>0</v>
      </c>
      <c r="G293" s="21">
        <f>SUM(I$229:I$231)</f>
        <v>0</v>
      </c>
      <c r="H293" s="17"/>
    </row>
    <row r="294" spans="1:8">
      <c r="A294" s="4" t="s">
        <v>216</v>
      </c>
      <c r="B294" s="21">
        <f>SUM(D$233:D$235)</f>
        <v>0</v>
      </c>
      <c r="C294" s="21">
        <f>SUM(E$233:E$235)</f>
        <v>0</v>
      </c>
      <c r="D294" s="21">
        <f>SUM(F$233:F$235)</f>
        <v>0</v>
      </c>
      <c r="E294" s="21">
        <f>SUM(G$233:G$235)</f>
        <v>0</v>
      </c>
      <c r="F294" s="21">
        <f>SUM(H$233:H$235)</f>
        <v>0</v>
      </c>
      <c r="G294" s="21">
        <f>SUM(I$233:I$235)</f>
        <v>0</v>
      </c>
      <c r="H294" s="17"/>
    </row>
    <row r="295" spans="1:8">
      <c r="A295" s="4" t="s">
        <v>217</v>
      </c>
      <c r="B295" s="21">
        <f>SUM(D$237:D$239)</f>
        <v>0</v>
      </c>
      <c r="C295" s="21">
        <f>SUM(E$237:E$239)</f>
        <v>0</v>
      </c>
      <c r="D295" s="21">
        <f>SUM(F$237:F$239)</f>
        <v>0</v>
      </c>
      <c r="E295" s="21">
        <f>SUM(G$237:G$239)</f>
        <v>0</v>
      </c>
      <c r="F295" s="21">
        <f>SUM(H$237:H$239)</f>
        <v>0</v>
      </c>
      <c r="G295" s="21">
        <f>SUM(I$237:I$239)</f>
        <v>0</v>
      </c>
      <c r="H295" s="17"/>
    </row>
    <row r="296" spans="1:8">
      <c r="A296" s="4" t="s">
        <v>182</v>
      </c>
      <c r="B296" s="21">
        <f>SUM(D$241:D$243)</f>
        <v>0</v>
      </c>
      <c r="C296" s="21">
        <f>SUM(E$241:E$243)</f>
        <v>0</v>
      </c>
      <c r="D296" s="21">
        <f>SUM(F$241:F$243)</f>
        <v>0</v>
      </c>
      <c r="E296" s="21">
        <f>SUM(G$241:G$243)</f>
        <v>0</v>
      </c>
      <c r="F296" s="21">
        <f>SUM(H$241:H$243)</f>
        <v>0</v>
      </c>
      <c r="G296" s="21">
        <f>SUM(I$241:I$243)</f>
        <v>0</v>
      </c>
      <c r="H296" s="17"/>
    </row>
    <row r="297" spans="1:8">
      <c r="A297" s="4" t="s">
        <v>183</v>
      </c>
      <c r="B297" s="21">
        <f>SUM(D$245:D$246)</f>
        <v>0</v>
      </c>
      <c r="C297" s="21">
        <f>SUM(E$245:E$246)</f>
        <v>0</v>
      </c>
      <c r="D297" s="21">
        <f>SUM(F$245:F$246)</f>
        <v>0</v>
      </c>
      <c r="E297" s="21">
        <f>SUM(G$245:G$246)</f>
        <v>0</v>
      </c>
      <c r="F297" s="21">
        <f>SUM(H$245:H$246)</f>
        <v>0</v>
      </c>
      <c r="G297" s="21">
        <f>SUM(I$245:I$246)</f>
        <v>0</v>
      </c>
      <c r="H297" s="17"/>
    </row>
    <row r="298" spans="1:8">
      <c r="A298" s="4" t="s">
        <v>184</v>
      </c>
      <c r="B298" s="21">
        <f>SUM(D$248:D$250)</f>
        <v>0</v>
      </c>
      <c r="C298" s="21">
        <f>SUM(E$248:E$250)</f>
        <v>0</v>
      </c>
      <c r="D298" s="21">
        <f>SUM(F$248:F$250)</f>
        <v>0</v>
      </c>
      <c r="E298" s="21">
        <f>SUM(G$248:G$250)</f>
        <v>0</v>
      </c>
      <c r="F298" s="21">
        <f>SUM(H$248:H$250)</f>
        <v>0</v>
      </c>
      <c r="G298" s="21">
        <f>SUM(I$248:I$250)</f>
        <v>0</v>
      </c>
      <c r="H298" s="17"/>
    </row>
    <row r="299" spans="1:8">
      <c r="A299" s="4" t="s">
        <v>185</v>
      </c>
      <c r="B299" s="21">
        <f>SUM(D$252:D$254)</f>
        <v>0</v>
      </c>
      <c r="C299" s="21">
        <f>SUM(E$252:E$254)</f>
        <v>0</v>
      </c>
      <c r="D299" s="21">
        <f>SUM(F$252:F$254)</f>
        <v>0</v>
      </c>
      <c r="E299" s="21">
        <f>SUM(G$252:G$254)</f>
        <v>0</v>
      </c>
      <c r="F299" s="21">
        <f>SUM(H$252:H$254)</f>
        <v>0</v>
      </c>
      <c r="G299" s="21">
        <f>SUM(I$252:I$254)</f>
        <v>0</v>
      </c>
      <c r="H299" s="17"/>
    </row>
    <row r="300" spans="1:8">
      <c r="A300" s="4" t="s">
        <v>186</v>
      </c>
      <c r="B300" s="21">
        <f>SUM(D$256:D$257)</f>
        <v>0</v>
      </c>
      <c r="C300" s="21">
        <f>SUM(E$256:E$257)</f>
        <v>0</v>
      </c>
      <c r="D300" s="21">
        <f>SUM(F$256:F$257)</f>
        <v>0</v>
      </c>
      <c r="E300" s="21">
        <f>SUM(G$256:G$257)</f>
        <v>0</v>
      </c>
      <c r="F300" s="21">
        <f>SUM(H$256:H$257)</f>
        <v>0</v>
      </c>
      <c r="G300" s="21">
        <f>SUM(I$256:I$257)</f>
        <v>0</v>
      </c>
      <c r="H300" s="17"/>
    </row>
    <row r="301" spans="1:8">
      <c r="A301" s="4" t="s">
        <v>187</v>
      </c>
      <c r="B301" s="21">
        <f>SUM(D$259:D$260)</f>
        <v>0</v>
      </c>
      <c r="C301" s="21">
        <f>SUM(E$259:E$260)</f>
        <v>0</v>
      </c>
      <c r="D301" s="21">
        <f>SUM(F$259:F$260)</f>
        <v>0</v>
      </c>
      <c r="E301" s="21">
        <f>SUM(G$259:G$260)</f>
        <v>0</v>
      </c>
      <c r="F301" s="21">
        <f>SUM(H$259:H$260)</f>
        <v>0</v>
      </c>
      <c r="G301" s="21">
        <f>SUM(I$259:I$260)</f>
        <v>0</v>
      </c>
      <c r="H301" s="17"/>
    </row>
    <row r="302" spans="1:8">
      <c r="A302" s="4" t="s">
        <v>194</v>
      </c>
      <c r="B302" s="21">
        <f>SUM(D$262:D$263)</f>
        <v>0</v>
      </c>
      <c r="C302" s="21">
        <f>SUM(E$262:E$263)</f>
        <v>0</v>
      </c>
      <c r="D302" s="21">
        <f>SUM(F$262:F$263)</f>
        <v>0</v>
      </c>
      <c r="E302" s="21">
        <f>SUM(G$262:G$263)</f>
        <v>0</v>
      </c>
      <c r="F302" s="21">
        <f>SUM(H$262:H$263)</f>
        <v>0</v>
      </c>
      <c r="G302" s="21">
        <f>SUM(I$262:I$263)</f>
        <v>0</v>
      </c>
      <c r="H302" s="17"/>
    </row>
    <row r="303" spans="1:8">
      <c r="A303" s="4" t="s">
        <v>195</v>
      </c>
      <c r="B303" s="21">
        <f>SUM(D$265:D$266)</f>
        <v>0</v>
      </c>
      <c r="C303" s="21">
        <f>SUM(E$265:E$266)</f>
        <v>0</v>
      </c>
      <c r="D303" s="21">
        <f>SUM(F$265:F$266)</f>
        <v>0</v>
      </c>
      <c r="E303" s="21">
        <f>SUM(G$265:G$266)</f>
        <v>0</v>
      </c>
      <c r="F303" s="21">
        <f>SUM(H$265:H$266)</f>
        <v>0</v>
      </c>
      <c r="G303" s="21">
        <f>SUM(I$265:I$266)</f>
        <v>0</v>
      </c>
      <c r="H303" s="17"/>
    </row>
  </sheetData>
  <sheetProtection sheet="1" objects="1" scenarios="1"/>
  <hyperlinks>
    <hyperlink ref="A14" location="'Input'!B156" display="x1 = 1041. Coincidence factor to system maximum load for each type of demand user (in Load profile data for demand users)"/>
    <hyperlink ref="A15" location="'Input'!C156" display="x2 = 1041. Load factor for each type of demand user (in Load profile data for demand users)"/>
    <hyperlink ref="A38" location="'Loads'!B18" display="x1 = 2301. Demand coefficient (load at time of system maximum load divided by average load)"/>
    <hyperlink ref="A163" location="'Loads'!B70" display="x1 = 2303. Discount map"/>
    <hyperlink ref="A164" location="'Input'!B150" display="x2 = 1037. Embedded network (LDNO) discounts"/>
    <hyperlink ref="A166" location="'Loads'!B177" display="x4 = Discount for each tariff (except for fixed charges) (in LDNO discounts and volumes adjusted for discount)"/>
    <hyperlink ref="A167" location="'Input'!B179" display="x5 = 1053. Rate 1 units (MWh) by tariff (in Volume forecasts for the charging year)"/>
    <hyperlink ref="A168" location="'Input'!C179" display="x6 = 1053. Rate 2 units (MWh) by tariff (in Volume forecasts for the charging year)"/>
    <hyperlink ref="A169" location="'Input'!D179" display="x7 = 1053. Rate 3 units (MWh) by tariff (in Volume forecasts for the charging year)"/>
    <hyperlink ref="A170" location="'Input'!E179" display="x8 = 1053. MPANs by tariff (in Volume forecasts for the charging year)"/>
    <hyperlink ref="A171" location="'Loads'!C177" display="x9 = Discount for each tariff for fixed charges only (in LDNO discounts and volumes adjusted for discount)"/>
    <hyperlink ref="A172" location="'Input'!F179" display="x10 = 1053. Import capacity (kVA) by tariff (in Volume forecasts for the charging year)"/>
    <hyperlink ref="A173" location="'Input'!G179" display="x11 = 1053. Reactive power units (MVArh) by tariff (in Volume forecasts for the charging year)"/>
    <hyperlink ref="A270" location="'Loads'!D177" display="x1 = 2304. Rate 1 units (MWh) (in LDNO discounts and volumes adjusted for discount)"/>
    <hyperlink ref="A271" location="'Loads'!E177" display="x2 = 2304. Rate 2 units (MWh) (in LDNO discounts and volumes adjusted for discount)"/>
    <hyperlink ref="A272" location="'Loads'!F177" display="x3 = 2304. Rate 3 units (MWh) (in LDNO discounts and volumes adjusted for discount)"/>
    <hyperlink ref="A273" location="'Loads'!G177" display="x4 = 2304. MPANs (in LDNO discounts and volumes adjusted for discount)"/>
    <hyperlink ref="A274" location="'Loads'!H177" display="x5 = 2304. Import capacity (kVA) (in LDNO discounts and volumes adjusted for discount)"/>
    <hyperlink ref="A275" location="'Loads'!I177" display="x6 = 2304. Reactive power units (MVArh) (in LDNO discounts and volumes adjusted for discount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87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"Load characteristics for multiple unit rates for "&amp;'Input'!B7&amp;" in "&amp;'Input'!C7&amp;" ("&amp;'Input'!D7&amp;")"</f>
        <v>0</v>
      </c>
    </row>
    <row r="3" spans="1:6" ht="21" customHeight="1">
      <c r="A3" s="1" t="s">
        <v>540</v>
      </c>
    </row>
    <row r="4" spans="1:6">
      <c r="A4" s="2" t="s">
        <v>351</v>
      </c>
    </row>
    <row r="5" spans="1:6">
      <c r="A5" s="33" t="s">
        <v>541</v>
      </c>
    </row>
    <row r="6" spans="1:6">
      <c r="A6" s="33" t="s">
        <v>542</v>
      </c>
    </row>
    <row r="7" spans="1:6">
      <c r="A7" s="33" t="s">
        <v>543</v>
      </c>
    </row>
    <row r="8" spans="1:6">
      <c r="A8" s="34" t="s">
        <v>354</v>
      </c>
      <c r="B8" s="34" t="s">
        <v>485</v>
      </c>
      <c r="C8" s="34" t="s">
        <v>484</v>
      </c>
      <c r="D8" s="34"/>
      <c r="E8" s="34"/>
    </row>
    <row r="9" spans="1:6">
      <c r="A9" s="34" t="s">
        <v>357</v>
      </c>
      <c r="B9" s="34" t="s">
        <v>535</v>
      </c>
      <c r="C9" s="34" t="s">
        <v>544</v>
      </c>
      <c r="D9" s="34"/>
      <c r="E9" s="34"/>
    </row>
    <row r="11" spans="1:6">
      <c r="C11" s="31" t="s">
        <v>546</v>
      </c>
      <c r="D11" s="31"/>
      <c r="E11" s="31"/>
    </row>
    <row r="12" spans="1:6">
      <c r="B12" s="15" t="s">
        <v>545</v>
      </c>
      <c r="C12" s="15" t="s">
        <v>319</v>
      </c>
      <c r="D12" s="15" t="s">
        <v>320</v>
      </c>
      <c r="E12" s="15" t="s">
        <v>321</v>
      </c>
    </row>
    <row r="13" spans="1:6">
      <c r="A13" s="4" t="s">
        <v>547</v>
      </c>
      <c r="B13" s="43">
        <f>SUM('Input'!$B328:$D328)</f>
        <v>0</v>
      </c>
      <c r="C13" s="43">
        <f>'Input'!B328*24*'Input'!$F58/$B13</f>
        <v>0</v>
      </c>
      <c r="D13" s="43">
        <f>'Input'!C328*24*'Input'!$F58/$B13</f>
        <v>0</v>
      </c>
      <c r="E13" s="43">
        <f>'Input'!D328*24*'Input'!$F58/$B13</f>
        <v>0</v>
      </c>
      <c r="F13" s="17"/>
    </row>
    <row r="15" spans="1:6" ht="21" customHeight="1">
      <c r="A15" s="1" t="s">
        <v>548</v>
      </c>
    </row>
    <row r="16" spans="1:6">
      <c r="A16" s="2" t="s">
        <v>351</v>
      </c>
    </row>
    <row r="17" spans="1:6">
      <c r="A17" s="33" t="s">
        <v>549</v>
      </c>
    </row>
    <row r="18" spans="1:6">
      <c r="A18" s="33" t="s">
        <v>550</v>
      </c>
    </row>
    <row r="19" spans="1:6">
      <c r="A19" s="33" t="s">
        <v>551</v>
      </c>
    </row>
    <row r="20" spans="1:6">
      <c r="A20" s="33" t="s">
        <v>552</v>
      </c>
    </row>
    <row r="21" spans="1:6">
      <c r="A21" s="34" t="s">
        <v>354</v>
      </c>
      <c r="B21" s="34" t="s">
        <v>485</v>
      </c>
      <c r="C21" s="34" t="s">
        <v>484</v>
      </c>
      <c r="D21" s="34"/>
      <c r="E21" s="34"/>
    </row>
    <row r="22" spans="1:6">
      <c r="A22" s="34" t="s">
        <v>357</v>
      </c>
      <c r="B22" s="34" t="s">
        <v>535</v>
      </c>
      <c r="C22" s="34" t="s">
        <v>553</v>
      </c>
      <c r="D22" s="34"/>
      <c r="E22" s="34"/>
    </row>
    <row r="24" spans="1:6">
      <c r="C24" s="31" t="s">
        <v>555</v>
      </c>
      <c r="D24" s="31"/>
      <c r="E24" s="31"/>
    </row>
    <row r="25" spans="1:6">
      <c r="B25" s="15" t="s">
        <v>554</v>
      </c>
      <c r="C25" s="15" t="s">
        <v>319</v>
      </c>
      <c r="D25" s="15" t="s">
        <v>320</v>
      </c>
      <c r="E25" s="15" t="s">
        <v>321</v>
      </c>
    </row>
    <row r="26" spans="1:6">
      <c r="A26" s="4" t="s">
        <v>174</v>
      </c>
      <c r="B26" s="40">
        <f>SUM('Input'!$B295:$D295)</f>
        <v>0</v>
      </c>
      <c r="C26" s="40">
        <f>IF($B26,'Input'!B295/$B26,C$13/'Input'!$F$58/24)</f>
        <v>0</v>
      </c>
      <c r="D26" s="40">
        <f>IF($B26,'Input'!C295/$B26,D$13/'Input'!$F$58/24)</f>
        <v>0</v>
      </c>
      <c r="E26" s="40">
        <f>IF($B26,'Input'!D295/$B26,E$13/'Input'!$F$58/24)</f>
        <v>0</v>
      </c>
      <c r="F26" s="17"/>
    </row>
    <row r="27" spans="1:6">
      <c r="A27" s="4" t="s">
        <v>175</v>
      </c>
      <c r="B27" s="40">
        <f>SUM('Input'!$B296:$D296)</f>
        <v>0</v>
      </c>
      <c r="C27" s="40">
        <f>IF($B27,'Input'!B296/$B27,C$13/'Input'!$F$58/24)</f>
        <v>0</v>
      </c>
      <c r="D27" s="40">
        <f>IF($B27,'Input'!C296/$B27,D$13/'Input'!$F$58/24)</f>
        <v>0</v>
      </c>
      <c r="E27" s="40">
        <f>IF($B27,'Input'!D296/$B27,E$13/'Input'!$F$58/24)</f>
        <v>0</v>
      </c>
      <c r="F27" s="17"/>
    </row>
    <row r="28" spans="1:6">
      <c r="A28" s="4" t="s">
        <v>211</v>
      </c>
      <c r="B28" s="40">
        <f>SUM('Input'!$B297:$D297)</f>
        <v>0</v>
      </c>
      <c r="C28" s="40">
        <f>IF($B28,'Input'!B297/$B28,C$13/'Input'!$F$58/24)</f>
        <v>0</v>
      </c>
      <c r="D28" s="40">
        <f>IF($B28,'Input'!C297/$B28,D$13/'Input'!$F$58/24)</f>
        <v>0</v>
      </c>
      <c r="E28" s="40">
        <f>IF($B28,'Input'!D297/$B28,E$13/'Input'!$F$58/24)</f>
        <v>0</v>
      </c>
      <c r="F28" s="17"/>
    </row>
    <row r="29" spans="1:6">
      <c r="A29" s="4" t="s">
        <v>176</v>
      </c>
      <c r="B29" s="40">
        <f>SUM('Input'!$B298:$D298)</f>
        <v>0</v>
      </c>
      <c r="C29" s="40">
        <f>IF($B29,'Input'!B298/$B29,C$13/'Input'!$F$58/24)</f>
        <v>0</v>
      </c>
      <c r="D29" s="40">
        <f>IF($B29,'Input'!C298/$B29,D$13/'Input'!$F$58/24)</f>
        <v>0</v>
      </c>
      <c r="E29" s="40">
        <f>IF($B29,'Input'!D298/$B29,E$13/'Input'!$F$58/24)</f>
        <v>0</v>
      </c>
      <c r="F29" s="17"/>
    </row>
    <row r="30" spans="1:6">
      <c r="A30" s="4" t="s">
        <v>177</v>
      </c>
      <c r="B30" s="40">
        <f>SUM('Input'!$B299:$D299)</f>
        <v>0</v>
      </c>
      <c r="C30" s="40">
        <f>IF($B30,'Input'!B299/$B30,C$13/'Input'!$F$58/24)</f>
        <v>0</v>
      </c>
      <c r="D30" s="40">
        <f>IF($B30,'Input'!C299/$B30,D$13/'Input'!$F$58/24)</f>
        <v>0</v>
      </c>
      <c r="E30" s="40">
        <f>IF($B30,'Input'!D299/$B30,E$13/'Input'!$F$58/24)</f>
        <v>0</v>
      </c>
      <c r="F30" s="17"/>
    </row>
    <row r="31" spans="1:6">
      <c r="A31" s="4" t="s">
        <v>212</v>
      </c>
      <c r="B31" s="40">
        <f>SUM('Input'!$B300:$D300)</f>
        <v>0</v>
      </c>
      <c r="C31" s="40">
        <f>IF($B31,'Input'!B300/$B31,C$13/'Input'!$F$58/24)</f>
        <v>0</v>
      </c>
      <c r="D31" s="40">
        <f>IF($B31,'Input'!C300/$B31,D$13/'Input'!$F$58/24)</f>
        <v>0</v>
      </c>
      <c r="E31" s="40">
        <f>IF($B31,'Input'!D300/$B31,E$13/'Input'!$F$58/24)</f>
        <v>0</v>
      </c>
      <c r="F31" s="17"/>
    </row>
    <row r="33" spans="1:5" ht="21" customHeight="1">
      <c r="A33" s="1" t="s">
        <v>556</v>
      </c>
    </row>
    <row r="34" spans="1:5">
      <c r="A34" s="2" t="s">
        <v>351</v>
      </c>
    </row>
    <row r="35" spans="1:5">
      <c r="A35" s="33" t="s">
        <v>557</v>
      </c>
    </row>
    <row r="36" spans="1:5">
      <c r="A36" s="2" t="s">
        <v>558</v>
      </c>
    </row>
    <row r="37" spans="1:5">
      <c r="A37" s="2" t="s">
        <v>369</v>
      </c>
    </row>
    <row r="39" spans="1:5">
      <c r="B39" s="15" t="s">
        <v>319</v>
      </c>
      <c r="C39" s="15" t="s">
        <v>320</v>
      </c>
      <c r="D39" s="15" t="s">
        <v>321</v>
      </c>
    </row>
    <row r="40" spans="1:5">
      <c r="A40" s="4" t="s">
        <v>174</v>
      </c>
      <c r="B40" s="42">
        <f>C$26</f>
        <v>0</v>
      </c>
      <c r="C40" s="42">
        <f>D$26</f>
        <v>0</v>
      </c>
      <c r="D40" s="42">
        <f>E$26</f>
        <v>0</v>
      </c>
      <c r="E40" s="17"/>
    </row>
    <row r="41" spans="1:5">
      <c r="A41" s="4" t="s">
        <v>175</v>
      </c>
      <c r="B41" s="42">
        <f>C$27</f>
        <v>0</v>
      </c>
      <c r="C41" s="42">
        <f>D$27</f>
        <v>0</v>
      </c>
      <c r="D41" s="42">
        <f>E$27</f>
        <v>0</v>
      </c>
      <c r="E41" s="17"/>
    </row>
    <row r="42" spans="1:5">
      <c r="A42" s="4" t="s">
        <v>211</v>
      </c>
      <c r="B42" s="42">
        <f>C$28</f>
        <v>0</v>
      </c>
      <c r="C42" s="42">
        <f>D$28</f>
        <v>0</v>
      </c>
      <c r="D42" s="42">
        <f>E$28</f>
        <v>0</v>
      </c>
      <c r="E42" s="17"/>
    </row>
    <row r="43" spans="1:5">
      <c r="A43" s="4" t="s">
        <v>176</v>
      </c>
      <c r="B43" s="42">
        <f>C$29</f>
        <v>0</v>
      </c>
      <c r="C43" s="42">
        <f>D$29</f>
        <v>0</v>
      </c>
      <c r="D43" s="42">
        <f>E$29</f>
        <v>0</v>
      </c>
      <c r="E43" s="17"/>
    </row>
    <row r="44" spans="1:5">
      <c r="A44" s="4" t="s">
        <v>177</v>
      </c>
      <c r="B44" s="42">
        <f>C$30</f>
        <v>0</v>
      </c>
      <c r="C44" s="42">
        <f>D$30</f>
        <v>0</v>
      </c>
      <c r="D44" s="42">
        <f>E$30</f>
        <v>0</v>
      </c>
      <c r="E44" s="17"/>
    </row>
    <row r="45" spans="1:5">
      <c r="A45" s="4" t="s">
        <v>212</v>
      </c>
      <c r="B45" s="42">
        <f>C$31</f>
        <v>0</v>
      </c>
      <c r="C45" s="42">
        <f>D$31</f>
        <v>0</v>
      </c>
      <c r="D45" s="42">
        <f>E$31</f>
        <v>0</v>
      </c>
      <c r="E45" s="17"/>
    </row>
    <row r="46" spans="1:5">
      <c r="A46" s="4" t="s">
        <v>178</v>
      </c>
      <c r="B46" s="41">
        <v>1</v>
      </c>
      <c r="C46" s="41">
        <v>0</v>
      </c>
      <c r="D46" s="41">
        <v>0</v>
      </c>
      <c r="E46" s="17"/>
    </row>
    <row r="47" spans="1:5">
      <c r="A47" s="4" t="s">
        <v>179</v>
      </c>
      <c r="B47" s="41">
        <v>1</v>
      </c>
      <c r="C47" s="41">
        <v>0</v>
      </c>
      <c r="D47" s="41">
        <v>0</v>
      </c>
      <c r="E47" s="17"/>
    </row>
    <row r="48" spans="1:5">
      <c r="A48" s="4" t="s">
        <v>180</v>
      </c>
      <c r="B48" s="41">
        <v>1</v>
      </c>
      <c r="C48" s="41">
        <v>0</v>
      </c>
      <c r="D48" s="41">
        <v>0</v>
      </c>
      <c r="E48" s="17"/>
    </row>
    <row r="49" spans="1:5">
      <c r="A49" s="4" t="s">
        <v>181</v>
      </c>
      <c r="B49" s="41">
        <v>1</v>
      </c>
      <c r="C49" s="41">
        <v>0</v>
      </c>
      <c r="D49" s="41">
        <v>0</v>
      </c>
      <c r="E49" s="17"/>
    </row>
    <row r="50" spans="1:5">
      <c r="A50" s="4" t="s">
        <v>193</v>
      </c>
      <c r="B50" s="41">
        <v>1</v>
      </c>
      <c r="C50" s="41">
        <v>0</v>
      </c>
      <c r="D50" s="41">
        <v>0</v>
      </c>
      <c r="E50" s="17"/>
    </row>
    <row r="51" spans="1:5">
      <c r="A51" s="4" t="s">
        <v>185</v>
      </c>
      <c r="B51" s="41">
        <v>1</v>
      </c>
      <c r="C51" s="41">
        <v>0</v>
      </c>
      <c r="D51" s="41">
        <v>0</v>
      </c>
      <c r="E51" s="17"/>
    </row>
    <row r="52" spans="1:5">
      <c r="A52" s="4" t="s">
        <v>187</v>
      </c>
      <c r="B52" s="41">
        <v>1</v>
      </c>
      <c r="C52" s="41">
        <v>0</v>
      </c>
      <c r="D52" s="41">
        <v>0</v>
      </c>
      <c r="E52" s="17"/>
    </row>
    <row r="53" spans="1:5">
      <c r="A53" s="4" t="s">
        <v>195</v>
      </c>
      <c r="B53" s="41">
        <v>1</v>
      </c>
      <c r="C53" s="41">
        <v>0</v>
      </c>
      <c r="D53" s="41">
        <v>0</v>
      </c>
      <c r="E53" s="17"/>
    </row>
    <row r="55" spans="1:5" ht="21" customHeight="1">
      <c r="A55" s="1" t="s">
        <v>559</v>
      </c>
    </row>
    <row r="56" spans="1:5">
      <c r="A56" s="2" t="s">
        <v>351</v>
      </c>
    </row>
    <row r="57" spans="1:5">
      <c r="A57" s="33" t="s">
        <v>560</v>
      </c>
    </row>
    <row r="58" spans="1:5">
      <c r="A58" s="33" t="s">
        <v>561</v>
      </c>
    </row>
    <row r="59" spans="1:5">
      <c r="A59" s="33" t="s">
        <v>551</v>
      </c>
    </row>
    <row r="60" spans="1:5">
      <c r="A60" s="33" t="s">
        <v>552</v>
      </c>
    </row>
    <row r="61" spans="1:5">
      <c r="A61" s="34" t="s">
        <v>354</v>
      </c>
      <c r="B61" s="34" t="s">
        <v>485</v>
      </c>
      <c r="C61" s="34" t="s">
        <v>484</v>
      </c>
      <c r="D61" s="34"/>
      <c r="E61" s="34"/>
    </row>
    <row r="62" spans="1:5">
      <c r="A62" s="34" t="s">
        <v>357</v>
      </c>
      <c r="B62" s="34" t="s">
        <v>535</v>
      </c>
      <c r="C62" s="34" t="s">
        <v>553</v>
      </c>
      <c r="D62" s="34"/>
      <c r="E62" s="34"/>
    </row>
    <row r="64" spans="1:5">
      <c r="C64" s="31" t="s">
        <v>562</v>
      </c>
      <c r="D64" s="31"/>
      <c r="E64" s="31"/>
    </row>
    <row r="65" spans="1:6">
      <c r="B65" s="15" t="s">
        <v>554</v>
      </c>
      <c r="C65" s="15" t="s">
        <v>319</v>
      </c>
      <c r="D65" s="15" t="s">
        <v>320</v>
      </c>
      <c r="E65" s="15" t="s">
        <v>321</v>
      </c>
    </row>
    <row r="66" spans="1:6">
      <c r="A66" s="4" t="s">
        <v>175</v>
      </c>
      <c r="B66" s="40">
        <f>SUM('Input'!$B305:$D305)</f>
        <v>0</v>
      </c>
      <c r="C66" s="40">
        <f>IF($B66,'Input'!B305/$B66,C$13/'Input'!$F$58/24)</f>
        <v>0</v>
      </c>
      <c r="D66" s="40">
        <f>IF($B66,'Input'!C305/$B66,D$13/'Input'!$F$58/24)</f>
        <v>0</v>
      </c>
      <c r="E66" s="40">
        <f>IF($B66,'Input'!D305/$B66,E$13/'Input'!$F$58/24)</f>
        <v>0</v>
      </c>
      <c r="F66" s="17"/>
    </row>
    <row r="67" spans="1:6">
      <c r="A67" s="4" t="s">
        <v>177</v>
      </c>
      <c r="B67" s="40">
        <f>SUM('Input'!$B306:$D306)</f>
        <v>0</v>
      </c>
      <c r="C67" s="40">
        <f>IF($B67,'Input'!B306/$B67,C$13/'Input'!$F$58/24)</f>
        <v>0</v>
      </c>
      <c r="D67" s="40">
        <f>IF($B67,'Input'!C306/$B67,D$13/'Input'!$F$58/24)</f>
        <v>0</v>
      </c>
      <c r="E67" s="40">
        <f>IF($B67,'Input'!D306/$B67,E$13/'Input'!$F$58/24)</f>
        <v>0</v>
      </c>
      <c r="F67" s="17"/>
    </row>
    <row r="69" spans="1:6" ht="21" customHeight="1">
      <c r="A69" s="1" t="s">
        <v>563</v>
      </c>
    </row>
    <row r="70" spans="1:6">
      <c r="A70" s="2" t="s">
        <v>351</v>
      </c>
    </row>
    <row r="71" spans="1:6">
      <c r="A71" s="33" t="s">
        <v>564</v>
      </c>
    </row>
    <row r="72" spans="1:6">
      <c r="A72" s="2" t="s">
        <v>565</v>
      </c>
    </row>
    <row r="73" spans="1:6">
      <c r="A73" s="2" t="s">
        <v>369</v>
      </c>
    </row>
    <row r="75" spans="1:6">
      <c r="B75" s="15" t="s">
        <v>319</v>
      </c>
      <c r="C75" s="15" t="s">
        <v>320</v>
      </c>
      <c r="D75" s="15" t="s">
        <v>321</v>
      </c>
    </row>
    <row r="76" spans="1:6">
      <c r="A76" s="4" t="s">
        <v>175</v>
      </c>
      <c r="B76" s="42">
        <f>C$66</f>
        <v>0</v>
      </c>
      <c r="C76" s="42">
        <f>D$66</f>
        <v>0</v>
      </c>
      <c r="D76" s="42">
        <f>E$66</f>
        <v>0</v>
      </c>
      <c r="E76" s="17"/>
    </row>
    <row r="77" spans="1:6">
      <c r="A77" s="4" t="s">
        <v>177</v>
      </c>
      <c r="B77" s="42">
        <f>C$67</f>
        <v>0</v>
      </c>
      <c r="C77" s="42">
        <f>D$67</f>
        <v>0</v>
      </c>
      <c r="D77" s="42">
        <f>E$67</f>
        <v>0</v>
      </c>
      <c r="E77" s="17"/>
    </row>
    <row r="78" spans="1:6">
      <c r="A78" s="4" t="s">
        <v>178</v>
      </c>
      <c r="B78" s="41">
        <v>0</v>
      </c>
      <c r="C78" s="41">
        <v>1</v>
      </c>
      <c r="D78" s="41">
        <v>0</v>
      </c>
      <c r="E78" s="17"/>
    </row>
    <row r="79" spans="1:6">
      <c r="A79" s="4" t="s">
        <v>179</v>
      </c>
      <c r="B79" s="41">
        <v>0</v>
      </c>
      <c r="C79" s="41">
        <v>1</v>
      </c>
      <c r="D79" s="41">
        <v>0</v>
      </c>
      <c r="E79" s="17"/>
    </row>
    <row r="80" spans="1:6">
      <c r="A80" s="4" t="s">
        <v>180</v>
      </c>
      <c r="B80" s="41">
        <v>0</v>
      </c>
      <c r="C80" s="41">
        <v>1</v>
      </c>
      <c r="D80" s="41">
        <v>0</v>
      </c>
      <c r="E80" s="17"/>
    </row>
    <row r="81" spans="1:5">
      <c r="A81" s="4" t="s">
        <v>181</v>
      </c>
      <c r="B81" s="41">
        <v>0</v>
      </c>
      <c r="C81" s="41">
        <v>1</v>
      </c>
      <c r="D81" s="41">
        <v>0</v>
      </c>
      <c r="E81" s="17"/>
    </row>
    <row r="82" spans="1:5">
      <c r="A82" s="4" t="s">
        <v>193</v>
      </c>
      <c r="B82" s="41">
        <v>0</v>
      </c>
      <c r="C82" s="41">
        <v>1</v>
      </c>
      <c r="D82" s="41">
        <v>0</v>
      </c>
      <c r="E82" s="17"/>
    </row>
    <row r="83" spans="1:5">
      <c r="A83" s="4" t="s">
        <v>185</v>
      </c>
      <c r="B83" s="41">
        <v>0</v>
      </c>
      <c r="C83" s="41">
        <v>1</v>
      </c>
      <c r="D83" s="41">
        <v>0</v>
      </c>
      <c r="E83" s="17"/>
    </row>
    <row r="84" spans="1:5">
      <c r="A84" s="4" t="s">
        <v>187</v>
      </c>
      <c r="B84" s="41">
        <v>0</v>
      </c>
      <c r="C84" s="41">
        <v>1</v>
      </c>
      <c r="D84" s="41">
        <v>0</v>
      </c>
      <c r="E84" s="17"/>
    </row>
    <row r="85" spans="1:5">
      <c r="A85" s="4" t="s">
        <v>195</v>
      </c>
      <c r="B85" s="41">
        <v>0</v>
      </c>
      <c r="C85" s="41">
        <v>1</v>
      </c>
      <c r="D85" s="41">
        <v>0</v>
      </c>
      <c r="E85" s="17"/>
    </row>
    <row r="87" spans="1:5" ht="21" customHeight="1">
      <c r="A87" s="1" t="s">
        <v>566</v>
      </c>
    </row>
    <row r="89" spans="1:5">
      <c r="B89" s="15" t="s">
        <v>319</v>
      </c>
      <c r="C89" s="15" t="s">
        <v>320</v>
      </c>
      <c r="D89" s="15" t="s">
        <v>321</v>
      </c>
    </row>
    <row r="90" spans="1:5">
      <c r="A90" s="4" t="s">
        <v>178</v>
      </c>
      <c r="B90" s="41">
        <v>0</v>
      </c>
      <c r="C90" s="41">
        <v>0</v>
      </c>
      <c r="D90" s="41">
        <v>1</v>
      </c>
      <c r="E90" s="17"/>
    </row>
    <row r="91" spans="1:5">
      <c r="A91" s="4" t="s">
        <v>179</v>
      </c>
      <c r="B91" s="41">
        <v>0</v>
      </c>
      <c r="C91" s="41">
        <v>0</v>
      </c>
      <c r="D91" s="41">
        <v>1</v>
      </c>
      <c r="E91" s="17"/>
    </row>
    <row r="92" spans="1:5">
      <c r="A92" s="4" t="s">
        <v>180</v>
      </c>
      <c r="B92" s="41">
        <v>0</v>
      </c>
      <c r="C92" s="41">
        <v>0</v>
      </c>
      <c r="D92" s="41">
        <v>1</v>
      </c>
      <c r="E92" s="17"/>
    </row>
    <row r="93" spans="1:5">
      <c r="A93" s="4" t="s">
        <v>181</v>
      </c>
      <c r="B93" s="41">
        <v>0</v>
      </c>
      <c r="C93" s="41">
        <v>0</v>
      </c>
      <c r="D93" s="41">
        <v>1</v>
      </c>
      <c r="E93" s="17"/>
    </row>
    <row r="94" spans="1:5">
      <c r="A94" s="4" t="s">
        <v>193</v>
      </c>
      <c r="B94" s="41">
        <v>0</v>
      </c>
      <c r="C94" s="41">
        <v>0</v>
      </c>
      <c r="D94" s="41">
        <v>1</v>
      </c>
      <c r="E94" s="17"/>
    </row>
    <row r="95" spans="1:5">
      <c r="A95" s="4" t="s">
        <v>185</v>
      </c>
      <c r="B95" s="41">
        <v>0</v>
      </c>
      <c r="C95" s="41">
        <v>0</v>
      </c>
      <c r="D95" s="41">
        <v>1</v>
      </c>
      <c r="E95" s="17"/>
    </row>
    <row r="96" spans="1:5">
      <c r="A96" s="4" t="s">
        <v>187</v>
      </c>
      <c r="B96" s="41">
        <v>0</v>
      </c>
      <c r="C96" s="41">
        <v>0</v>
      </c>
      <c r="D96" s="41">
        <v>1</v>
      </c>
      <c r="E96" s="17"/>
    </row>
    <row r="97" spans="1:5">
      <c r="A97" s="4" t="s">
        <v>195</v>
      </c>
      <c r="B97" s="41">
        <v>0</v>
      </c>
      <c r="C97" s="41">
        <v>0</v>
      </c>
      <c r="D97" s="41">
        <v>1</v>
      </c>
      <c r="E97" s="17"/>
    </row>
    <row r="99" spans="1:5" ht="21" customHeight="1">
      <c r="A99" s="1" t="s">
        <v>567</v>
      </c>
    </row>
    <row r="100" spans="1:5">
      <c r="A100" s="2" t="s">
        <v>351</v>
      </c>
    </row>
    <row r="101" spans="1:5">
      <c r="A101" s="33" t="s">
        <v>568</v>
      </c>
    </row>
    <row r="102" spans="1:5">
      <c r="A102" s="33" t="s">
        <v>569</v>
      </c>
    </row>
    <row r="103" spans="1:5">
      <c r="A103" s="33" t="s">
        <v>570</v>
      </c>
    </row>
    <row r="104" spans="1:5">
      <c r="A104" s="2" t="s">
        <v>571</v>
      </c>
    </row>
    <row r="106" spans="1:5">
      <c r="B106" s="15" t="s">
        <v>572</v>
      </c>
    </row>
    <row r="107" spans="1:5">
      <c r="A107" s="4" t="s">
        <v>174</v>
      </c>
      <c r="B107" s="21">
        <f>'Loads'!B280+'Loads'!C280+'Loads'!D280</f>
        <v>0</v>
      </c>
      <c r="C107" s="17"/>
    </row>
    <row r="108" spans="1:5">
      <c r="A108" s="4" t="s">
        <v>175</v>
      </c>
      <c r="B108" s="21">
        <f>'Loads'!B281+'Loads'!C281+'Loads'!D281</f>
        <v>0</v>
      </c>
      <c r="C108" s="17"/>
    </row>
    <row r="109" spans="1:5">
      <c r="A109" s="4" t="s">
        <v>211</v>
      </c>
      <c r="B109" s="21">
        <f>'Loads'!B282+'Loads'!C282+'Loads'!D282</f>
        <v>0</v>
      </c>
      <c r="C109" s="17"/>
    </row>
    <row r="110" spans="1:5">
      <c r="A110" s="4" t="s">
        <v>176</v>
      </c>
      <c r="B110" s="21">
        <f>'Loads'!B283+'Loads'!C283+'Loads'!D283</f>
        <v>0</v>
      </c>
      <c r="C110" s="17"/>
    </row>
    <row r="111" spans="1:5">
      <c r="A111" s="4" t="s">
        <v>177</v>
      </c>
      <c r="B111" s="21">
        <f>'Loads'!B284+'Loads'!C284+'Loads'!D284</f>
        <v>0</v>
      </c>
      <c r="C111" s="17"/>
    </row>
    <row r="112" spans="1:5">
      <c r="A112" s="4" t="s">
        <v>212</v>
      </c>
      <c r="B112" s="21">
        <f>'Loads'!B285+'Loads'!C285+'Loads'!D285</f>
        <v>0</v>
      </c>
      <c r="C112" s="17"/>
    </row>
    <row r="113" spans="1:3">
      <c r="A113" s="4" t="s">
        <v>178</v>
      </c>
      <c r="B113" s="21">
        <f>'Loads'!B286+'Loads'!C286+'Loads'!D286</f>
        <v>0</v>
      </c>
      <c r="C113" s="17"/>
    </row>
    <row r="114" spans="1:3">
      <c r="A114" s="4" t="s">
        <v>179</v>
      </c>
      <c r="B114" s="21">
        <f>'Loads'!B287+'Loads'!C287+'Loads'!D287</f>
        <v>0</v>
      </c>
      <c r="C114" s="17"/>
    </row>
    <row r="115" spans="1:3">
      <c r="A115" s="4" t="s">
        <v>180</v>
      </c>
      <c r="B115" s="21">
        <f>'Loads'!B288+'Loads'!C288+'Loads'!D288</f>
        <v>0</v>
      </c>
      <c r="C115" s="17"/>
    </row>
    <row r="116" spans="1:3">
      <c r="A116" s="4" t="s">
        <v>181</v>
      </c>
      <c r="B116" s="21">
        <f>'Loads'!B289+'Loads'!C289+'Loads'!D289</f>
        <v>0</v>
      </c>
      <c r="C116" s="17"/>
    </row>
    <row r="117" spans="1:3">
      <c r="A117" s="4" t="s">
        <v>193</v>
      </c>
      <c r="B117" s="21">
        <f>'Loads'!B290+'Loads'!C290+'Loads'!D290</f>
        <v>0</v>
      </c>
      <c r="C117" s="17"/>
    </row>
    <row r="118" spans="1:3">
      <c r="A118" s="4" t="s">
        <v>213</v>
      </c>
      <c r="B118" s="21">
        <f>'Loads'!B291+'Loads'!C291+'Loads'!D291</f>
        <v>0</v>
      </c>
      <c r="C118" s="17"/>
    </row>
    <row r="119" spans="1:3">
      <c r="A119" s="4" t="s">
        <v>214</v>
      </c>
      <c r="B119" s="21">
        <f>'Loads'!B292+'Loads'!C292+'Loads'!D292</f>
        <v>0</v>
      </c>
      <c r="C119" s="17"/>
    </row>
    <row r="120" spans="1:3">
      <c r="A120" s="4" t="s">
        <v>215</v>
      </c>
      <c r="B120" s="21">
        <f>'Loads'!B293+'Loads'!C293+'Loads'!D293</f>
        <v>0</v>
      </c>
      <c r="C120" s="17"/>
    </row>
    <row r="121" spans="1:3">
      <c r="A121" s="4" t="s">
        <v>216</v>
      </c>
      <c r="B121" s="21">
        <f>'Loads'!B294+'Loads'!C294+'Loads'!D294</f>
        <v>0</v>
      </c>
      <c r="C121" s="17"/>
    </row>
    <row r="122" spans="1:3">
      <c r="A122" s="4" t="s">
        <v>217</v>
      </c>
      <c r="B122" s="21">
        <f>'Loads'!B295+'Loads'!C295+'Loads'!D295</f>
        <v>0</v>
      </c>
      <c r="C122" s="17"/>
    </row>
    <row r="123" spans="1:3">
      <c r="A123" s="4" t="s">
        <v>182</v>
      </c>
      <c r="B123" s="21">
        <f>'Loads'!B296+'Loads'!C296+'Loads'!D296</f>
        <v>0</v>
      </c>
      <c r="C123" s="17"/>
    </row>
    <row r="124" spans="1:3">
      <c r="A124" s="4" t="s">
        <v>183</v>
      </c>
      <c r="B124" s="21">
        <f>'Loads'!B297+'Loads'!C297+'Loads'!D297</f>
        <v>0</v>
      </c>
      <c r="C124" s="17"/>
    </row>
    <row r="125" spans="1:3">
      <c r="A125" s="4" t="s">
        <v>184</v>
      </c>
      <c r="B125" s="21">
        <f>'Loads'!B298+'Loads'!C298+'Loads'!D298</f>
        <v>0</v>
      </c>
      <c r="C125" s="17"/>
    </row>
    <row r="126" spans="1:3">
      <c r="A126" s="4" t="s">
        <v>185</v>
      </c>
      <c r="B126" s="21">
        <f>'Loads'!B299+'Loads'!C299+'Loads'!D299</f>
        <v>0</v>
      </c>
      <c r="C126" s="17"/>
    </row>
    <row r="127" spans="1:3">
      <c r="A127" s="4" t="s">
        <v>186</v>
      </c>
      <c r="B127" s="21">
        <f>'Loads'!B300+'Loads'!C300+'Loads'!D300</f>
        <v>0</v>
      </c>
      <c r="C127" s="17"/>
    </row>
    <row r="128" spans="1:3">
      <c r="A128" s="4" t="s">
        <v>187</v>
      </c>
      <c r="B128" s="21">
        <f>'Loads'!B301+'Loads'!C301+'Loads'!D301</f>
        <v>0</v>
      </c>
      <c r="C128" s="17"/>
    </row>
    <row r="129" spans="1:5">
      <c r="A129" s="4" t="s">
        <v>194</v>
      </c>
      <c r="B129" s="21">
        <f>'Loads'!B302+'Loads'!C302+'Loads'!D302</f>
        <v>0</v>
      </c>
      <c r="C129" s="17"/>
    </row>
    <row r="130" spans="1:5">
      <c r="A130" s="4" t="s">
        <v>195</v>
      </c>
      <c r="B130" s="21">
        <f>'Loads'!B303+'Loads'!C303+'Loads'!D303</f>
        <v>0</v>
      </c>
      <c r="C130" s="17"/>
    </row>
    <row r="132" spans="1:5" ht="21" customHeight="1">
      <c r="A132" s="1" t="s">
        <v>573</v>
      </c>
    </row>
    <row r="133" spans="1:5">
      <c r="A133" s="2" t="s">
        <v>351</v>
      </c>
    </row>
    <row r="134" spans="1:5">
      <c r="A134" s="33" t="s">
        <v>574</v>
      </c>
    </row>
    <row r="135" spans="1:5">
      <c r="A135" s="33" t="s">
        <v>575</v>
      </c>
    </row>
    <row r="136" spans="1:5">
      <c r="A136" s="33" t="s">
        <v>576</v>
      </c>
    </row>
    <row r="137" spans="1:5">
      <c r="A137" s="33" t="s">
        <v>577</v>
      </c>
    </row>
    <row r="138" spans="1:5">
      <c r="A138" s="33" t="s">
        <v>578</v>
      </c>
    </row>
    <row r="139" spans="1:5">
      <c r="A139" s="33" t="s">
        <v>579</v>
      </c>
    </row>
    <row r="140" spans="1:5">
      <c r="A140" s="34" t="s">
        <v>354</v>
      </c>
      <c r="B140" s="34" t="s">
        <v>484</v>
      </c>
      <c r="C140" s="34"/>
      <c r="D140" s="34"/>
      <c r="E140" s="34" t="s">
        <v>484</v>
      </c>
    </row>
    <row r="141" spans="1:5">
      <c r="A141" s="34" t="s">
        <v>357</v>
      </c>
      <c r="B141" s="34" t="s">
        <v>580</v>
      </c>
      <c r="C141" s="34"/>
      <c r="D141" s="34"/>
      <c r="E141" s="34" t="s">
        <v>581</v>
      </c>
    </row>
    <row r="143" spans="1:5">
      <c r="B143" s="31" t="s">
        <v>582</v>
      </c>
      <c r="C143" s="31"/>
      <c r="D143" s="31"/>
    </row>
    <row r="144" spans="1:5">
      <c r="B144" s="15" t="s">
        <v>319</v>
      </c>
      <c r="C144" s="15" t="s">
        <v>320</v>
      </c>
      <c r="D144" s="15" t="s">
        <v>321</v>
      </c>
      <c r="E144" s="15" t="s">
        <v>583</v>
      </c>
    </row>
    <row r="145" spans="1:6">
      <c r="A145" s="4" t="s">
        <v>174</v>
      </c>
      <c r="B145" s="40">
        <f>IF($B$107&gt;0,('Loads'!$B$280*B$40)/$B$107,0)</f>
        <v>0</v>
      </c>
      <c r="C145" s="40">
        <f>IF($B$107&gt;0,('Loads'!$B$280*C$40)/$B$107,0)</f>
        <v>0</v>
      </c>
      <c r="D145" s="40">
        <f>IF($B$107&gt;0,('Loads'!$B$280*D$40)/$B$107,0)</f>
        <v>0</v>
      </c>
      <c r="E145" s="38">
        <f>IF($C$13&gt;0,$B145*'Input'!$F$58*24/$C$13,0)</f>
        <v>0</v>
      </c>
      <c r="F145" s="17"/>
    </row>
    <row r="146" spans="1:6">
      <c r="A146" s="4" t="s">
        <v>176</v>
      </c>
      <c r="B146" s="40">
        <f>IF($B$110&gt;0,('Loads'!$B$283*B$43)/$B$110,0)</f>
        <v>0</v>
      </c>
      <c r="C146" s="40">
        <f>IF($B$110&gt;0,('Loads'!$B$283*C$43)/$B$110,0)</f>
        <v>0</v>
      </c>
      <c r="D146" s="40">
        <f>IF($B$110&gt;0,('Loads'!$B$283*D$43)/$B$110,0)</f>
        <v>0</v>
      </c>
      <c r="E146" s="38">
        <f>IF($C$13&gt;0,$B146*'Input'!$F$58*24/$C$13,0)</f>
        <v>0</v>
      </c>
      <c r="F146" s="17"/>
    </row>
    <row r="148" spans="1:6" ht="21" customHeight="1">
      <c r="A148" s="1" t="s">
        <v>584</v>
      </c>
    </row>
    <row r="149" spans="1:6">
      <c r="A149" s="2" t="s">
        <v>351</v>
      </c>
    </row>
    <row r="150" spans="1:6">
      <c r="A150" s="33" t="s">
        <v>574</v>
      </c>
    </row>
    <row r="151" spans="1:6">
      <c r="A151" s="33" t="s">
        <v>575</v>
      </c>
    </row>
    <row r="152" spans="1:6">
      <c r="A152" s="33" t="s">
        <v>576</v>
      </c>
    </row>
    <row r="153" spans="1:6">
      <c r="A153" s="33" t="s">
        <v>585</v>
      </c>
    </row>
    <row r="154" spans="1:6">
      <c r="A154" s="33" t="s">
        <v>586</v>
      </c>
    </row>
    <row r="155" spans="1:6">
      <c r="A155" s="33" t="s">
        <v>587</v>
      </c>
    </row>
    <row r="156" spans="1:6">
      <c r="A156" s="33" t="s">
        <v>588</v>
      </c>
    </row>
    <row r="157" spans="1:6">
      <c r="A157" s="33" t="s">
        <v>589</v>
      </c>
    </row>
    <row r="158" spans="1:6">
      <c r="A158" s="34" t="s">
        <v>354</v>
      </c>
      <c r="B158" s="34" t="s">
        <v>484</v>
      </c>
      <c r="C158" s="34"/>
      <c r="D158" s="34"/>
      <c r="E158" s="34" t="s">
        <v>484</v>
      </c>
    </row>
    <row r="159" spans="1:6">
      <c r="A159" s="34" t="s">
        <v>357</v>
      </c>
      <c r="B159" s="34" t="s">
        <v>590</v>
      </c>
      <c r="C159" s="34"/>
      <c r="D159" s="34"/>
      <c r="E159" s="34" t="s">
        <v>591</v>
      </c>
    </row>
    <row r="161" spans="1:6">
      <c r="B161" s="31" t="s">
        <v>592</v>
      </c>
      <c r="C161" s="31"/>
      <c r="D161" s="31"/>
    </row>
    <row r="162" spans="1:6">
      <c r="B162" s="15" t="s">
        <v>319</v>
      </c>
      <c r="C162" s="15" t="s">
        <v>320</v>
      </c>
      <c r="D162" s="15" t="s">
        <v>321</v>
      </c>
      <c r="E162" s="15" t="s">
        <v>593</v>
      </c>
    </row>
    <row r="163" spans="1:6">
      <c r="A163" s="4" t="s">
        <v>175</v>
      </c>
      <c r="B163" s="40">
        <f>IF($B$108&gt;0,('Loads'!$B$281*B$41+'Loads'!$C$281*B$76)/$B$108,0)</f>
        <v>0</v>
      </c>
      <c r="C163" s="40">
        <f>IF($B$108&gt;0,('Loads'!$B$281*C$41+'Loads'!$C$281*C$76)/$B$108,0)</f>
        <v>0</v>
      </c>
      <c r="D163" s="40">
        <f>IF($B$108&gt;0,('Loads'!$B$281*D$41+'Loads'!$C$281*D$76)/$B$108,0)</f>
        <v>0</v>
      </c>
      <c r="E163" s="38">
        <f>IF($C$13&gt;0,$B163*'Input'!$F$58*24/$C$13,0)</f>
        <v>0</v>
      </c>
      <c r="F163" s="17"/>
    </row>
    <row r="164" spans="1:6">
      <c r="A164" s="4" t="s">
        <v>177</v>
      </c>
      <c r="B164" s="40">
        <f>IF($B$111&gt;0,('Loads'!$B$284*B$44+'Loads'!$C$284*B$77)/$B$111,0)</f>
        <v>0</v>
      </c>
      <c r="C164" s="40">
        <f>IF($B$111&gt;0,('Loads'!$B$284*C$44+'Loads'!$C$284*C$77)/$B$111,0)</f>
        <v>0</v>
      </c>
      <c r="D164" s="40">
        <f>IF($B$111&gt;0,('Loads'!$B$284*D$44+'Loads'!$C$284*D$77)/$B$111,0)</f>
        <v>0</v>
      </c>
      <c r="E164" s="38">
        <f>IF($C$13&gt;0,$B164*'Input'!$F$58*24/$C$13,0)</f>
        <v>0</v>
      </c>
      <c r="F164" s="17"/>
    </row>
    <row r="166" spans="1:6" ht="21" customHeight="1">
      <c r="A166" s="1" t="s">
        <v>594</v>
      </c>
    </row>
    <row r="167" spans="1:6">
      <c r="A167" s="2" t="s">
        <v>351</v>
      </c>
    </row>
    <row r="168" spans="1:6">
      <c r="A168" s="33" t="s">
        <v>574</v>
      </c>
    </row>
    <row r="169" spans="1:6">
      <c r="A169" s="33" t="s">
        <v>575</v>
      </c>
    </row>
    <row r="170" spans="1:6">
      <c r="A170" s="33" t="s">
        <v>576</v>
      </c>
    </row>
    <row r="171" spans="1:6">
      <c r="A171" s="33" t="s">
        <v>585</v>
      </c>
    </row>
    <row r="172" spans="1:6">
      <c r="A172" s="33" t="s">
        <v>586</v>
      </c>
    </row>
    <row r="173" spans="1:6">
      <c r="A173" s="33" t="s">
        <v>595</v>
      </c>
    </row>
    <row r="174" spans="1:6">
      <c r="A174" s="33" t="s">
        <v>596</v>
      </c>
    </row>
    <row r="175" spans="1:6">
      <c r="A175" s="33" t="s">
        <v>597</v>
      </c>
    </row>
    <row r="176" spans="1:6">
      <c r="A176" s="33" t="s">
        <v>598</v>
      </c>
    </row>
    <row r="177" spans="1:6">
      <c r="A177" s="33" t="s">
        <v>599</v>
      </c>
    </row>
    <row r="178" spans="1:6">
      <c r="A178" s="34" t="s">
        <v>354</v>
      </c>
      <c r="B178" s="34" t="s">
        <v>484</v>
      </c>
      <c r="C178" s="34"/>
      <c r="D178" s="34"/>
      <c r="E178" s="34" t="s">
        <v>484</v>
      </c>
    </row>
    <row r="179" spans="1:6">
      <c r="A179" s="34" t="s">
        <v>357</v>
      </c>
      <c r="B179" s="34" t="s">
        <v>600</v>
      </c>
      <c r="C179" s="34"/>
      <c r="D179" s="34"/>
      <c r="E179" s="34" t="s">
        <v>601</v>
      </c>
    </row>
    <row r="181" spans="1:6">
      <c r="B181" s="31" t="s">
        <v>602</v>
      </c>
      <c r="C181" s="31"/>
      <c r="D181" s="31"/>
    </row>
    <row r="182" spans="1:6">
      <c r="B182" s="15" t="s">
        <v>319</v>
      </c>
      <c r="C182" s="15" t="s">
        <v>320</v>
      </c>
      <c r="D182" s="15" t="s">
        <v>321</v>
      </c>
      <c r="E182" s="15" t="s">
        <v>603</v>
      </c>
    </row>
    <row r="183" spans="1:6">
      <c r="A183" s="4" t="s">
        <v>178</v>
      </c>
      <c r="B183" s="40">
        <f>IF($B$113&gt;0,('Loads'!$B$286*B$46+'Loads'!$C$286*B$78+'Loads'!$D$286*B$90)/$B$113,0)</f>
        <v>0</v>
      </c>
      <c r="C183" s="40">
        <f>IF($B$113&gt;0,('Loads'!$B$286*C$46+'Loads'!$C$286*C$78+'Loads'!$D$286*C$90)/$B$113,0)</f>
        <v>0</v>
      </c>
      <c r="D183" s="40">
        <f>IF($B$113&gt;0,('Loads'!$B$286*D$46+'Loads'!$C$286*D$78+'Loads'!$D$286*D$90)/$B$113,0)</f>
        <v>0</v>
      </c>
      <c r="E183" s="38">
        <f>IF($C$13&gt;0,$B183*'Input'!$F$58*24/$C$13,0)</f>
        <v>0</v>
      </c>
      <c r="F183" s="17"/>
    </row>
    <row r="184" spans="1:6">
      <c r="A184" s="4" t="s">
        <v>179</v>
      </c>
      <c r="B184" s="40">
        <f>IF($B$114&gt;0,('Loads'!$B$287*B$47+'Loads'!$C$287*B$79+'Loads'!$D$287*B$91)/$B$114,0)</f>
        <v>0</v>
      </c>
      <c r="C184" s="40">
        <f>IF($B$114&gt;0,('Loads'!$B$287*C$47+'Loads'!$C$287*C$79+'Loads'!$D$287*C$91)/$B$114,0)</f>
        <v>0</v>
      </c>
      <c r="D184" s="40">
        <f>IF($B$114&gt;0,('Loads'!$B$287*D$47+'Loads'!$C$287*D$79+'Loads'!$D$287*D$91)/$B$114,0)</f>
        <v>0</v>
      </c>
      <c r="E184" s="38">
        <f>IF($C$13&gt;0,$B184*'Input'!$F$58*24/$C$13,0)</f>
        <v>0</v>
      </c>
      <c r="F184" s="17"/>
    </row>
    <row r="185" spans="1:6">
      <c r="A185" s="4" t="s">
        <v>180</v>
      </c>
      <c r="B185" s="40">
        <f>IF($B$115&gt;0,('Loads'!$B$288*B$48+'Loads'!$C$288*B$80+'Loads'!$D$288*B$92)/$B$115,0)</f>
        <v>0</v>
      </c>
      <c r="C185" s="40">
        <f>IF($B$115&gt;0,('Loads'!$B$288*C$48+'Loads'!$C$288*C$80+'Loads'!$D$288*C$92)/$B$115,0)</f>
        <v>0</v>
      </c>
      <c r="D185" s="40">
        <f>IF($B$115&gt;0,('Loads'!$B$288*D$48+'Loads'!$C$288*D$80+'Loads'!$D$288*D$92)/$B$115,0)</f>
        <v>0</v>
      </c>
      <c r="E185" s="38">
        <f>IF($C$13&gt;0,$B185*'Input'!$F$58*24/$C$13,0)</f>
        <v>0</v>
      </c>
      <c r="F185" s="17"/>
    </row>
    <row r="186" spans="1:6">
      <c r="A186" s="4" t="s">
        <v>181</v>
      </c>
      <c r="B186" s="40">
        <f>IF($B$116&gt;0,('Loads'!$B$289*B$49+'Loads'!$C$289*B$81+'Loads'!$D$289*B$93)/$B$116,0)</f>
        <v>0</v>
      </c>
      <c r="C186" s="40">
        <f>IF($B$116&gt;0,('Loads'!$B$289*C$49+'Loads'!$C$289*C$81+'Loads'!$D$289*C$93)/$B$116,0)</f>
        <v>0</v>
      </c>
      <c r="D186" s="40">
        <f>IF($B$116&gt;0,('Loads'!$B$289*D$49+'Loads'!$C$289*D$81+'Loads'!$D$289*D$93)/$B$116,0)</f>
        <v>0</v>
      </c>
      <c r="E186" s="38">
        <f>IF($C$13&gt;0,$B186*'Input'!$F$58*24/$C$13,0)</f>
        <v>0</v>
      </c>
      <c r="F186" s="17"/>
    </row>
    <row r="187" spans="1:6">
      <c r="A187" s="4" t="s">
        <v>193</v>
      </c>
      <c r="B187" s="40">
        <f>IF($B$117&gt;0,('Loads'!$B$290*B$50+'Loads'!$C$290*B$82+'Loads'!$D$290*B$94)/$B$117,0)</f>
        <v>0</v>
      </c>
      <c r="C187" s="40">
        <f>IF($B$117&gt;0,('Loads'!$B$290*C$50+'Loads'!$C$290*C$82+'Loads'!$D$290*C$94)/$B$117,0)</f>
        <v>0</v>
      </c>
      <c r="D187" s="40">
        <f>IF($B$117&gt;0,('Loads'!$B$290*D$50+'Loads'!$C$290*D$82+'Loads'!$D$290*D$94)/$B$117,0)</f>
        <v>0</v>
      </c>
      <c r="E187" s="38">
        <f>IF($C$13&gt;0,$B187*'Input'!$F$58*24/$C$13,0)</f>
        <v>0</v>
      </c>
      <c r="F187" s="17"/>
    </row>
    <row r="189" spans="1:6" ht="21" customHeight="1">
      <c r="A189" s="1" t="s">
        <v>604</v>
      </c>
    </row>
    <row r="190" spans="1:6">
      <c r="A190" s="2" t="s">
        <v>351</v>
      </c>
    </row>
    <row r="191" spans="1:6">
      <c r="A191" s="33" t="s">
        <v>605</v>
      </c>
    </row>
    <row r="192" spans="1:6">
      <c r="A192" s="33" t="s">
        <v>606</v>
      </c>
    </row>
    <row r="193" spans="1:4">
      <c r="A193" s="33" t="s">
        <v>607</v>
      </c>
    </row>
    <row r="194" spans="1:4">
      <c r="A194" s="33" t="s">
        <v>608</v>
      </c>
    </row>
    <row r="195" spans="1:4">
      <c r="A195" s="33" t="s">
        <v>609</v>
      </c>
    </row>
    <row r="196" spans="1:4">
      <c r="A196" s="34" t="s">
        <v>354</v>
      </c>
      <c r="B196" s="34" t="s">
        <v>518</v>
      </c>
      <c r="C196" s="34" t="s">
        <v>484</v>
      </c>
    </row>
    <row r="197" spans="1:4">
      <c r="A197" s="34" t="s">
        <v>357</v>
      </c>
      <c r="B197" s="34" t="s">
        <v>610</v>
      </c>
      <c r="C197" s="34" t="s">
        <v>611</v>
      </c>
    </row>
    <row r="199" spans="1:4">
      <c r="B199" s="15" t="s">
        <v>612</v>
      </c>
      <c r="C199" s="15" t="s">
        <v>613</v>
      </c>
    </row>
    <row r="200" spans="1:4">
      <c r="A200" s="4" t="s">
        <v>174</v>
      </c>
      <c r="B200" s="39">
        <f>E$145</f>
        <v>0</v>
      </c>
      <c r="C200" s="38">
        <f>IF($B200&lt;&gt;0,'Loads'!B$43/$B200,IF('Loads'!B$43&lt;0,-1,1))</f>
        <v>0</v>
      </c>
      <c r="D200" s="17"/>
    </row>
    <row r="201" spans="1:4">
      <c r="A201" s="4" t="s">
        <v>175</v>
      </c>
      <c r="B201" s="39">
        <f>E$163</f>
        <v>0</v>
      </c>
      <c r="C201" s="38">
        <f>IF($B201&lt;&gt;0,'Loads'!B$44/$B201,IF('Loads'!B$44&lt;0,-1,1))</f>
        <v>0</v>
      </c>
      <c r="D201" s="17"/>
    </row>
    <row r="202" spans="1:4">
      <c r="A202" s="4" t="s">
        <v>211</v>
      </c>
      <c r="B202" s="10"/>
      <c r="C202" s="38">
        <f>IF($B202&lt;&gt;0,'Loads'!B$45/$B202,IF('Loads'!B$45&lt;0,-1,1))</f>
        <v>0</v>
      </c>
      <c r="D202" s="17"/>
    </row>
    <row r="203" spans="1:4">
      <c r="A203" s="4" t="s">
        <v>176</v>
      </c>
      <c r="B203" s="39">
        <f>E$146</f>
        <v>0</v>
      </c>
      <c r="C203" s="38">
        <f>IF($B203&lt;&gt;0,'Loads'!B$46/$B203,IF('Loads'!B$46&lt;0,-1,1))</f>
        <v>0</v>
      </c>
      <c r="D203" s="17"/>
    </row>
    <row r="204" spans="1:4">
      <c r="A204" s="4" t="s">
        <v>177</v>
      </c>
      <c r="B204" s="39">
        <f>E$164</f>
        <v>0</v>
      </c>
      <c r="C204" s="38">
        <f>IF($B204&lt;&gt;0,'Loads'!B$47/$B204,IF('Loads'!B$47&lt;0,-1,1))</f>
        <v>0</v>
      </c>
      <c r="D204" s="17"/>
    </row>
    <row r="205" spans="1:4">
      <c r="A205" s="4" t="s">
        <v>212</v>
      </c>
      <c r="B205" s="10"/>
      <c r="C205" s="38">
        <f>IF($B205&lt;&gt;0,'Loads'!B$48/$B205,IF('Loads'!B$48&lt;0,-1,1))</f>
        <v>0</v>
      </c>
      <c r="D205" s="17"/>
    </row>
    <row r="206" spans="1:4">
      <c r="A206" s="4" t="s">
        <v>178</v>
      </c>
      <c r="B206" s="39">
        <f>E$183</f>
        <v>0</v>
      </c>
      <c r="C206" s="38">
        <f>IF($B206&lt;&gt;0,'Loads'!B$49/$B206,IF('Loads'!B$49&lt;0,-1,1))</f>
        <v>0</v>
      </c>
      <c r="D206" s="17"/>
    </row>
    <row r="207" spans="1:4">
      <c r="A207" s="4" t="s">
        <v>179</v>
      </c>
      <c r="B207" s="39">
        <f>E$184</f>
        <v>0</v>
      </c>
      <c r="C207" s="38">
        <f>IF($B207&lt;&gt;0,'Loads'!B$50/$B207,IF('Loads'!B$50&lt;0,-1,1))</f>
        <v>0</v>
      </c>
      <c r="D207" s="17"/>
    </row>
    <row r="208" spans="1:4">
      <c r="A208" s="4" t="s">
        <v>180</v>
      </c>
      <c r="B208" s="39">
        <f>E$185</f>
        <v>0</v>
      </c>
      <c r="C208" s="38">
        <f>IF($B208&lt;&gt;0,'Loads'!B$51/$B208,IF('Loads'!B$51&lt;0,-1,1))</f>
        <v>0</v>
      </c>
      <c r="D208" s="17"/>
    </row>
    <row r="209" spans="1:5">
      <c r="A209" s="4" t="s">
        <v>181</v>
      </c>
      <c r="B209" s="39">
        <f>E$186</f>
        <v>0</v>
      </c>
      <c r="C209" s="38">
        <f>IF($B209&lt;&gt;0,'Loads'!B$52/$B209,IF('Loads'!B$52&lt;0,-1,1))</f>
        <v>0</v>
      </c>
      <c r="D209" s="17"/>
    </row>
    <row r="210" spans="1:5">
      <c r="A210" s="4" t="s">
        <v>193</v>
      </c>
      <c r="B210" s="39">
        <f>E$187</f>
        <v>0</v>
      </c>
      <c r="C210" s="38">
        <f>IF($B210&lt;&gt;0,'Loads'!B$53/$B210,IF('Loads'!B$53&lt;0,-1,1))</f>
        <v>0</v>
      </c>
      <c r="D210" s="17"/>
    </row>
    <row r="211" spans="1:5">
      <c r="A211" s="4" t="s">
        <v>185</v>
      </c>
      <c r="B211" s="10"/>
      <c r="C211" s="38">
        <f>IF($B211&lt;&gt;0,'Loads'!B$62/$B211,IF('Loads'!B$62&lt;0,-1,1))</f>
        <v>0</v>
      </c>
      <c r="D211" s="17"/>
    </row>
    <row r="212" spans="1:5">
      <c r="A212" s="4" t="s">
        <v>187</v>
      </c>
      <c r="B212" s="10"/>
      <c r="C212" s="38">
        <f>IF($B212&lt;&gt;0,'Loads'!B$64/$B212,IF('Loads'!B$64&lt;0,-1,1))</f>
        <v>0</v>
      </c>
      <c r="D212" s="17"/>
    </row>
    <row r="213" spans="1:5">
      <c r="A213" s="4" t="s">
        <v>195</v>
      </c>
      <c r="B213" s="10"/>
      <c r="C213" s="38">
        <f>IF($B213&lt;&gt;0,'Loads'!B$66/$B213,IF('Loads'!B$66&lt;0,-1,1))</f>
        <v>0</v>
      </c>
      <c r="D213" s="17"/>
    </row>
    <row r="215" spans="1:5" ht="21" customHeight="1">
      <c r="A215" s="1" t="s">
        <v>614</v>
      </c>
    </row>
    <row r="216" spans="1:5">
      <c r="A216" s="2" t="s">
        <v>351</v>
      </c>
    </row>
    <row r="217" spans="1:5">
      <c r="A217" s="33" t="s">
        <v>615</v>
      </c>
    </row>
    <row r="218" spans="1:5">
      <c r="A218" s="33" t="s">
        <v>616</v>
      </c>
    </row>
    <row r="219" spans="1:5">
      <c r="A219" s="33" t="s">
        <v>617</v>
      </c>
    </row>
    <row r="220" spans="1:5">
      <c r="A220" s="33" t="s">
        <v>618</v>
      </c>
    </row>
    <row r="221" spans="1:5">
      <c r="A221" s="34" t="s">
        <v>354</v>
      </c>
      <c r="B221" s="34" t="s">
        <v>485</v>
      </c>
      <c r="C221" s="34" t="s">
        <v>484</v>
      </c>
      <c r="D221" s="34"/>
      <c r="E221" s="34"/>
    </row>
    <row r="222" spans="1:5">
      <c r="A222" s="34" t="s">
        <v>357</v>
      </c>
      <c r="B222" s="34" t="s">
        <v>535</v>
      </c>
      <c r="C222" s="34" t="s">
        <v>619</v>
      </c>
      <c r="D222" s="34"/>
      <c r="E222" s="34"/>
    </row>
    <row r="224" spans="1:5">
      <c r="C224" s="31" t="s">
        <v>621</v>
      </c>
      <c r="D224" s="31"/>
      <c r="E224" s="31"/>
    </row>
    <row r="225" spans="1:6">
      <c r="B225" s="15" t="s">
        <v>620</v>
      </c>
      <c r="C225" s="15" t="s">
        <v>319</v>
      </c>
      <c r="D225" s="15" t="s">
        <v>320</v>
      </c>
      <c r="E225" s="15" t="s">
        <v>321</v>
      </c>
    </row>
    <row r="226" spans="1:6">
      <c r="A226" s="4" t="s">
        <v>142</v>
      </c>
      <c r="B226" s="40">
        <f>SUM('Input'!$B335:$D335)</f>
        <v>0</v>
      </c>
      <c r="C226" s="40">
        <f>IF($B226,'Input'!B335/$B226,'Input'!B$328/$B$13)</f>
        <v>0</v>
      </c>
      <c r="D226" s="40">
        <f>IF($B226,'Input'!C335/$B226,'Input'!C$328/$B$13)</f>
        <v>0</v>
      </c>
      <c r="E226" s="40">
        <f>IF($B226,'Input'!D335/$B226,'Input'!D$328/$B$13)</f>
        <v>0</v>
      </c>
      <c r="F226" s="17"/>
    </row>
    <row r="227" spans="1:6">
      <c r="A227" s="4" t="s">
        <v>143</v>
      </c>
      <c r="B227" s="40">
        <f>SUM('Input'!$B336:$D336)</f>
        <v>0</v>
      </c>
      <c r="C227" s="40">
        <f>IF($B227,'Input'!B336/$B227,'Input'!B$328/$B$13)</f>
        <v>0</v>
      </c>
      <c r="D227" s="40">
        <f>IF($B227,'Input'!C336/$B227,'Input'!C$328/$B$13)</f>
        <v>0</v>
      </c>
      <c r="E227" s="40">
        <f>IF($B227,'Input'!D336/$B227,'Input'!D$328/$B$13)</f>
        <v>0</v>
      </c>
      <c r="F227" s="17"/>
    </row>
    <row r="228" spans="1:6">
      <c r="A228" s="4" t="s">
        <v>144</v>
      </c>
      <c r="B228" s="40">
        <f>SUM('Input'!$B337:$D337)</f>
        <v>0</v>
      </c>
      <c r="C228" s="40">
        <f>IF($B228,'Input'!B337/$B228,'Input'!B$328/$B$13)</f>
        <v>0</v>
      </c>
      <c r="D228" s="40">
        <f>IF($B228,'Input'!C337/$B228,'Input'!C$328/$B$13)</f>
        <v>0</v>
      </c>
      <c r="E228" s="40">
        <f>IF($B228,'Input'!D337/$B228,'Input'!D$328/$B$13)</f>
        <v>0</v>
      </c>
      <c r="F228" s="17"/>
    </row>
    <row r="229" spans="1:6">
      <c r="A229" s="4" t="s">
        <v>145</v>
      </c>
      <c r="B229" s="40">
        <f>SUM('Input'!$B338:$D338)</f>
        <v>0</v>
      </c>
      <c r="C229" s="40">
        <f>IF($B229,'Input'!B338/$B229,'Input'!B$328/$B$13)</f>
        <v>0</v>
      </c>
      <c r="D229" s="40">
        <f>IF($B229,'Input'!C338/$B229,'Input'!C$328/$B$13)</f>
        <v>0</v>
      </c>
      <c r="E229" s="40">
        <f>IF($B229,'Input'!D338/$B229,'Input'!D$328/$B$13)</f>
        <v>0</v>
      </c>
      <c r="F229" s="17"/>
    </row>
    <row r="230" spans="1:6">
      <c r="A230" s="4" t="s">
        <v>146</v>
      </c>
      <c r="B230" s="40">
        <f>SUM('Input'!$B339:$D339)</f>
        <v>0</v>
      </c>
      <c r="C230" s="40">
        <f>IF($B230,'Input'!B339/$B230,'Input'!B$328/$B$13)</f>
        <v>0</v>
      </c>
      <c r="D230" s="40">
        <f>IF($B230,'Input'!C339/$B230,'Input'!C$328/$B$13)</f>
        <v>0</v>
      </c>
      <c r="E230" s="40">
        <f>IF($B230,'Input'!D339/$B230,'Input'!D$328/$B$13)</f>
        <v>0</v>
      </c>
      <c r="F230" s="17"/>
    </row>
    <row r="231" spans="1:6">
      <c r="A231" s="4" t="s">
        <v>151</v>
      </c>
      <c r="B231" s="40">
        <f>SUM('Input'!$B340:$D340)</f>
        <v>0</v>
      </c>
      <c r="C231" s="40">
        <f>IF($B231,'Input'!B340/$B231,'Input'!B$328/$B$13)</f>
        <v>0</v>
      </c>
      <c r="D231" s="40">
        <f>IF($B231,'Input'!C340/$B231,'Input'!C$328/$B$13)</f>
        <v>0</v>
      </c>
      <c r="E231" s="40">
        <f>IF($B231,'Input'!D340/$B231,'Input'!D$328/$B$13)</f>
        <v>0</v>
      </c>
      <c r="F231" s="17"/>
    </row>
    <row r="232" spans="1:6">
      <c r="A232" s="4" t="s">
        <v>147</v>
      </c>
      <c r="B232" s="40">
        <f>SUM('Input'!$B341:$D341)</f>
        <v>0</v>
      </c>
      <c r="C232" s="40">
        <f>IF($B232,'Input'!B341/$B232,'Input'!B$328/$B$13)</f>
        <v>0</v>
      </c>
      <c r="D232" s="40">
        <f>IF($B232,'Input'!C341/$B232,'Input'!C$328/$B$13)</f>
        <v>0</v>
      </c>
      <c r="E232" s="40">
        <f>IF($B232,'Input'!D341/$B232,'Input'!D$328/$B$13)</f>
        <v>0</v>
      </c>
      <c r="F232" s="17"/>
    </row>
    <row r="233" spans="1:6">
      <c r="A233" s="4" t="s">
        <v>148</v>
      </c>
      <c r="B233" s="40">
        <f>SUM('Input'!$B342:$D342)</f>
        <v>0</v>
      </c>
      <c r="C233" s="40">
        <f>IF($B233,'Input'!B342/$B233,'Input'!B$328/$B$13)</f>
        <v>0</v>
      </c>
      <c r="D233" s="40">
        <f>IF($B233,'Input'!C342/$B233,'Input'!C$328/$B$13)</f>
        <v>0</v>
      </c>
      <c r="E233" s="40">
        <f>IF($B233,'Input'!D342/$B233,'Input'!D$328/$B$13)</f>
        <v>0</v>
      </c>
      <c r="F233" s="17"/>
    </row>
    <row r="234" spans="1:6">
      <c r="A234" s="4" t="s">
        <v>149</v>
      </c>
      <c r="B234" s="40">
        <f>SUM('Input'!$B343:$D343)</f>
        <v>0</v>
      </c>
      <c r="C234" s="40">
        <f>IF($B234,'Input'!B343/$B234,'Input'!B$328/$B$13)</f>
        <v>0</v>
      </c>
      <c r="D234" s="40">
        <f>IF($B234,'Input'!C343/$B234,'Input'!C$328/$B$13)</f>
        <v>0</v>
      </c>
      <c r="E234" s="40">
        <f>IF($B234,'Input'!D343/$B234,'Input'!D$328/$B$13)</f>
        <v>0</v>
      </c>
      <c r="F234" s="17"/>
    </row>
    <row r="236" spans="1:6" ht="21" customHeight="1">
      <c r="A236" s="1" t="s">
        <v>622</v>
      </c>
    </row>
    <row r="237" spans="1:6">
      <c r="A237" s="2" t="s">
        <v>351</v>
      </c>
    </row>
    <row r="238" spans="1:6">
      <c r="A238" s="33" t="s">
        <v>623</v>
      </c>
    </row>
    <row r="239" spans="1:6">
      <c r="A239" s="2" t="s">
        <v>624</v>
      </c>
    </row>
    <row r="241" spans="1:38">
      <c r="B241" s="29" t="s">
        <v>142</v>
      </c>
      <c r="C241" s="15" t="s">
        <v>319</v>
      </c>
      <c r="D241" s="15" t="s">
        <v>320</v>
      </c>
      <c r="E241" s="15" t="s">
        <v>321</v>
      </c>
      <c r="F241" s="29" t="s">
        <v>143</v>
      </c>
      <c r="G241" s="15" t="s">
        <v>319</v>
      </c>
      <c r="H241" s="15" t="s">
        <v>320</v>
      </c>
      <c r="I241" s="15" t="s">
        <v>321</v>
      </c>
      <c r="J241" s="29" t="s">
        <v>144</v>
      </c>
      <c r="K241" s="15" t="s">
        <v>319</v>
      </c>
      <c r="L241" s="15" t="s">
        <v>320</v>
      </c>
      <c r="M241" s="15" t="s">
        <v>321</v>
      </c>
      <c r="N241" s="29" t="s">
        <v>145</v>
      </c>
      <c r="O241" s="15" t="s">
        <v>319</v>
      </c>
      <c r="P241" s="15" t="s">
        <v>320</v>
      </c>
      <c r="Q241" s="15" t="s">
        <v>321</v>
      </c>
      <c r="R241" s="29" t="s">
        <v>146</v>
      </c>
      <c r="S241" s="15" t="s">
        <v>319</v>
      </c>
      <c r="T241" s="15" t="s">
        <v>320</v>
      </c>
      <c r="U241" s="15" t="s">
        <v>321</v>
      </c>
      <c r="V241" s="29" t="s">
        <v>151</v>
      </c>
      <c r="W241" s="15" t="s">
        <v>319</v>
      </c>
      <c r="X241" s="15" t="s">
        <v>320</v>
      </c>
      <c r="Y241" s="15" t="s">
        <v>321</v>
      </c>
      <c r="Z241" s="29" t="s">
        <v>147</v>
      </c>
      <c r="AA241" s="15" t="s">
        <v>319</v>
      </c>
      <c r="AB241" s="15" t="s">
        <v>320</v>
      </c>
      <c r="AC241" s="15" t="s">
        <v>321</v>
      </c>
      <c r="AD241" s="29" t="s">
        <v>148</v>
      </c>
      <c r="AE241" s="15" t="s">
        <v>319</v>
      </c>
      <c r="AF241" s="15" t="s">
        <v>320</v>
      </c>
      <c r="AG241" s="15" t="s">
        <v>321</v>
      </c>
      <c r="AH241" s="29" t="s">
        <v>149</v>
      </c>
      <c r="AI241" s="15" t="s">
        <v>319</v>
      </c>
      <c r="AJ241" s="15" t="s">
        <v>320</v>
      </c>
      <c r="AK241" s="15" t="s">
        <v>321</v>
      </c>
    </row>
    <row r="242" spans="1:38">
      <c r="A242" s="4" t="s">
        <v>625</v>
      </c>
      <c r="C242" s="42">
        <f>C$226</f>
        <v>0</v>
      </c>
      <c r="D242" s="42">
        <f>D$226</f>
        <v>0</v>
      </c>
      <c r="E242" s="42">
        <f>E$226</f>
        <v>0</v>
      </c>
      <c r="G242" s="42">
        <f>C$227</f>
        <v>0</v>
      </c>
      <c r="H242" s="42">
        <f>D$227</f>
        <v>0</v>
      </c>
      <c r="I242" s="42">
        <f>E$227</f>
        <v>0</v>
      </c>
      <c r="K242" s="42">
        <f>C$228</f>
        <v>0</v>
      </c>
      <c r="L242" s="42">
        <f>D$228</f>
        <v>0</v>
      </c>
      <c r="M242" s="42">
        <f>E$228</f>
        <v>0</v>
      </c>
      <c r="O242" s="42">
        <f>C$229</f>
        <v>0</v>
      </c>
      <c r="P242" s="42">
        <f>D$229</f>
        <v>0</v>
      </c>
      <c r="Q242" s="42">
        <f>E$229</f>
        <v>0</v>
      </c>
      <c r="S242" s="42">
        <f>C$230</f>
        <v>0</v>
      </c>
      <c r="T242" s="42">
        <f>D$230</f>
        <v>0</v>
      </c>
      <c r="U242" s="42">
        <f>E$230</f>
        <v>0</v>
      </c>
      <c r="W242" s="42">
        <f>C$231</f>
        <v>0</v>
      </c>
      <c r="X242" s="42">
        <f>D$231</f>
        <v>0</v>
      </c>
      <c r="Y242" s="42">
        <f>E$231</f>
        <v>0</v>
      </c>
      <c r="AA242" s="42">
        <f>C$232</f>
        <v>0</v>
      </c>
      <c r="AB242" s="42">
        <f>D$232</f>
        <v>0</v>
      </c>
      <c r="AC242" s="42">
        <f>E$232</f>
        <v>0</v>
      </c>
      <c r="AE242" s="42">
        <f>C$233</f>
        <v>0</v>
      </c>
      <c r="AF242" s="42">
        <f>D$233</f>
        <v>0</v>
      </c>
      <c r="AG242" s="42">
        <f>E$233</f>
        <v>0</v>
      </c>
      <c r="AI242" s="42">
        <f>C$234</f>
        <v>0</v>
      </c>
      <c r="AJ242" s="42">
        <f>D$234</f>
        <v>0</v>
      </c>
      <c r="AK242" s="42">
        <f>E$234</f>
        <v>0</v>
      </c>
      <c r="AL242" s="17"/>
    </row>
    <row r="244" spans="1:38" ht="21" customHeight="1">
      <c r="A244" s="1" t="s">
        <v>626</v>
      </c>
    </row>
    <row r="245" spans="1:38">
      <c r="A245" s="2" t="s">
        <v>351</v>
      </c>
    </row>
    <row r="246" spans="1:38">
      <c r="A246" s="33" t="s">
        <v>627</v>
      </c>
    </row>
    <row r="247" spans="1:38">
      <c r="A247" s="33" t="s">
        <v>628</v>
      </c>
    </row>
    <row r="248" spans="1:38">
      <c r="A248" s="33" t="s">
        <v>629</v>
      </c>
    </row>
    <row r="249" spans="1:38">
      <c r="A249" s="33" t="s">
        <v>552</v>
      </c>
    </row>
    <row r="250" spans="1:38">
      <c r="A250" s="2" t="s">
        <v>630</v>
      </c>
    </row>
    <row r="252" spans="1:38">
      <c r="B252" s="29" t="s">
        <v>142</v>
      </c>
      <c r="C252" s="15" t="s">
        <v>319</v>
      </c>
      <c r="D252" s="15" t="s">
        <v>320</v>
      </c>
      <c r="E252" s="15" t="s">
        <v>321</v>
      </c>
      <c r="F252" s="29" t="s">
        <v>143</v>
      </c>
      <c r="G252" s="15" t="s">
        <v>319</v>
      </c>
      <c r="H252" s="15" t="s">
        <v>320</v>
      </c>
      <c r="I252" s="15" t="s">
        <v>321</v>
      </c>
      <c r="J252" s="29" t="s">
        <v>144</v>
      </c>
      <c r="K252" s="15" t="s">
        <v>319</v>
      </c>
      <c r="L252" s="15" t="s">
        <v>320</v>
      </c>
      <c r="M252" s="15" t="s">
        <v>321</v>
      </c>
      <c r="N252" s="29" t="s">
        <v>145</v>
      </c>
      <c r="O252" s="15" t="s">
        <v>319</v>
      </c>
      <c r="P252" s="15" t="s">
        <v>320</v>
      </c>
      <c r="Q252" s="15" t="s">
        <v>321</v>
      </c>
      <c r="R252" s="29" t="s">
        <v>146</v>
      </c>
      <c r="S252" s="15" t="s">
        <v>319</v>
      </c>
      <c r="T252" s="15" t="s">
        <v>320</v>
      </c>
      <c r="U252" s="15" t="s">
        <v>321</v>
      </c>
      <c r="V252" s="29" t="s">
        <v>151</v>
      </c>
      <c r="W252" s="15" t="s">
        <v>319</v>
      </c>
      <c r="X252" s="15" t="s">
        <v>320</v>
      </c>
      <c r="Y252" s="15" t="s">
        <v>321</v>
      </c>
      <c r="Z252" s="29" t="s">
        <v>147</v>
      </c>
      <c r="AA252" s="15" t="s">
        <v>319</v>
      </c>
      <c r="AB252" s="15" t="s">
        <v>320</v>
      </c>
      <c r="AC252" s="15" t="s">
        <v>321</v>
      </c>
      <c r="AD252" s="29" t="s">
        <v>148</v>
      </c>
      <c r="AE252" s="15" t="s">
        <v>319</v>
      </c>
      <c r="AF252" s="15" t="s">
        <v>320</v>
      </c>
      <c r="AG252" s="15" t="s">
        <v>321</v>
      </c>
      <c r="AH252" s="29" t="s">
        <v>149</v>
      </c>
      <c r="AI252" s="15" t="s">
        <v>319</v>
      </c>
      <c r="AJ252" s="15" t="s">
        <v>320</v>
      </c>
      <c r="AK252" s="15" t="s">
        <v>321</v>
      </c>
    </row>
    <row r="253" spans="1:38">
      <c r="A253" s="4" t="s">
        <v>174</v>
      </c>
      <c r="C253" s="38">
        <f>IF(C$13&gt;0,$C200*C$242*24*'Input'!$F$58/C$13,0)</f>
        <v>0</v>
      </c>
      <c r="D253" s="38">
        <f>IF(D$13&gt;0,$C200*D$242*24*'Input'!$F$58/D$13,0)</f>
        <v>0</v>
      </c>
      <c r="E253" s="38">
        <f>IF(E$13&gt;0,$C200*E$242*24*'Input'!$F$58/E$13,0)</f>
        <v>0</v>
      </c>
      <c r="G253" s="38">
        <f>IF(C$13&gt;0,$C200*G$242*24*'Input'!$F$58/C$13,0)</f>
        <v>0</v>
      </c>
      <c r="H253" s="38">
        <f>IF(D$13&gt;0,$C200*H$242*24*'Input'!$F$58/D$13,0)</f>
        <v>0</v>
      </c>
      <c r="I253" s="38">
        <f>IF(E$13&gt;0,$C200*I$242*24*'Input'!$F$58/E$13,0)</f>
        <v>0</v>
      </c>
      <c r="K253" s="38">
        <f>IF(C$13&gt;0,$C200*K$242*24*'Input'!$F$58/C$13,0)</f>
        <v>0</v>
      </c>
      <c r="L253" s="38">
        <f>IF(D$13&gt;0,$C200*L$242*24*'Input'!$F$58/D$13,0)</f>
        <v>0</v>
      </c>
      <c r="M253" s="38">
        <f>IF(E$13&gt;0,$C200*M$242*24*'Input'!$F$58/E$13,0)</f>
        <v>0</v>
      </c>
      <c r="O253" s="38">
        <f>IF(C$13&gt;0,$C200*O$242*24*'Input'!$F$58/C$13,0)</f>
        <v>0</v>
      </c>
      <c r="P253" s="38">
        <f>IF(D$13&gt;0,$C200*P$242*24*'Input'!$F$58/D$13,0)</f>
        <v>0</v>
      </c>
      <c r="Q253" s="38">
        <f>IF(E$13&gt;0,$C200*Q$242*24*'Input'!$F$58/E$13,0)</f>
        <v>0</v>
      </c>
      <c r="S253" s="38">
        <f>IF(C$13&gt;0,$C200*S$242*24*'Input'!$F$58/C$13,0)</f>
        <v>0</v>
      </c>
      <c r="T253" s="38">
        <f>IF(D$13&gt;0,$C200*T$242*24*'Input'!$F$58/D$13,0)</f>
        <v>0</v>
      </c>
      <c r="U253" s="38">
        <f>IF(E$13&gt;0,$C200*U$242*24*'Input'!$F$58/E$13,0)</f>
        <v>0</v>
      </c>
      <c r="W253" s="38">
        <f>IF(C$13&gt;0,$C200*W$242*24*'Input'!$F$58/C$13,0)</f>
        <v>0</v>
      </c>
      <c r="X253" s="38">
        <f>IF(D$13&gt;0,$C200*X$242*24*'Input'!$F$58/D$13,0)</f>
        <v>0</v>
      </c>
      <c r="Y253" s="38">
        <f>IF(E$13&gt;0,$C200*Y$242*24*'Input'!$F$58/E$13,0)</f>
        <v>0</v>
      </c>
      <c r="AA253" s="38">
        <f>IF(C$13&gt;0,$C200*AA$242*24*'Input'!$F$58/C$13,0)</f>
        <v>0</v>
      </c>
      <c r="AB253" s="38">
        <f>IF(D$13&gt;0,$C200*AB$242*24*'Input'!$F$58/D$13,0)</f>
        <v>0</v>
      </c>
      <c r="AC253" s="38">
        <f>IF(E$13&gt;0,$C200*AC$242*24*'Input'!$F$58/E$13,0)</f>
        <v>0</v>
      </c>
      <c r="AE253" s="38">
        <f>IF(C$13&gt;0,$C200*AE$242*24*'Input'!$F$58/C$13,0)</f>
        <v>0</v>
      </c>
      <c r="AF253" s="38">
        <f>IF(D$13&gt;0,$C200*AF$242*24*'Input'!$F$58/D$13,0)</f>
        <v>0</v>
      </c>
      <c r="AG253" s="38">
        <f>IF(E$13&gt;0,$C200*AG$242*24*'Input'!$F$58/E$13,0)</f>
        <v>0</v>
      </c>
      <c r="AI253" s="38">
        <f>IF(C$13&gt;0,$C200*AI$242*24*'Input'!$F$58/C$13,0)</f>
        <v>0</v>
      </c>
      <c r="AJ253" s="38">
        <f>IF(D$13&gt;0,$C200*AJ$242*24*'Input'!$F$58/D$13,0)</f>
        <v>0</v>
      </c>
      <c r="AK253" s="38">
        <f>IF(E$13&gt;0,$C200*AK$242*24*'Input'!$F$58/E$13,0)</f>
        <v>0</v>
      </c>
      <c r="AL253" s="17"/>
    </row>
    <row r="254" spans="1:38">
      <c r="A254" s="4" t="s">
        <v>175</v>
      </c>
      <c r="C254" s="38">
        <f>IF(C$13&gt;0,$C201*C$242*24*'Input'!$F$58/C$13,0)</f>
        <v>0</v>
      </c>
      <c r="D254" s="38">
        <f>IF(D$13&gt;0,$C201*D$242*24*'Input'!$F$58/D$13,0)</f>
        <v>0</v>
      </c>
      <c r="E254" s="38">
        <f>IF(E$13&gt;0,$C201*E$242*24*'Input'!$F$58/E$13,0)</f>
        <v>0</v>
      </c>
      <c r="G254" s="38">
        <f>IF(C$13&gt;0,$C201*G$242*24*'Input'!$F$58/C$13,0)</f>
        <v>0</v>
      </c>
      <c r="H254" s="38">
        <f>IF(D$13&gt;0,$C201*H$242*24*'Input'!$F$58/D$13,0)</f>
        <v>0</v>
      </c>
      <c r="I254" s="38">
        <f>IF(E$13&gt;0,$C201*I$242*24*'Input'!$F$58/E$13,0)</f>
        <v>0</v>
      </c>
      <c r="K254" s="38">
        <f>IF(C$13&gt;0,$C201*K$242*24*'Input'!$F$58/C$13,0)</f>
        <v>0</v>
      </c>
      <c r="L254" s="38">
        <f>IF(D$13&gt;0,$C201*L$242*24*'Input'!$F$58/D$13,0)</f>
        <v>0</v>
      </c>
      <c r="M254" s="38">
        <f>IF(E$13&gt;0,$C201*M$242*24*'Input'!$F$58/E$13,0)</f>
        <v>0</v>
      </c>
      <c r="O254" s="38">
        <f>IF(C$13&gt;0,$C201*O$242*24*'Input'!$F$58/C$13,0)</f>
        <v>0</v>
      </c>
      <c r="P254" s="38">
        <f>IF(D$13&gt;0,$C201*P$242*24*'Input'!$F$58/D$13,0)</f>
        <v>0</v>
      </c>
      <c r="Q254" s="38">
        <f>IF(E$13&gt;0,$C201*Q$242*24*'Input'!$F$58/E$13,0)</f>
        <v>0</v>
      </c>
      <c r="S254" s="38">
        <f>IF(C$13&gt;0,$C201*S$242*24*'Input'!$F$58/C$13,0)</f>
        <v>0</v>
      </c>
      <c r="T254" s="38">
        <f>IF(D$13&gt;0,$C201*T$242*24*'Input'!$F$58/D$13,0)</f>
        <v>0</v>
      </c>
      <c r="U254" s="38">
        <f>IF(E$13&gt;0,$C201*U$242*24*'Input'!$F$58/E$13,0)</f>
        <v>0</v>
      </c>
      <c r="W254" s="38">
        <f>IF(C$13&gt;0,$C201*W$242*24*'Input'!$F$58/C$13,0)</f>
        <v>0</v>
      </c>
      <c r="X254" s="38">
        <f>IF(D$13&gt;0,$C201*X$242*24*'Input'!$F$58/D$13,0)</f>
        <v>0</v>
      </c>
      <c r="Y254" s="38">
        <f>IF(E$13&gt;0,$C201*Y$242*24*'Input'!$F$58/E$13,0)</f>
        <v>0</v>
      </c>
      <c r="AA254" s="38">
        <f>IF(C$13&gt;0,$C201*AA$242*24*'Input'!$F$58/C$13,0)</f>
        <v>0</v>
      </c>
      <c r="AB254" s="38">
        <f>IF(D$13&gt;0,$C201*AB$242*24*'Input'!$F$58/D$13,0)</f>
        <v>0</v>
      </c>
      <c r="AC254" s="38">
        <f>IF(E$13&gt;0,$C201*AC$242*24*'Input'!$F$58/E$13,0)</f>
        <v>0</v>
      </c>
      <c r="AE254" s="38">
        <f>IF(C$13&gt;0,$C201*AE$242*24*'Input'!$F$58/C$13,0)</f>
        <v>0</v>
      </c>
      <c r="AF254" s="38">
        <f>IF(D$13&gt;0,$C201*AF$242*24*'Input'!$F$58/D$13,0)</f>
        <v>0</v>
      </c>
      <c r="AG254" s="38">
        <f>IF(E$13&gt;0,$C201*AG$242*24*'Input'!$F$58/E$13,0)</f>
        <v>0</v>
      </c>
      <c r="AI254" s="38">
        <f>IF(C$13&gt;0,$C201*AI$242*24*'Input'!$F$58/C$13,0)</f>
        <v>0</v>
      </c>
      <c r="AJ254" s="38">
        <f>IF(D$13&gt;0,$C201*AJ$242*24*'Input'!$F$58/D$13,0)</f>
        <v>0</v>
      </c>
      <c r="AK254" s="38">
        <f>IF(E$13&gt;0,$C201*AK$242*24*'Input'!$F$58/E$13,0)</f>
        <v>0</v>
      </c>
      <c r="AL254" s="17"/>
    </row>
    <row r="255" spans="1:38">
      <c r="A255" s="4" t="s">
        <v>211</v>
      </c>
      <c r="C255" s="38">
        <f>IF(C$13&gt;0,$C202*C$242*24*'Input'!$F$58/C$13,0)</f>
        <v>0</v>
      </c>
      <c r="D255" s="38">
        <f>IF(D$13&gt;0,$C202*D$242*24*'Input'!$F$58/D$13,0)</f>
        <v>0</v>
      </c>
      <c r="E255" s="38">
        <f>IF(E$13&gt;0,$C202*E$242*24*'Input'!$F$58/E$13,0)</f>
        <v>0</v>
      </c>
      <c r="G255" s="38">
        <f>IF(C$13&gt;0,$C202*G$242*24*'Input'!$F$58/C$13,0)</f>
        <v>0</v>
      </c>
      <c r="H255" s="38">
        <f>IF(D$13&gt;0,$C202*H$242*24*'Input'!$F$58/D$13,0)</f>
        <v>0</v>
      </c>
      <c r="I255" s="38">
        <f>IF(E$13&gt;0,$C202*I$242*24*'Input'!$F$58/E$13,0)</f>
        <v>0</v>
      </c>
      <c r="K255" s="38">
        <f>IF(C$13&gt;0,$C202*K$242*24*'Input'!$F$58/C$13,0)</f>
        <v>0</v>
      </c>
      <c r="L255" s="38">
        <f>IF(D$13&gt;0,$C202*L$242*24*'Input'!$F$58/D$13,0)</f>
        <v>0</v>
      </c>
      <c r="M255" s="38">
        <f>IF(E$13&gt;0,$C202*M$242*24*'Input'!$F$58/E$13,0)</f>
        <v>0</v>
      </c>
      <c r="O255" s="38">
        <f>IF(C$13&gt;0,$C202*O$242*24*'Input'!$F$58/C$13,0)</f>
        <v>0</v>
      </c>
      <c r="P255" s="38">
        <f>IF(D$13&gt;0,$C202*P$242*24*'Input'!$F$58/D$13,0)</f>
        <v>0</v>
      </c>
      <c r="Q255" s="38">
        <f>IF(E$13&gt;0,$C202*Q$242*24*'Input'!$F$58/E$13,0)</f>
        <v>0</v>
      </c>
      <c r="S255" s="38">
        <f>IF(C$13&gt;0,$C202*S$242*24*'Input'!$F$58/C$13,0)</f>
        <v>0</v>
      </c>
      <c r="T255" s="38">
        <f>IF(D$13&gt;0,$C202*T$242*24*'Input'!$F$58/D$13,0)</f>
        <v>0</v>
      </c>
      <c r="U255" s="38">
        <f>IF(E$13&gt;0,$C202*U$242*24*'Input'!$F$58/E$13,0)</f>
        <v>0</v>
      </c>
      <c r="W255" s="38">
        <f>IF(C$13&gt;0,$C202*W$242*24*'Input'!$F$58/C$13,0)</f>
        <v>0</v>
      </c>
      <c r="X255" s="38">
        <f>IF(D$13&gt;0,$C202*X$242*24*'Input'!$F$58/D$13,0)</f>
        <v>0</v>
      </c>
      <c r="Y255" s="38">
        <f>IF(E$13&gt;0,$C202*Y$242*24*'Input'!$F$58/E$13,0)</f>
        <v>0</v>
      </c>
      <c r="AA255" s="38">
        <f>IF(C$13&gt;0,$C202*AA$242*24*'Input'!$F$58/C$13,0)</f>
        <v>0</v>
      </c>
      <c r="AB255" s="38">
        <f>IF(D$13&gt;0,$C202*AB$242*24*'Input'!$F$58/D$13,0)</f>
        <v>0</v>
      </c>
      <c r="AC255" s="38">
        <f>IF(E$13&gt;0,$C202*AC$242*24*'Input'!$F$58/E$13,0)</f>
        <v>0</v>
      </c>
      <c r="AE255" s="38">
        <f>IF(C$13&gt;0,$C202*AE$242*24*'Input'!$F$58/C$13,0)</f>
        <v>0</v>
      </c>
      <c r="AF255" s="38">
        <f>IF(D$13&gt;0,$C202*AF$242*24*'Input'!$F$58/D$13,0)</f>
        <v>0</v>
      </c>
      <c r="AG255" s="38">
        <f>IF(E$13&gt;0,$C202*AG$242*24*'Input'!$F$58/E$13,0)</f>
        <v>0</v>
      </c>
      <c r="AI255" s="38">
        <f>IF(C$13&gt;0,$C202*AI$242*24*'Input'!$F$58/C$13,0)</f>
        <v>0</v>
      </c>
      <c r="AJ255" s="38">
        <f>IF(D$13&gt;0,$C202*AJ$242*24*'Input'!$F$58/D$13,0)</f>
        <v>0</v>
      </c>
      <c r="AK255" s="38">
        <f>IF(E$13&gt;0,$C202*AK$242*24*'Input'!$F$58/E$13,0)</f>
        <v>0</v>
      </c>
      <c r="AL255" s="17"/>
    </row>
    <row r="256" spans="1:38">
      <c r="A256" s="4" t="s">
        <v>176</v>
      </c>
      <c r="C256" s="38">
        <f>IF(C$13&gt;0,$C203*C$242*24*'Input'!$F$58/C$13,0)</f>
        <v>0</v>
      </c>
      <c r="D256" s="38">
        <f>IF(D$13&gt;0,$C203*D$242*24*'Input'!$F$58/D$13,0)</f>
        <v>0</v>
      </c>
      <c r="E256" s="38">
        <f>IF(E$13&gt;0,$C203*E$242*24*'Input'!$F$58/E$13,0)</f>
        <v>0</v>
      </c>
      <c r="G256" s="38">
        <f>IF(C$13&gt;0,$C203*G$242*24*'Input'!$F$58/C$13,0)</f>
        <v>0</v>
      </c>
      <c r="H256" s="38">
        <f>IF(D$13&gt;0,$C203*H$242*24*'Input'!$F$58/D$13,0)</f>
        <v>0</v>
      </c>
      <c r="I256" s="38">
        <f>IF(E$13&gt;0,$C203*I$242*24*'Input'!$F$58/E$13,0)</f>
        <v>0</v>
      </c>
      <c r="K256" s="38">
        <f>IF(C$13&gt;0,$C203*K$242*24*'Input'!$F$58/C$13,0)</f>
        <v>0</v>
      </c>
      <c r="L256" s="38">
        <f>IF(D$13&gt;0,$C203*L$242*24*'Input'!$F$58/D$13,0)</f>
        <v>0</v>
      </c>
      <c r="M256" s="38">
        <f>IF(E$13&gt;0,$C203*M$242*24*'Input'!$F$58/E$13,0)</f>
        <v>0</v>
      </c>
      <c r="O256" s="38">
        <f>IF(C$13&gt;0,$C203*O$242*24*'Input'!$F$58/C$13,0)</f>
        <v>0</v>
      </c>
      <c r="P256" s="38">
        <f>IF(D$13&gt;0,$C203*P$242*24*'Input'!$F$58/D$13,0)</f>
        <v>0</v>
      </c>
      <c r="Q256" s="38">
        <f>IF(E$13&gt;0,$C203*Q$242*24*'Input'!$F$58/E$13,0)</f>
        <v>0</v>
      </c>
      <c r="S256" s="38">
        <f>IF(C$13&gt;0,$C203*S$242*24*'Input'!$F$58/C$13,0)</f>
        <v>0</v>
      </c>
      <c r="T256" s="38">
        <f>IF(D$13&gt;0,$C203*T$242*24*'Input'!$F$58/D$13,0)</f>
        <v>0</v>
      </c>
      <c r="U256" s="38">
        <f>IF(E$13&gt;0,$C203*U$242*24*'Input'!$F$58/E$13,0)</f>
        <v>0</v>
      </c>
      <c r="W256" s="38">
        <f>IF(C$13&gt;0,$C203*W$242*24*'Input'!$F$58/C$13,0)</f>
        <v>0</v>
      </c>
      <c r="X256" s="38">
        <f>IF(D$13&gt;0,$C203*X$242*24*'Input'!$F$58/D$13,0)</f>
        <v>0</v>
      </c>
      <c r="Y256" s="38">
        <f>IF(E$13&gt;0,$C203*Y$242*24*'Input'!$F$58/E$13,0)</f>
        <v>0</v>
      </c>
      <c r="AA256" s="38">
        <f>IF(C$13&gt;0,$C203*AA$242*24*'Input'!$F$58/C$13,0)</f>
        <v>0</v>
      </c>
      <c r="AB256" s="38">
        <f>IF(D$13&gt;0,$C203*AB$242*24*'Input'!$F$58/D$13,0)</f>
        <v>0</v>
      </c>
      <c r="AC256" s="38">
        <f>IF(E$13&gt;0,$C203*AC$242*24*'Input'!$F$58/E$13,0)</f>
        <v>0</v>
      </c>
      <c r="AE256" s="38">
        <f>IF(C$13&gt;0,$C203*AE$242*24*'Input'!$F$58/C$13,0)</f>
        <v>0</v>
      </c>
      <c r="AF256" s="38">
        <f>IF(D$13&gt;0,$C203*AF$242*24*'Input'!$F$58/D$13,0)</f>
        <v>0</v>
      </c>
      <c r="AG256" s="38">
        <f>IF(E$13&gt;0,$C203*AG$242*24*'Input'!$F$58/E$13,0)</f>
        <v>0</v>
      </c>
      <c r="AI256" s="38">
        <f>IF(C$13&gt;0,$C203*AI$242*24*'Input'!$F$58/C$13,0)</f>
        <v>0</v>
      </c>
      <c r="AJ256" s="38">
        <f>IF(D$13&gt;0,$C203*AJ$242*24*'Input'!$F$58/D$13,0)</f>
        <v>0</v>
      </c>
      <c r="AK256" s="38">
        <f>IF(E$13&gt;0,$C203*AK$242*24*'Input'!$F$58/E$13,0)</f>
        <v>0</v>
      </c>
      <c r="AL256" s="17"/>
    </row>
    <row r="257" spans="1:38">
      <c r="A257" s="4" t="s">
        <v>177</v>
      </c>
      <c r="C257" s="38">
        <f>IF(C$13&gt;0,$C204*C$242*24*'Input'!$F$58/C$13,0)</f>
        <v>0</v>
      </c>
      <c r="D257" s="38">
        <f>IF(D$13&gt;0,$C204*D$242*24*'Input'!$F$58/D$13,0)</f>
        <v>0</v>
      </c>
      <c r="E257" s="38">
        <f>IF(E$13&gt;0,$C204*E$242*24*'Input'!$F$58/E$13,0)</f>
        <v>0</v>
      </c>
      <c r="G257" s="38">
        <f>IF(C$13&gt;0,$C204*G$242*24*'Input'!$F$58/C$13,0)</f>
        <v>0</v>
      </c>
      <c r="H257" s="38">
        <f>IF(D$13&gt;0,$C204*H$242*24*'Input'!$F$58/D$13,0)</f>
        <v>0</v>
      </c>
      <c r="I257" s="38">
        <f>IF(E$13&gt;0,$C204*I$242*24*'Input'!$F$58/E$13,0)</f>
        <v>0</v>
      </c>
      <c r="K257" s="38">
        <f>IF(C$13&gt;0,$C204*K$242*24*'Input'!$F$58/C$13,0)</f>
        <v>0</v>
      </c>
      <c r="L257" s="38">
        <f>IF(D$13&gt;0,$C204*L$242*24*'Input'!$F$58/D$13,0)</f>
        <v>0</v>
      </c>
      <c r="M257" s="38">
        <f>IF(E$13&gt;0,$C204*M$242*24*'Input'!$F$58/E$13,0)</f>
        <v>0</v>
      </c>
      <c r="O257" s="38">
        <f>IF(C$13&gt;0,$C204*O$242*24*'Input'!$F$58/C$13,0)</f>
        <v>0</v>
      </c>
      <c r="P257" s="38">
        <f>IF(D$13&gt;0,$C204*P$242*24*'Input'!$F$58/D$13,0)</f>
        <v>0</v>
      </c>
      <c r="Q257" s="38">
        <f>IF(E$13&gt;0,$C204*Q$242*24*'Input'!$F$58/E$13,0)</f>
        <v>0</v>
      </c>
      <c r="S257" s="38">
        <f>IF(C$13&gt;0,$C204*S$242*24*'Input'!$F$58/C$13,0)</f>
        <v>0</v>
      </c>
      <c r="T257" s="38">
        <f>IF(D$13&gt;0,$C204*T$242*24*'Input'!$F$58/D$13,0)</f>
        <v>0</v>
      </c>
      <c r="U257" s="38">
        <f>IF(E$13&gt;0,$C204*U$242*24*'Input'!$F$58/E$13,0)</f>
        <v>0</v>
      </c>
      <c r="W257" s="38">
        <f>IF(C$13&gt;0,$C204*W$242*24*'Input'!$F$58/C$13,0)</f>
        <v>0</v>
      </c>
      <c r="X257" s="38">
        <f>IF(D$13&gt;0,$C204*X$242*24*'Input'!$F$58/D$13,0)</f>
        <v>0</v>
      </c>
      <c r="Y257" s="38">
        <f>IF(E$13&gt;0,$C204*Y$242*24*'Input'!$F$58/E$13,0)</f>
        <v>0</v>
      </c>
      <c r="AA257" s="38">
        <f>IF(C$13&gt;0,$C204*AA$242*24*'Input'!$F$58/C$13,0)</f>
        <v>0</v>
      </c>
      <c r="AB257" s="38">
        <f>IF(D$13&gt;0,$C204*AB$242*24*'Input'!$F$58/D$13,0)</f>
        <v>0</v>
      </c>
      <c r="AC257" s="38">
        <f>IF(E$13&gt;0,$C204*AC$242*24*'Input'!$F$58/E$13,0)</f>
        <v>0</v>
      </c>
      <c r="AE257" s="38">
        <f>IF(C$13&gt;0,$C204*AE$242*24*'Input'!$F$58/C$13,0)</f>
        <v>0</v>
      </c>
      <c r="AF257" s="38">
        <f>IF(D$13&gt;0,$C204*AF$242*24*'Input'!$F$58/D$13,0)</f>
        <v>0</v>
      </c>
      <c r="AG257" s="38">
        <f>IF(E$13&gt;0,$C204*AG$242*24*'Input'!$F$58/E$13,0)</f>
        <v>0</v>
      </c>
      <c r="AI257" s="38">
        <f>IF(C$13&gt;0,$C204*AI$242*24*'Input'!$F$58/C$13,0)</f>
        <v>0</v>
      </c>
      <c r="AJ257" s="38">
        <f>IF(D$13&gt;0,$C204*AJ$242*24*'Input'!$F$58/D$13,0)</f>
        <v>0</v>
      </c>
      <c r="AK257" s="38">
        <f>IF(E$13&gt;0,$C204*AK$242*24*'Input'!$F$58/E$13,0)</f>
        <v>0</v>
      </c>
      <c r="AL257" s="17"/>
    </row>
    <row r="258" spans="1:38">
      <c r="A258" s="4" t="s">
        <v>212</v>
      </c>
      <c r="C258" s="38">
        <f>IF(C$13&gt;0,$C205*C$242*24*'Input'!$F$58/C$13,0)</f>
        <v>0</v>
      </c>
      <c r="D258" s="38">
        <f>IF(D$13&gt;0,$C205*D$242*24*'Input'!$F$58/D$13,0)</f>
        <v>0</v>
      </c>
      <c r="E258" s="38">
        <f>IF(E$13&gt;0,$C205*E$242*24*'Input'!$F$58/E$13,0)</f>
        <v>0</v>
      </c>
      <c r="G258" s="38">
        <f>IF(C$13&gt;0,$C205*G$242*24*'Input'!$F$58/C$13,0)</f>
        <v>0</v>
      </c>
      <c r="H258" s="38">
        <f>IF(D$13&gt;0,$C205*H$242*24*'Input'!$F$58/D$13,0)</f>
        <v>0</v>
      </c>
      <c r="I258" s="38">
        <f>IF(E$13&gt;0,$C205*I$242*24*'Input'!$F$58/E$13,0)</f>
        <v>0</v>
      </c>
      <c r="K258" s="38">
        <f>IF(C$13&gt;0,$C205*K$242*24*'Input'!$F$58/C$13,0)</f>
        <v>0</v>
      </c>
      <c r="L258" s="38">
        <f>IF(D$13&gt;0,$C205*L$242*24*'Input'!$F$58/D$13,0)</f>
        <v>0</v>
      </c>
      <c r="M258" s="38">
        <f>IF(E$13&gt;0,$C205*M$242*24*'Input'!$F$58/E$13,0)</f>
        <v>0</v>
      </c>
      <c r="O258" s="38">
        <f>IF(C$13&gt;0,$C205*O$242*24*'Input'!$F$58/C$13,0)</f>
        <v>0</v>
      </c>
      <c r="P258" s="38">
        <f>IF(D$13&gt;0,$C205*P$242*24*'Input'!$F$58/D$13,0)</f>
        <v>0</v>
      </c>
      <c r="Q258" s="38">
        <f>IF(E$13&gt;0,$C205*Q$242*24*'Input'!$F$58/E$13,0)</f>
        <v>0</v>
      </c>
      <c r="S258" s="38">
        <f>IF(C$13&gt;0,$C205*S$242*24*'Input'!$F$58/C$13,0)</f>
        <v>0</v>
      </c>
      <c r="T258" s="38">
        <f>IF(D$13&gt;0,$C205*T$242*24*'Input'!$F$58/D$13,0)</f>
        <v>0</v>
      </c>
      <c r="U258" s="38">
        <f>IF(E$13&gt;0,$C205*U$242*24*'Input'!$F$58/E$13,0)</f>
        <v>0</v>
      </c>
      <c r="W258" s="38">
        <f>IF(C$13&gt;0,$C205*W$242*24*'Input'!$F$58/C$13,0)</f>
        <v>0</v>
      </c>
      <c r="X258" s="38">
        <f>IF(D$13&gt;0,$C205*X$242*24*'Input'!$F$58/D$13,0)</f>
        <v>0</v>
      </c>
      <c r="Y258" s="38">
        <f>IF(E$13&gt;0,$C205*Y$242*24*'Input'!$F$58/E$13,0)</f>
        <v>0</v>
      </c>
      <c r="AA258" s="38">
        <f>IF(C$13&gt;0,$C205*AA$242*24*'Input'!$F$58/C$13,0)</f>
        <v>0</v>
      </c>
      <c r="AB258" s="38">
        <f>IF(D$13&gt;0,$C205*AB$242*24*'Input'!$F$58/D$13,0)</f>
        <v>0</v>
      </c>
      <c r="AC258" s="38">
        <f>IF(E$13&gt;0,$C205*AC$242*24*'Input'!$F$58/E$13,0)</f>
        <v>0</v>
      </c>
      <c r="AE258" s="38">
        <f>IF(C$13&gt;0,$C205*AE$242*24*'Input'!$F$58/C$13,0)</f>
        <v>0</v>
      </c>
      <c r="AF258" s="38">
        <f>IF(D$13&gt;0,$C205*AF$242*24*'Input'!$F$58/D$13,0)</f>
        <v>0</v>
      </c>
      <c r="AG258" s="38">
        <f>IF(E$13&gt;0,$C205*AG$242*24*'Input'!$F$58/E$13,0)</f>
        <v>0</v>
      </c>
      <c r="AI258" s="38">
        <f>IF(C$13&gt;0,$C205*AI$242*24*'Input'!$F$58/C$13,0)</f>
        <v>0</v>
      </c>
      <c r="AJ258" s="38">
        <f>IF(D$13&gt;0,$C205*AJ$242*24*'Input'!$F$58/D$13,0)</f>
        <v>0</v>
      </c>
      <c r="AK258" s="38">
        <f>IF(E$13&gt;0,$C205*AK$242*24*'Input'!$F$58/E$13,0)</f>
        <v>0</v>
      </c>
      <c r="AL258" s="17"/>
    </row>
    <row r="259" spans="1:38">
      <c r="A259" s="4" t="s">
        <v>178</v>
      </c>
      <c r="C259" s="38">
        <f>IF(C$13&gt;0,$C206*C$242*24*'Input'!$F$58/C$13,0)</f>
        <v>0</v>
      </c>
      <c r="D259" s="38">
        <f>IF(D$13&gt;0,$C206*D$242*24*'Input'!$F$58/D$13,0)</f>
        <v>0</v>
      </c>
      <c r="E259" s="38">
        <f>IF(E$13&gt;0,$C206*E$242*24*'Input'!$F$58/E$13,0)</f>
        <v>0</v>
      </c>
      <c r="G259" s="38">
        <f>IF(C$13&gt;0,$C206*G$242*24*'Input'!$F$58/C$13,0)</f>
        <v>0</v>
      </c>
      <c r="H259" s="38">
        <f>IF(D$13&gt;0,$C206*H$242*24*'Input'!$F$58/D$13,0)</f>
        <v>0</v>
      </c>
      <c r="I259" s="38">
        <f>IF(E$13&gt;0,$C206*I$242*24*'Input'!$F$58/E$13,0)</f>
        <v>0</v>
      </c>
      <c r="K259" s="38">
        <f>IF(C$13&gt;0,$C206*K$242*24*'Input'!$F$58/C$13,0)</f>
        <v>0</v>
      </c>
      <c r="L259" s="38">
        <f>IF(D$13&gt;0,$C206*L$242*24*'Input'!$F$58/D$13,0)</f>
        <v>0</v>
      </c>
      <c r="M259" s="38">
        <f>IF(E$13&gt;0,$C206*M$242*24*'Input'!$F$58/E$13,0)</f>
        <v>0</v>
      </c>
      <c r="O259" s="38">
        <f>IF(C$13&gt;0,$C206*O$242*24*'Input'!$F$58/C$13,0)</f>
        <v>0</v>
      </c>
      <c r="P259" s="38">
        <f>IF(D$13&gt;0,$C206*P$242*24*'Input'!$F$58/D$13,0)</f>
        <v>0</v>
      </c>
      <c r="Q259" s="38">
        <f>IF(E$13&gt;0,$C206*Q$242*24*'Input'!$F$58/E$13,0)</f>
        <v>0</v>
      </c>
      <c r="S259" s="38">
        <f>IF(C$13&gt;0,$C206*S$242*24*'Input'!$F$58/C$13,0)</f>
        <v>0</v>
      </c>
      <c r="T259" s="38">
        <f>IF(D$13&gt;0,$C206*T$242*24*'Input'!$F$58/D$13,0)</f>
        <v>0</v>
      </c>
      <c r="U259" s="38">
        <f>IF(E$13&gt;0,$C206*U$242*24*'Input'!$F$58/E$13,0)</f>
        <v>0</v>
      </c>
      <c r="W259" s="38">
        <f>IF(C$13&gt;0,$C206*W$242*24*'Input'!$F$58/C$13,0)</f>
        <v>0</v>
      </c>
      <c r="X259" s="38">
        <f>IF(D$13&gt;0,$C206*X$242*24*'Input'!$F$58/D$13,0)</f>
        <v>0</v>
      </c>
      <c r="Y259" s="38">
        <f>IF(E$13&gt;0,$C206*Y$242*24*'Input'!$F$58/E$13,0)</f>
        <v>0</v>
      </c>
      <c r="AA259" s="38">
        <f>IF(C$13&gt;0,$C206*AA$242*24*'Input'!$F$58/C$13,0)</f>
        <v>0</v>
      </c>
      <c r="AB259" s="38">
        <f>IF(D$13&gt;0,$C206*AB$242*24*'Input'!$F$58/D$13,0)</f>
        <v>0</v>
      </c>
      <c r="AC259" s="38">
        <f>IF(E$13&gt;0,$C206*AC$242*24*'Input'!$F$58/E$13,0)</f>
        <v>0</v>
      </c>
      <c r="AE259" s="38">
        <f>IF(C$13&gt;0,$C206*AE$242*24*'Input'!$F$58/C$13,0)</f>
        <v>0</v>
      </c>
      <c r="AF259" s="38">
        <f>IF(D$13&gt;0,$C206*AF$242*24*'Input'!$F$58/D$13,0)</f>
        <v>0</v>
      </c>
      <c r="AG259" s="38">
        <f>IF(E$13&gt;0,$C206*AG$242*24*'Input'!$F$58/E$13,0)</f>
        <v>0</v>
      </c>
      <c r="AI259" s="38">
        <f>IF(C$13&gt;0,$C206*AI$242*24*'Input'!$F$58/C$13,0)</f>
        <v>0</v>
      </c>
      <c r="AJ259" s="38">
        <f>IF(D$13&gt;0,$C206*AJ$242*24*'Input'!$F$58/D$13,0)</f>
        <v>0</v>
      </c>
      <c r="AK259" s="38">
        <f>IF(E$13&gt;0,$C206*AK$242*24*'Input'!$F$58/E$13,0)</f>
        <v>0</v>
      </c>
      <c r="AL259" s="17"/>
    </row>
    <row r="260" spans="1:38">
      <c r="A260" s="4" t="s">
        <v>179</v>
      </c>
      <c r="C260" s="38">
        <f>IF(C$13&gt;0,$C207*C$242*24*'Input'!$F$58/C$13,0)</f>
        <v>0</v>
      </c>
      <c r="D260" s="38">
        <f>IF(D$13&gt;0,$C207*D$242*24*'Input'!$F$58/D$13,0)</f>
        <v>0</v>
      </c>
      <c r="E260" s="38">
        <f>IF(E$13&gt;0,$C207*E$242*24*'Input'!$F$58/E$13,0)</f>
        <v>0</v>
      </c>
      <c r="G260" s="38">
        <f>IF(C$13&gt;0,$C207*G$242*24*'Input'!$F$58/C$13,0)</f>
        <v>0</v>
      </c>
      <c r="H260" s="38">
        <f>IF(D$13&gt;0,$C207*H$242*24*'Input'!$F$58/D$13,0)</f>
        <v>0</v>
      </c>
      <c r="I260" s="38">
        <f>IF(E$13&gt;0,$C207*I$242*24*'Input'!$F$58/E$13,0)</f>
        <v>0</v>
      </c>
      <c r="K260" s="38">
        <f>IF(C$13&gt;0,$C207*K$242*24*'Input'!$F$58/C$13,0)</f>
        <v>0</v>
      </c>
      <c r="L260" s="38">
        <f>IF(D$13&gt;0,$C207*L$242*24*'Input'!$F$58/D$13,0)</f>
        <v>0</v>
      </c>
      <c r="M260" s="38">
        <f>IF(E$13&gt;0,$C207*M$242*24*'Input'!$F$58/E$13,0)</f>
        <v>0</v>
      </c>
      <c r="O260" s="38">
        <f>IF(C$13&gt;0,$C207*O$242*24*'Input'!$F$58/C$13,0)</f>
        <v>0</v>
      </c>
      <c r="P260" s="38">
        <f>IF(D$13&gt;0,$C207*P$242*24*'Input'!$F$58/D$13,0)</f>
        <v>0</v>
      </c>
      <c r="Q260" s="38">
        <f>IF(E$13&gt;0,$C207*Q$242*24*'Input'!$F$58/E$13,0)</f>
        <v>0</v>
      </c>
      <c r="S260" s="38">
        <f>IF(C$13&gt;0,$C207*S$242*24*'Input'!$F$58/C$13,0)</f>
        <v>0</v>
      </c>
      <c r="T260" s="38">
        <f>IF(D$13&gt;0,$C207*T$242*24*'Input'!$F$58/D$13,0)</f>
        <v>0</v>
      </c>
      <c r="U260" s="38">
        <f>IF(E$13&gt;0,$C207*U$242*24*'Input'!$F$58/E$13,0)</f>
        <v>0</v>
      </c>
      <c r="W260" s="38">
        <f>IF(C$13&gt;0,$C207*W$242*24*'Input'!$F$58/C$13,0)</f>
        <v>0</v>
      </c>
      <c r="X260" s="38">
        <f>IF(D$13&gt;0,$C207*X$242*24*'Input'!$F$58/D$13,0)</f>
        <v>0</v>
      </c>
      <c r="Y260" s="38">
        <f>IF(E$13&gt;0,$C207*Y$242*24*'Input'!$F$58/E$13,0)</f>
        <v>0</v>
      </c>
      <c r="AA260" s="38">
        <f>IF(C$13&gt;0,$C207*AA$242*24*'Input'!$F$58/C$13,0)</f>
        <v>0</v>
      </c>
      <c r="AB260" s="38">
        <f>IF(D$13&gt;0,$C207*AB$242*24*'Input'!$F$58/D$13,0)</f>
        <v>0</v>
      </c>
      <c r="AC260" s="38">
        <f>IF(E$13&gt;0,$C207*AC$242*24*'Input'!$F$58/E$13,0)</f>
        <v>0</v>
      </c>
      <c r="AE260" s="38">
        <f>IF(C$13&gt;0,$C207*AE$242*24*'Input'!$F$58/C$13,0)</f>
        <v>0</v>
      </c>
      <c r="AF260" s="38">
        <f>IF(D$13&gt;0,$C207*AF$242*24*'Input'!$F$58/D$13,0)</f>
        <v>0</v>
      </c>
      <c r="AG260" s="38">
        <f>IF(E$13&gt;0,$C207*AG$242*24*'Input'!$F$58/E$13,0)</f>
        <v>0</v>
      </c>
      <c r="AI260" s="38">
        <f>IF(C$13&gt;0,$C207*AI$242*24*'Input'!$F$58/C$13,0)</f>
        <v>0</v>
      </c>
      <c r="AJ260" s="38">
        <f>IF(D$13&gt;0,$C207*AJ$242*24*'Input'!$F$58/D$13,0)</f>
        <v>0</v>
      </c>
      <c r="AK260" s="38">
        <f>IF(E$13&gt;0,$C207*AK$242*24*'Input'!$F$58/E$13,0)</f>
        <v>0</v>
      </c>
      <c r="AL260" s="17"/>
    </row>
    <row r="261" spans="1:38">
      <c r="A261" s="4" t="s">
        <v>180</v>
      </c>
      <c r="C261" s="38">
        <f>IF(C$13&gt;0,$C208*C$242*24*'Input'!$F$58/C$13,0)</f>
        <v>0</v>
      </c>
      <c r="D261" s="38">
        <f>IF(D$13&gt;0,$C208*D$242*24*'Input'!$F$58/D$13,0)</f>
        <v>0</v>
      </c>
      <c r="E261" s="38">
        <f>IF(E$13&gt;0,$C208*E$242*24*'Input'!$F$58/E$13,0)</f>
        <v>0</v>
      </c>
      <c r="G261" s="38">
        <f>IF(C$13&gt;0,$C208*G$242*24*'Input'!$F$58/C$13,0)</f>
        <v>0</v>
      </c>
      <c r="H261" s="38">
        <f>IF(D$13&gt;0,$C208*H$242*24*'Input'!$F$58/D$13,0)</f>
        <v>0</v>
      </c>
      <c r="I261" s="38">
        <f>IF(E$13&gt;0,$C208*I$242*24*'Input'!$F$58/E$13,0)</f>
        <v>0</v>
      </c>
      <c r="K261" s="38">
        <f>IF(C$13&gt;0,$C208*K$242*24*'Input'!$F$58/C$13,0)</f>
        <v>0</v>
      </c>
      <c r="L261" s="38">
        <f>IF(D$13&gt;0,$C208*L$242*24*'Input'!$F$58/D$13,0)</f>
        <v>0</v>
      </c>
      <c r="M261" s="38">
        <f>IF(E$13&gt;0,$C208*M$242*24*'Input'!$F$58/E$13,0)</f>
        <v>0</v>
      </c>
      <c r="O261" s="38">
        <f>IF(C$13&gt;0,$C208*O$242*24*'Input'!$F$58/C$13,0)</f>
        <v>0</v>
      </c>
      <c r="P261" s="38">
        <f>IF(D$13&gt;0,$C208*P$242*24*'Input'!$F$58/D$13,0)</f>
        <v>0</v>
      </c>
      <c r="Q261" s="38">
        <f>IF(E$13&gt;0,$C208*Q$242*24*'Input'!$F$58/E$13,0)</f>
        <v>0</v>
      </c>
      <c r="S261" s="38">
        <f>IF(C$13&gt;0,$C208*S$242*24*'Input'!$F$58/C$13,0)</f>
        <v>0</v>
      </c>
      <c r="T261" s="38">
        <f>IF(D$13&gt;0,$C208*T$242*24*'Input'!$F$58/D$13,0)</f>
        <v>0</v>
      </c>
      <c r="U261" s="38">
        <f>IF(E$13&gt;0,$C208*U$242*24*'Input'!$F$58/E$13,0)</f>
        <v>0</v>
      </c>
      <c r="W261" s="38">
        <f>IF(C$13&gt;0,$C208*W$242*24*'Input'!$F$58/C$13,0)</f>
        <v>0</v>
      </c>
      <c r="X261" s="38">
        <f>IF(D$13&gt;0,$C208*X$242*24*'Input'!$F$58/D$13,0)</f>
        <v>0</v>
      </c>
      <c r="Y261" s="38">
        <f>IF(E$13&gt;0,$C208*Y$242*24*'Input'!$F$58/E$13,0)</f>
        <v>0</v>
      </c>
      <c r="AA261" s="38">
        <f>IF(C$13&gt;0,$C208*AA$242*24*'Input'!$F$58/C$13,0)</f>
        <v>0</v>
      </c>
      <c r="AB261" s="38">
        <f>IF(D$13&gt;0,$C208*AB$242*24*'Input'!$F$58/D$13,0)</f>
        <v>0</v>
      </c>
      <c r="AC261" s="38">
        <f>IF(E$13&gt;0,$C208*AC$242*24*'Input'!$F$58/E$13,0)</f>
        <v>0</v>
      </c>
      <c r="AE261" s="38">
        <f>IF(C$13&gt;0,$C208*AE$242*24*'Input'!$F$58/C$13,0)</f>
        <v>0</v>
      </c>
      <c r="AF261" s="38">
        <f>IF(D$13&gt;0,$C208*AF$242*24*'Input'!$F$58/D$13,0)</f>
        <v>0</v>
      </c>
      <c r="AG261" s="38">
        <f>IF(E$13&gt;0,$C208*AG$242*24*'Input'!$F$58/E$13,0)</f>
        <v>0</v>
      </c>
      <c r="AI261" s="38">
        <f>IF(C$13&gt;0,$C208*AI$242*24*'Input'!$F$58/C$13,0)</f>
        <v>0</v>
      </c>
      <c r="AJ261" s="38">
        <f>IF(D$13&gt;0,$C208*AJ$242*24*'Input'!$F$58/D$13,0)</f>
        <v>0</v>
      </c>
      <c r="AK261" s="38">
        <f>IF(E$13&gt;0,$C208*AK$242*24*'Input'!$F$58/E$13,0)</f>
        <v>0</v>
      </c>
      <c r="AL261" s="17"/>
    </row>
    <row r="262" spans="1:38">
      <c r="A262" s="4" t="s">
        <v>181</v>
      </c>
      <c r="C262" s="38">
        <f>IF(C$13&gt;0,$C209*C$242*24*'Input'!$F$58/C$13,0)</f>
        <v>0</v>
      </c>
      <c r="D262" s="38">
        <f>IF(D$13&gt;0,$C209*D$242*24*'Input'!$F$58/D$13,0)</f>
        <v>0</v>
      </c>
      <c r="E262" s="38">
        <f>IF(E$13&gt;0,$C209*E$242*24*'Input'!$F$58/E$13,0)</f>
        <v>0</v>
      </c>
      <c r="G262" s="38">
        <f>IF(C$13&gt;0,$C209*G$242*24*'Input'!$F$58/C$13,0)</f>
        <v>0</v>
      </c>
      <c r="H262" s="38">
        <f>IF(D$13&gt;0,$C209*H$242*24*'Input'!$F$58/D$13,0)</f>
        <v>0</v>
      </c>
      <c r="I262" s="38">
        <f>IF(E$13&gt;0,$C209*I$242*24*'Input'!$F$58/E$13,0)</f>
        <v>0</v>
      </c>
      <c r="K262" s="38">
        <f>IF(C$13&gt;0,$C209*K$242*24*'Input'!$F$58/C$13,0)</f>
        <v>0</v>
      </c>
      <c r="L262" s="38">
        <f>IF(D$13&gt;0,$C209*L$242*24*'Input'!$F$58/D$13,0)</f>
        <v>0</v>
      </c>
      <c r="M262" s="38">
        <f>IF(E$13&gt;0,$C209*M$242*24*'Input'!$F$58/E$13,0)</f>
        <v>0</v>
      </c>
      <c r="O262" s="38">
        <f>IF(C$13&gt;0,$C209*O$242*24*'Input'!$F$58/C$13,0)</f>
        <v>0</v>
      </c>
      <c r="P262" s="38">
        <f>IF(D$13&gt;0,$C209*P$242*24*'Input'!$F$58/D$13,0)</f>
        <v>0</v>
      </c>
      <c r="Q262" s="38">
        <f>IF(E$13&gt;0,$C209*Q$242*24*'Input'!$F$58/E$13,0)</f>
        <v>0</v>
      </c>
      <c r="S262" s="38">
        <f>IF(C$13&gt;0,$C209*S$242*24*'Input'!$F$58/C$13,0)</f>
        <v>0</v>
      </c>
      <c r="T262" s="38">
        <f>IF(D$13&gt;0,$C209*T$242*24*'Input'!$F$58/D$13,0)</f>
        <v>0</v>
      </c>
      <c r="U262" s="38">
        <f>IF(E$13&gt;0,$C209*U$242*24*'Input'!$F$58/E$13,0)</f>
        <v>0</v>
      </c>
      <c r="W262" s="38">
        <f>IF(C$13&gt;0,$C209*W$242*24*'Input'!$F$58/C$13,0)</f>
        <v>0</v>
      </c>
      <c r="X262" s="38">
        <f>IF(D$13&gt;0,$C209*X$242*24*'Input'!$F$58/D$13,0)</f>
        <v>0</v>
      </c>
      <c r="Y262" s="38">
        <f>IF(E$13&gt;0,$C209*Y$242*24*'Input'!$F$58/E$13,0)</f>
        <v>0</v>
      </c>
      <c r="AA262" s="38">
        <f>IF(C$13&gt;0,$C209*AA$242*24*'Input'!$F$58/C$13,0)</f>
        <v>0</v>
      </c>
      <c r="AB262" s="38">
        <f>IF(D$13&gt;0,$C209*AB$242*24*'Input'!$F$58/D$13,0)</f>
        <v>0</v>
      </c>
      <c r="AC262" s="38">
        <f>IF(E$13&gt;0,$C209*AC$242*24*'Input'!$F$58/E$13,0)</f>
        <v>0</v>
      </c>
      <c r="AE262" s="38">
        <f>IF(C$13&gt;0,$C209*AE$242*24*'Input'!$F$58/C$13,0)</f>
        <v>0</v>
      </c>
      <c r="AF262" s="38">
        <f>IF(D$13&gt;0,$C209*AF$242*24*'Input'!$F$58/D$13,0)</f>
        <v>0</v>
      </c>
      <c r="AG262" s="38">
        <f>IF(E$13&gt;0,$C209*AG$242*24*'Input'!$F$58/E$13,0)</f>
        <v>0</v>
      </c>
      <c r="AI262" s="38">
        <f>IF(C$13&gt;0,$C209*AI$242*24*'Input'!$F$58/C$13,0)</f>
        <v>0</v>
      </c>
      <c r="AJ262" s="38">
        <f>IF(D$13&gt;0,$C209*AJ$242*24*'Input'!$F$58/D$13,0)</f>
        <v>0</v>
      </c>
      <c r="AK262" s="38">
        <f>IF(E$13&gt;0,$C209*AK$242*24*'Input'!$F$58/E$13,0)</f>
        <v>0</v>
      </c>
      <c r="AL262" s="17"/>
    </row>
    <row r="263" spans="1:38">
      <c r="A263" s="4" t="s">
        <v>193</v>
      </c>
      <c r="C263" s="38">
        <f>IF(C$13&gt;0,$C210*C$242*24*'Input'!$F$58/C$13,0)</f>
        <v>0</v>
      </c>
      <c r="D263" s="38">
        <f>IF(D$13&gt;0,$C210*D$242*24*'Input'!$F$58/D$13,0)</f>
        <v>0</v>
      </c>
      <c r="E263" s="38">
        <f>IF(E$13&gt;0,$C210*E$242*24*'Input'!$F$58/E$13,0)</f>
        <v>0</v>
      </c>
      <c r="G263" s="38">
        <f>IF(C$13&gt;0,$C210*G$242*24*'Input'!$F$58/C$13,0)</f>
        <v>0</v>
      </c>
      <c r="H263" s="38">
        <f>IF(D$13&gt;0,$C210*H$242*24*'Input'!$F$58/D$13,0)</f>
        <v>0</v>
      </c>
      <c r="I263" s="38">
        <f>IF(E$13&gt;0,$C210*I$242*24*'Input'!$F$58/E$13,0)</f>
        <v>0</v>
      </c>
      <c r="K263" s="38">
        <f>IF(C$13&gt;0,$C210*K$242*24*'Input'!$F$58/C$13,0)</f>
        <v>0</v>
      </c>
      <c r="L263" s="38">
        <f>IF(D$13&gt;0,$C210*L$242*24*'Input'!$F$58/D$13,0)</f>
        <v>0</v>
      </c>
      <c r="M263" s="38">
        <f>IF(E$13&gt;0,$C210*M$242*24*'Input'!$F$58/E$13,0)</f>
        <v>0</v>
      </c>
      <c r="O263" s="38">
        <f>IF(C$13&gt;0,$C210*O$242*24*'Input'!$F$58/C$13,0)</f>
        <v>0</v>
      </c>
      <c r="P263" s="38">
        <f>IF(D$13&gt;0,$C210*P$242*24*'Input'!$F$58/D$13,0)</f>
        <v>0</v>
      </c>
      <c r="Q263" s="38">
        <f>IF(E$13&gt;0,$C210*Q$242*24*'Input'!$F$58/E$13,0)</f>
        <v>0</v>
      </c>
      <c r="S263" s="38">
        <f>IF(C$13&gt;0,$C210*S$242*24*'Input'!$F$58/C$13,0)</f>
        <v>0</v>
      </c>
      <c r="T263" s="38">
        <f>IF(D$13&gt;0,$C210*T$242*24*'Input'!$F$58/D$13,0)</f>
        <v>0</v>
      </c>
      <c r="U263" s="38">
        <f>IF(E$13&gt;0,$C210*U$242*24*'Input'!$F$58/E$13,0)</f>
        <v>0</v>
      </c>
      <c r="W263" s="38">
        <f>IF(C$13&gt;0,$C210*W$242*24*'Input'!$F$58/C$13,0)</f>
        <v>0</v>
      </c>
      <c r="X263" s="38">
        <f>IF(D$13&gt;0,$C210*X$242*24*'Input'!$F$58/D$13,0)</f>
        <v>0</v>
      </c>
      <c r="Y263" s="38">
        <f>IF(E$13&gt;0,$C210*Y$242*24*'Input'!$F$58/E$13,0)</f>
        <v>0</v>
      </c>
      <c r="AA263" s="38">
        <f>IF(C$13&gt;0,$C210*AA$242*24*'Input'!$F$58/C$13,0)</f>
        <v>0</v>
      </c>
      <c r="AB263" s="38">
        <f>IF(D$13&gt;0,$C210*AB$242*24*'Input'!$F$58/D$13,0)</f>
        <v>0</v>
      </c>
      <c r="AC263" s="38">
        <f>IF(E$13&gt;0,$C210*AC$242*24*'Input'!$F$58/E$13,0)</f>
        <v>0</v>
      </c>
      <c r="AE263" s="38">
        <f>IF(C$13&gt;0,$C210*AE$242*24*'Input'!$F$58/C$13,0)</f>
        <v>0</v>
      </c>
      <c r="AF263" s="38">
        <f>IF(D$13&gt;0,$C210*AF$242*24*'Input'!$F$58/D$13,0)</f>
        <v>0</v>
      </c>
      <c r="AG263" s="38">
        <f>IF(E$13&gt;0,$C210*AG$242*24*'Input'!$F$58/E$13,0)</f>
        <v>0</v>
      </c>
      <c r="AI263" s="38">
        <f>IF(C$13&gt;0,$C210*AI$242*24*'Input'!$F$58/C$13,0)</f>
        <v>0</v>
      </c>
      <c r="AJ263" s="38">
        <f>IF(D$13&gt;0,$C210*AJ$242*24*'Input'!$F$58/D$13,0)</f>
        <v>0</v>
      </c>
      <c r="AK263" s="38">
        <f>IF(E$13&gt;0,$C210*AK$242*24*'Input'!$F$58/E$13,0)</f>
        <v>0</v>
      </c>
      <c r="AL263" s="17"/>
    </row>
    <row r="264" spans="1:38">
      <c r="A264" s="4" t="s">
        <v>185</v>
      </c>
      <c r="C264" s="38">
        <f>IF(C$13&gt;0,$C211*C$242*24*'Input'!$F$58/C$13,0)</f>
        <v>0</v>
      </c>
      <c r="D264" s="38">
        <f>IF(D$13&gt;0,$C211*D$242*24*'Input'!$F$58/D$13,0)</f>
        <v>0</v>
      </c>
      <c r="E264" s="38">
        <f>IF(E$13&gt;0,$C211*E$242*24*'Input'!$F$58/E$13,0)</f>
        <v>0</v>
      </c>
      <c r="G264" s="38">
        <f>IF(C$13&gt;0,$C211*G$242*24*'Input'!$F$58/C$13,0)</f>
        <v>0</v>
      </c>
      <c r="H264" s="38">
        <f>IF(D$13&gt;0,$C211*H$242*24*'Input'!$F$58/D$13,0)</f>
        <v>0</v>
      </c>
      <c r="I264" s="38">
        <f>IF(E$13&gt;0,$C211*I$242*24*'Input'!$F$58/E$13,0)</f>
        <v>0</v>
      </c>
      <c r="K264" s="38">
        <f>IF(C$13&gt;0,$C211*K$242*24*'Input'!$F$58/C$13,0)</f>
        <v>0</v>
      </c>
      <c r="L264" s="38">
        <f>IF(D$13&gt;0,$C211*L$242*24*'Input'!$F$58/D$13,0)</f>
        <v>0</v>
      </c>
      <c r="M264" s="38">
        <f>IF(E$13&gt;0,$C211*M$242*24*'Input'!$F$58/E$13,0)</f>
        <v>0</v>
      </c>
      <c r="O264" s="38">
        <f>IF(C$13&gt;0,$C211*O$242*24*'Input'!$F$58/C$13,0)</f>
        <v>0</v>
      </c>
      <c r="P264" s="38">
        <f>IF(D$13&gt;0,$C211*P$242*24*'Input'!$F$58/D$13,0)</f>
        <v>0</v>
      </c>
      <c r="Q264" s="38">
        <f>IF(E$13&gt;0,$C211*Q$242*24*'Input'!$F$58/E$13,0)</f>
        <v>0</v>
      </c>
      <c r="S264" s="38">
        <f>IF(C$13&gt;0,$C211*S$242*24*'Input'!$F$58/C$13,0)</f>
        <v>0</v>
      </c>
      <c r="T264" s="38">
        <f>IF(D$13&gt;0,$C211*T$242*24*'Input'!$F$58/D$13,0)</f>
        <v>0</v>
      </c>
      <c r="U264" s="38">
        <f>IF(E$13&gt;0,$C211*U$242*24*'Input'!$F$58/E$13,0)</f>
        <v>0</v>
      </c>
      <c r="W264" s="38">
        <f>IF(C$13&gt;0,$C211*W$242*24*'Input'!$F$58/C$13,0)</f>
        <v>0</v>
      </c>
      <c r="X264" s="38">
        <f>IF(D$13&gt;0,$C211*X$242*24*'Input'!$F$58/D$13,0)</f>
        <v>0</v>
      </c>
      <c r="Y264" s="38">
        <f>IF(E$13&gt;0,$C211*Y$242*24*'Input'!$F$58/E$13,0)</f>
        <v>0</v>
      </c>
      <c r="AA264" s="38">
        <f>IF(C$13&gt;0,$C211*AA$242*24*'Input'!$F$58/C$13,0)</f>
        <v>0</v>
      </c>
      <c r="AB264" s="38">
        <f>IF(D$13&gt;0,$C211*AB$242*24*'Input'!$F$58/D$13,0)</f>
        <v>0</v>
      </c>
      <c r="AC264" s="38">
        <f>IF(E$13&gt;0,$C211*AC$242*24*'Input'!$F$58/E$13,0)</f>
        <v>0</v>
      </c>
      <c r="AE264" s="38">
        <f>IF(C$13&gt;0,$C211*AE$242*24*'Input'!$F$58/C$13,0)</f>
        <v>0</v>
      </c>
      <c r="AF264" s="38">
        <f>IF(D$13&gt;0,$C211*AF$242*24*'Input'!$F$58/D$13,0)</f>
        <v>0</v>
      </c>
      <c r="AG264" s="38">
        <f>IF(E$13&gt;0,$C211*AG$242*24*'Input'!$F$58/E$13,0)</f>
        <v>0</v>
      </c>
      <c r="AI264" s="38">
        <f>IF(C$13&gt;0,$C211*AI$242*24*'Input'!$F$58/C$13,0)</f>
        <v>0</v>
      </c>
      <c r="AJ264" s="38">
        <f>IF(D$13&gt;0,$C211*AJ$242*24*'Input'!$F$58/D$13,0)</f>
        <v>0</v>
      </c>
      <c r="AK264" s="38">
        <f>IF(E$13&gt;0,$C211*AK$242*24*'Input'!$F$58/E$13,0)</f>
        <v>0</v>
      </c>
      <c r="AL264" s="17"/>
    </row>
    <row r="265" spans="1:38">
      <c r="A265" s="4" t="s">
        <v>187</v>
      </c>
      <c r="C265" s="38">
        <f>IF(C$13&gt;0,$C212*C$242*24*'Input'!$F$58/C$13,0)</f>
        <v>0</v>
      </c>
      <c r="D265" s="38">
        <f>IF(D$13&gt;0,$C212*D$242*24*'Input'!$F$58/D$13,0)</f>
        <v>0</v>
      </c>
      <c r="E265" s="38">
        <f>IF(E$13&gt;0,$C212*E$242*24*'Input'!$F$58/E$13,0)</f>
        <v>0</v>
      </c>
      <c r="G265" s="38">
        <f>IF(C$13&gt;0,$C212*G$242*24*'Input'!$F$58/C$13,0)</f>
        <v>0</v>
      </c>
      <c r="H265" s="38">
        <f>IF(D$13&gt;0,$C212*H$242*24*'Input'!$F$58/D$13,0)</f>
        <v>0</v>
      </c>
      <c r="I265" s="38">
        <f>IF(E$13&gt;0,$C212*I$242*24*'Input'!$F$58/E$13,0)</f>
        <v>0</v>
      </c>
      <c r="K265" s="38">
        <f>IF(C$13&gt;0,$C212*K$242*24*'Input'!$F$58/C$13,0)</f>
        <v>0</v>
      </c>
      <c r="L265" s="38">
        <f>IF(D$13&gt;0,$C212*L$242*24*'Input'!$F$58/D$13,0)</f>
        <v>0</v>
      </c>
      <c r="M265" s="38">
        <f>IF(E$13&gt;0,$C212*M$242*24*'Input'!$F$58/E$13,0)</f>
        <v>0</v>
      </c>
      <c r="O265" s="38">
        <f>IF(C$13&gt;0,$C212*O$242*24*'Input'!$F$58/C$13,0)</f>
        <v>0</v>
      </c>
      <c r="P265" s="38">
        <f>IF(D$13&gt;0,$C212*P$242*24*'Input'!$F$58/D$13,0)</f>
        <v>0</v>
      </c>
      <c r="Q265" s="38">
        <f>IF(E$13&gt;0,$C212*Q$242*24*'Input'!$F$58/E$13,0)</f>
        <v>0</v>
      </c>
      <c r="S265" s="38">
        <f>IF(C$13&gt;0,$C212*S$242*24*'Input'!$F$58/C$13,0)</f>
        <v>0</v>
      </c>
      <c r="T265" s="38">
        <f>IF(D$13&gt;0,$C212*T$242*24*'Input'!$F$58/D$13,0)</f>
        <v>0</v>
      </c>
      <c r="U265" s="38">
        <f>IF(E$13&gt;0,$C212*U$242*24*'Input'!$F$58/E$13,0)</f>
        <v>0</v>
      </c>
      <c r="W265" s="38">
        <f>IF(C$13&gt;0,$C212*W$242*24*'Input'!$F$58/C$13,0)</f>
        <v>0</v>
      </c>
      <c r="X265" s="38">
        <f>IF(D$13&gt;0,$C212*X$242*24*'Input'!$F$58/D$13,0)</f>
        <v>0</v>
      </c>
      <c r="Y265" s="38">
        <f>IF(E$13&gt;0,$C212*Y$242*24*'Input'!$F$58/E$13,0)</f>
        <v>0</v>
      </c>
      <c r="AA265" s="38">
        <f>IF(C$13&gt;0,$C212*AA$242*24*'Input'!$F$58/C$13,0)</f>
        <v>0</v>
      </c>
      <c r="AB265" s="38">
        <f>IF(D$13&gt;0,$C212*AB$242*24*'Input'!$F$58/D$13,0)</f>
        <v>0</v>
      </c>
      <c r="AC265" s="38">
        <f>IF(E$13&gt;0,$C212*AC$242*24*'Input'!$F$58/E$13,0)</f>
        <v>0</v>
      </c>
      <c r="AE265" s="38">
        <f>IF(C$13&gt;0,$C212*AE$242*24*'Input'!$F$58/C$13,0)</f>
        <v>0</v>
      </c>
      <c r="AF265" s="38">
        <f>IF(D$13&gt;0,$C212*AF$242*24*'Input'!$F$58/D$13,0)</f>
        <v>0</v>
      </c>
      <c r="AG265" s="38">
        <f>IF(E$13&gt;0,$C212*AG$242*24*'Input'!$F$58/E$13,0)</f>
        <v>0</v>
      </c>
      <c r="AI265" s="38">
        <f>IF(C$13&gt;0,$C212*AI$242*24*'Input'!$F$58/C$13,0)</f>
        <v>0</v>
      </c>
      <c r="AJ265" s="38">
        <f>IF(D$13&gt;0,$C212*AJ$242*24*'Input'!$F$58/D$13,0)</f>
        <v>0</v>
      </c>
      <c r="AK265" s="38">
        <f>IF(E$13&gt;0,$C212*AK$242*24*'Input'!$F$58/E$13,0)</f>
        <v>0</v>
      </c>
      <c r="AL265" s="17"/>
    </row>
    <row r="266" spans="1:38">
      <c r="A266" s="4" t="s">
        <v>195</v>
      </c>
      <c r="C266" s="38">
        <f>IF(C$13&gt;0,$C213*C$242*24*'Input'!$F$58/C$13,0)</f>
        <v>0</v>
      </c>
      <c r="D266" s="38">
        <f>IF(D$13&gt;0,$C213*D$242*24*'Input'!$F$58/D$13,0)</f>
        <v>0</v>
      </c>
      <c r="E266" s="38">
        <f>IF(E$13&gt;0,$C213*E$242*24*'Input'!$F$58/E$13,0)</f>
        <v>0</v>
      </c>
      <c r="G266" s="38">
        <f>IF(C$13&gt;0,$C213*G$242*24*'Input'!$F$58/C$13,0)</f>
        <v>0</v>
      </c>
      <c r="H266" s="38">
        <f>IF(D$13&gt;0,$C213*H$242*24*'Input'!$F$58/D$13,0)</f>
        <v>0</v>
      </c>
      <c r="I266" s="38">
        <f>IF(E$13&gt;0,$C213*I$242*24*'Input'!$F$58/E$13,0)</f>
        <v>0</v>
      </c>
      <c r="K266" s="38">
        <f>IF(C$13&gt;0,$C213*K$242*24*'Input'!$F$58/C$13,0)</f>
        <v>0</v>
      </c>
      <c r="L266" s="38">
        <f>IF(D$13&gt;0,$C213*L$242*24*'Input'!$F$58/D$13,0)</f>
        <v>0</v>
      </c>
      <c r="M266" s="38">
        <f>IF(E$13&gt;0,$C213*M$242*24*'Input'!$F$58/E$13,0)</f>
        <v>0</v>
      </c>
      <c r="O266" s="38">
        <f>IF(C$13&gt;0,$C213*O$242*24*'Input'!$F$58/C$13,0)</f>
        <v>0</v>
      </c>
      <c r="P266" s="38">
        <f>IF(D$13&gt;0,$C213*P$242*24*'Input'!$F$58/D$13,0)</f>
        <v>0</v>
      </c>
      <c r="Q266" s="38">
        <f>IF(E$13&gt;0,$C213*Q$242*24*'Input'!$F$58/E$13,0)</f>
        <v>0</v>
      </c>
      <c r="S266" s="38">
        <f>IF(C$13&gt;0,$C213*S$242*24*'Input'!$F$58/C$13,0)</f>
        <v>0</v>
      </c>
      <c r="T266" s="38">
        <f>IF(D$13&gt;0,$C213*T$242*24*'Input'!$F$58/D$13,0)</f>
        <v>0</v>
      </c>
      <c r="U266" s="38">
        <f>IF(E$13&gt;0,$C213*U$242*24*'Input'!$F$58/E$13,0)</f>
        <v>0</v>
      </c>
      <c r="W266" s="38">
        <f>IF(C$13&gt;0,$C213*W$242*24*'Input'!$F$58/C$13,0)</f>
        <v>0</v>
      </c>
      <c r="X266" s="38">
        <f>IF(D$13&gt;0,$C213*X$242*24*'Input'!$F$58/D$13,0)</f>
        <v>0</v>
      </c>
      <c r="Y266" s="38">
        <f>IF(E$13&gt;0,$C213*Y$242*24*'Input'!$F$58/E$13,0)</f>
        <v>0</v>
      </c>
      <c r="AA266" s="38">
        <f>IF(C$13&gt;0,$C213*AA$242*24*'Input'!$F$58/C$13,0)</f>
        <v>0</v>
      </c>
      <c r="AB266" s="38">
        <f>IF(D$13&gt;0,$C213*AB$242*24*'Input'!$F$58/D$13,0)</f>
        <v>0</v>
      </c>
      <c r="AC266" s="38">
        <f>IF(E$13&gt;0,$C213*AC$242*24*'Input'!$F$58/E$13,0)</f>
        <v>0</v>
      </c>
      <c r="AE266" s="38">
        <f>IF(C$13&gt;0,$C213*AE$242*24*'Input'!$F$58/C$13,0)</f>
        <v>0</v>
      </c>
      <c r="AF266" s="38">
        <f>IF(D$13&gt;0,$C213*AF$242*24*'Input'!$F$58/D$13,0)</f>
        <v>0</v>
      </c>
      <c r="AG266" s="38">
        <f>IF(E$13&gt;0,$C213*AG$242*24*'Input'!$F$58/E$13,0)</f>
        <v>0</v>
      </c>
      <c r="AI266" s="38">
        <f>IF(C$13&gt;0,$C213*AI$242*24*'Input'!$F$58/C$13,0)</f>
        <v>0</v>
      </c>
      <c r="AJ266" s="38">
        <f>IF(D$13&gt;0,$C213*AJ$242*24*'Input'!$F$58/D$13,0)</f>
        <v>0</v>
      </c>
      <c r="AK266" s="38">
        <f>IF(E$13&gt;0,$C213*AK$242*24*'Input'!$F$58/E$13,0)</f>
        <v>0</v>
      </c>
      <c r="AL266" s="17"/>
    </row>
    <row r="268" spans="1:38" ht="21" customHeight="1">
      <c r="A268" s="1" t="s">
        <v>631</v>
      </c>
    </row>
    <row r="269" spans="1:38">
      <c r="A269" s="2" t="s">
        <v>351</v>
      </c>
    </row>
    <row r="270" spans="1:38">
      <c r="A270" s="33" t="s">
        <v>632</v>
      </c>
    </row>
    <row r="271" spans="1:38">
      <c r="A271" s="2" t="s">
        <v>633</v>
      </c>
    </row>
    <row r="273" spans="1:38">
      <c r="B273" s="29" t="s">
        <v>142</v>
      </c>
      <c r="C273" s="15" t="s">
        <v>319</v>
      </c>
      <c r="D273" s="15" t="s">
        <v>320</v>
      </c>
      <c r="E273" s="15" t="s">
        <v>321</v>
      </c>
      <c r="F273" s="29" t="s">
        <v>143</v>
      </c>
      <c r="G273" s="15" t="s">
        <v>319</v>
      </c>
      <c r="H273" s="15" t="s">
        <v>320</v>
      </c>
      <c r="I273" s="15" t="s">
        <v>321</v>
      </c>
      <c r="J273" s="29" t="s">
        <v>144</v>
      </c>
      <c r="K273" s="15" t="s">
        <v>319</v>
      </c>
      <c r="L273" s="15" t="s">
        <v>320</v>
      </c>
      <c r="M273" s="15" t="s">
        <v>321</v>
      </c>
      <c r="N273" s="29" t="s">
        <v>145</v>
      </c>
      <c r="O273" s="15" t="s">
        <v>319</v>
      </c>
      <c r="P273" s="15" t="s">
        <v>320</v>
      </c>
      <c r="Q273" s="15" t="s">
        <v>321</v>
      </c>
      <c r="R273" s="29" t="s">
        <v>146</v>
      </c>
      <c r="S273" s="15" t="s">
        <v>319</v>
      </c>
      <c r="T273" s="15" t="s">
        <v>320</v>
      </c>
      <c r="U273" s="15" t="s">
        <v>321</v>
      </c>
      <c r="V273" s="29" t="s">
        <v>151</v>
      </c>
      <c r="W273" s="15" t="s">
        <v>319</v>
      </c>
      <c r="X273" s="15" t="s">
        <v>320</v>
      </c>
      <c r="Y273" s="15" t="s">
        <v>321</v>
      </c>
      <c r="Z273" s="29" t="s">
        <v>147</v>
      </c>
      <c r="AA273" s="15" t="s">
        <v>319</v>
      </c>
      <c r="AB273" s="15" t="s">
        <v>320</v>
      </c>
      <c r="AC273" s="15" t="s">
        <v>321</v>
      </c>
      <c r="AD273" s="29" t="s">
        <v>148</v>
      </c>
      <c r="AE273" s="15" t="s">
        <v>319</v>
      </c>
      <c r="AF273" s="15" t="s">
        <v>320</v>
      </c>
      <c r="AG273" s="15" t="s">
        <v>321</v>
      </c>
      <c r="AH273" s="29" t="s">
        <v>149</v>
      </c>
      <c r="AI273" s="15" t="s">
        <v>319</v>
      </c>
      <c r="AJ273" s="15" t="s">
        <v>320</v>
      </c>
      <c r="AK273" s="15" t="s">
        <v>321</v>
      </c>
    </row>
    <row r="274" spans="1:38">
      <c r="A274" s="4" t="s">
        <v>174</v>
      </c>
      <c r="C274" s="39">
        <f>C$253</f>
        <v>0</v>
      </c>
      <c r="D274" s="39">
        <f>D$253</f>
        <v>0</v>
      </c>
      <c r="E274" s="39">
        <f>E$253</f>
        <v>0</v>
      </c>
      <c r="G274" s="39">
        <f>G$253</f>
        <v>0</v>
      </c>
      <c r="H274" s="39">
        <f>H$253</f>
        <v>0</v>
      </c>
      <c r="I274" s="39">
        <f>I$253</f>
        <v>0</v>
      </c>
      <c r="K274" s="39">
        <f>K$253</f>
        <v>0</v>
      </c>
      <c r="L274" s="39">
        <f>L$253</f>
        <v>0</v>
      </c>
      <c r="M274" s="39">
        <f>M$253</f>
        <v>0</v>
      </c>
      <c r="O274" s="39">
        <f>O$253</f>
        <v>0</v>
      </c>
      <c r="P274" s="39">
        <f>P$253</f>
        <v>0</v>
      </c>
      <c r="Q274" s="39">
        <f>Q$253</f>
        <v>0</v>
      </c>
      <c r="S274" s="39">
        <f>S$253</f>
        <v>0</v>
      </c>
      <c r="T274" s="39">
        <f>T$253</f>
        <v>0</v>
      </c>
      <c r="U274" s="39">
        <f>U$253</f>
        <v>0</v>
      </c>
      <c r="W274" s="39">
        <f>W$253</f>
        <v>0</v>
      </c>
      <c r="X274" s="39">
        <f>X$253</f>
        <v>0</v>
      </c>
      <c r="Y274" s="39">
        <f>Y$253</f>
        <v>0</v>
      </c>
      <c r="AA274" s="39">
        <f>AA$253</f>
        <v>0</v>
      </c>
      <c r="AB274" s="39">
        <f>AB$253</f>
        <v>0</v>
      </c>
      <c r="AC274" s="39">
        <f>AC$253</f>
        <v>0</v>
      </c>
      <c r="AE274" s="39">
        <f>AE$253</f>
        <v>0</v>
      </c>
      <c r="AF274" s="39">
        <f>AF$253</f>
        <v>0</v>
      </c>
      <c r="AG274" s="39">
        <f>AG$253</f>
        <v>0</v>
      </c>
      <c r="AI274" s="39">
        <f>AI$253</f>
        <v>0</v>
      </c>
      <c r="AJ274" s="39">
        <f>AJ$253</f>
        <v>0</v>
      </c>
      <c r="AK274" s="39">
        <f>AK$253</f>
        <v>0</v>
      </c>
      <c r="AL274" s="17"/>
    </row>
    <row r="275" spans="1:38">
      <c r="A275" s="4" t="s">
        <v>176</v>
      </c>
      <c r="C275" s="39">
        <f>C$256</f>
        <v>0</v>
      </c>
      <c r="D275" s="39">
        <f>D$256</f>
        <v>0</v>
      </c>
      <c r="E275" s="39">
        <f>E$256</f>
        <v>0</v>
      </c>
      <c r="G275" s="39">
        <f>G$256</f>
        <v>0</v>
      </c>
      <c r="H275" s="39">
        <f>H$256</f>
        <v>0</v>
      </c>
      <c r="I275" s="39">
        <f>I$256</f>
        <v>0</v>
      </c>
      <c r="K275" s="39">
        <f>K$256</f>
        <v>0</v>
      </c>
      <c r="L275" s="39">
        <f>L$256</f>
        <v>0</v>
      </c>
      <c r="M275" s="39">
        <f>M$256</f>
        <v>0</v>
      </c>
      <c r="O275" s="39">
        <f>O$256</f>
        <v>0</v>
      </c>
      <c r="P275" s="39">
        <f>P$256</f>
        <v>0</v>
      </c>
      <c r="Q275" s="39">
        <f>Q$256</f>
        <v>0</v>
      </c>
      <c r="S275" s="39">
        <f>S$256</f>
        <v>0</v>
      </c>
      <c r="T275" s="39">
        <f>T$256</f>
        <v>0</v>
      </c>
      <c r="U275" s="39">
        <f>U$256</f>
        <v>0</v>
      </c>
      <c r="W275" s="39">
        <f>W$256</f>
        <v>0</v>
      </c>
      <c r="X275" s="39">
        <f>X$256</f>
        <v>0</v>
      </c>
      <c r="Y275" s="39">
        <f>Y$256</f>
        <v>0</v>
      </c>
      <c r="AA275" s="39">
        <f>AA$256</f>
        <v>0</v>
      </c>
      <c r="AB275" s="39">
        <f>AB$256</f>
        <v>0</v>
      </c>
      <c r="AC275" s="39">
        <f>AC$256</f>
        <v>0</v>
      </c>
      <c r="AE275" s="39">
        <f>AE$256</f>
        <v>0</v>
      </c>
      <c r="AF275" s="39">
        <f>AF$256</f>
        <v>0</v>
      </c>
      <c r="AG275" s="39">
        <f>AG$256</f>
        <v>0</v>
      </c>
      <c r="AI275" s="39">
        <f>AI$256</f>
        <v>0</v>
      </c>
      <c r="AJ275" s="39">
        <f>AJ$256</f>
        <v>0</v>
      </c>
      <c r="AK275" s="39">
        <f>AK$256</f>
        <v>0</v>
      </c>
      <c r="AL275" s="17"/>
    </row>
    <row r="277" spans="1:38" ht="21" customHeight="1">
      <c r="A277" s="1" t="s">
        <v>634</v>
      </c>
    </row>
    <row r="278" spans="1:38">
      <c r="A278" s="2" t="s">
        <v>351</v>
      </c>
    </row>
    <row r="279" spans="1:38">
      <c r="A279" s="33" t="s">
        <v>574</v>
      </c>
    </row>
    <row r="280" spans="1:38">
      <c r="A280" s="2" t="s">
        <v>633</v>
      </c>
    </row>
    <row r="282" spans="1:38">
      <c r="B282" s="15" t="s">
        <v>635</v>
      </c>
    </row>
    <row r="283" spans="1:38">
      <c r="A283" s="4" t="s">
        <v>174</v>
      </c>
      <c r="B283" s="21">
        <f>B$107</f>
        <v>0</v>
      </c>
      <c r="C283" s="17"/>
    </row>
    <row r="284" spans="1:38">
      <c r="A284" s="4" t="s">
        <v>176</v>
      </c>
      <c r="B284" s="21">
        <f>B$110</f>
        <v>0</v>
      </c>
      <c r="C284" s="17"/>
    </row>
    <row r="286" spans="1:38" ht="21" customHeight="1">
      <c r="A286" s="1" t="s">
        <v>636</v>
      </c>
    </row>
    <row r="287" spans="1:38">
      <c r="A287" s="2" t="s">
        <v>351</v>
      </c>
    </row>
    <row r="288" spans="1:38">
      <c r="A288" s="33" t="s">
        <v>637</v>
      </c>
    </row>
    <row r="289" spans="1:11">
      <c r="A289" s="2" t="s">
        <v>633</v>
      </c>
    </row>
    <row r="291" spans="1:11">
      <c r="B291" s="15" t="s">
        <v>319</v>
      </c>
      <c r="C291" s="15" t="s">
        <v>320</v>
      </c>
      <c r="D291" s="15" t="s">
        <v>321</v>
      </c>
    </row>
    <row r="292" spans="1:11">
      <c r="A292" s="4" t="s">
        <v>174</v>
      </c>
      <c r="B292" s="40">
        <f>B$40</f>
        <v>0</v>
      </c>
      <c r="C292" s="40">
        <f>C$40</f>
        <v>0</v>
      </c>
      <c r="D292" s="40">
        <f>D$40</f>
        <v>0</v>
      </c>
      <c r="E292" s="17"/>
    </row>
    <row r="293" spans="1:11">
      <c r="A293" s="4" t="s">
        <v>176</v>
      </c>
      <c r="B293" s="40">
        <f>B$43</f>
        <v>0</v>
      </c>
      <c r="C293" s="40">
        <f>C$43</f>
        <v>0</v>
      </c>
      <c r="D293" s="40">
        <f>D$43</f>
        <v>0</v>
      </c>
      <c r="E293" s="17"/>
    </row>
    <row r="295" spans="1:11" ht="21" customHeight="1">
      <c r="A295" s="1" t="s">
        <v>638</v>
      </c>
    </row>
    <row r="296" spans="1:11">
      <c r="A296" s="2" t="s">
        <v>351</v>
      </c>
    </row>
    <row r="297" spans="1:11">
      <c r="A297" s="33" t="s">
        <v>639</v>
      </c>
    </row>
    <row r="298" spans="1:11">
      <c r="A298" s="33" t="s">
        <v>640</v>
      </c>
    </row>
    <row r="299" spans="1:11">
      <c r="A299" s="2" t="s">
        <v>364</v>
      </c>
    </row>
    <row r="301" spans="1:11">
      <c r="B301" s="15" t="s">
        <v>142</v>
      </c>
      <c r="C301" s="15" t="s">
        <v>143</v>
      </c>
      <c r="D301" s="15" t="s">
        <v>144</v>
      </c>
      <c r="E301" s="15" t="s">
        <v>145</v>
      </c>
      <c r="F301" s="15" t="s">
        <v>146</v>
      </c>
      <c r="G301" s="15" t="s">
        <v>151</v>
      </c>
      <c r="H301" s="15" t="s">
        <v>147</v>
      </c>
      <c r="I301" s="15" t="s">
        <v>148</v>
      </c>
      <c r="J301" s="15" t="s">
        <v>149</v>
      </c>
    </row>
    <row r="302" spans="1:11">
      <c r="A302" s="4" t="s">
        <v>174</v>
      </c>
      <c r="B302" s="38">
        <f>SUMPRODUCT($C274:$E274,$B292:$D292)</f>
        <v>0</v>
      </c>
      <c r="C302" s="38">
        <f>SUMPRODUCT($G274:$I274,$B292:$D292)</f>
        <v>0</v>
      </c>
      <c r="D302" s="38">
        <f>SUMPRODUCT($K274:$M274,$B292:$D292)</f>
        <v>0</v>
      </c>
      <c r="E302" s="38">
        <f>SUMPRODUCT($O274:$Q274,$B292:$D292)</f>
        <v>0</v>
      </c>
      <c r="F302" s="38">
        <f>SUMPRODUCT($S274:$U274,$B292:$D292)</f>
        <v>0</v>
      </c>
      <c r="G302" s="38">
        <f>SUMPRODUCT($W274:$Y274,$B292:$D292)</f>
        <v>0</v>
      </c>
      <c r="H302" s="38">
        <f>SUMPRODUCT($AA274:$AC274,$B292:$D292)</f>
        <v>0</v>
      </c>
      <c r="I302" s="38">
        <f>SUMPRODUCT($AE274:$AG274,$B292:$D292)</f>
        <v>0</v>
      </c>
      <c r="J302" s="38">
        <f>SUMPRODUCT($AI274:$AK274,$B292:$D292)</f>
        <v>0</v>
      </c>
      <c r="K302" s="17"/>
    </row>
    <row r="303" spans="1:11">
      <c r="A303" s="4" t="s">
        <v>176</v>
      </c>
      <c r="B303" s="38">
        <f>SUMPRODUCT($C275:$E275,$B293:$D293)</f>
        <v>0</v>
      </c>
      <c r="C303" s="38">
        <f>SUMPRODUCT($G275:$I275,$B293:$D293)</f>
        <v>0</v>
      </c>
      <c r="D303" s="38">
        <f>SUMPRODUCT($K275:$M275,$B293:$D293)</f>
        <v>0</v>
      </c>
      <c r="E303" s="38">
        <f>SUMPRODUCT($O275:$Q275,$B293:$D293)</f>
        <v>0</v>
      </c>
      <c r="F303" s="38">
        <f>SUMPRODUCT($S275:$U275,$B293:$D293)</f>
        <v>0</v>
      </c>
      <c r="G303" s="38">
        <f>SUMPRODUCT($W275:$Y275,$B293:$D293)</f>
        <v>0</v>
      </c>
      <c r="H303" s="38">
        <f>SUMPRODUCT($AA275:$AC275,$B293:$D293)</f>
        <v>0</v>
      </c>
      <c r="I303" s="38">
        <f>SUMPRODUCT($AE275:$AG275,$B293:$D293)</f>
        <v>0</v>
      </c>
      <c r="J303" s="38">
        <f>SUMPRODUCT($AI275:$AK275,$B293:$D293)</f>
        <v>0</v>
      </c>
      <c r="K303" s="17"/>
    </row>
    <row r="305" spans="1:38" ht="21" customHeight="1">
      <c r="A305" s="1" t="s">
        <v>641</v>
      </c>
    </row>
    <row r="306" spans="1:38">
      <c r="A306" s="2" t="s">
        <v>351</v>
      </c>
    </row>
    <row r="307" spans="1:38">
      <c r="A307" s="33" t="s">
        <v>574</v>
      </c>
    </row>
    <row r="308" spans="1:38">
      <c r="A308" s="2" t="s">
        <v>633</v>
      </c>
    </row>
    <row r="310" spans="1:38">
      <c r="B310" s="15" t="s">
        <v>642</v>
      </c>
    </row>
    <row r="311" spans="1:38">
      <c r="A311" s="4" t="s">
        <v>175</v>
      </c>
      <c r="B311" s="21">
        <f>B$108</f>
        <v>0</v>
      </c>
      <c r="C311" s="17"/>
    </row>
    <row r="312" spans="1:38">
      <c r="A312" s="4" t="s">
        <v>177</v>
      </c>
      <c r="B312" s="21">
        <f>B$111</f>
        <v>0</v>
      </c>
      <c r="C312" s="17"/>
    </row>
    <row r="314" spans="1:38" ht="21" customHeight="1">
      <c r="A314" s="1" t="s">
        <v>643</v>
      </c>
    </row>
    <row r="315" spans="1:38">
      <c r="A315" s="2" t="s">
        <v>351</v>
      </c>
    </row>
    <row r="316" spans="1:38">
      <c r="A316" s="33" t="s">
        <v>632</v>
      </c>
    </row>
    <row r="317" spans="1:38">
      <c r="A317" s="2" t="s">
        <v>633</v>
      </c>
    </row>
    <row r="319" spans="1:38">
      <c r="B319" s="29" t="s">
        <v>142</v>
      </c>
      <c r="C319" s="15" t="s">
        <v>319</v>
      </c>
      <c r="D319" s="15" t="s">
        <v>320</v>
      </c>
      <c r="E319" s="15" t="s">
        <v>321</v>
      </c>
      <c r="F319" s="29" t="s">
        <v>143</v>
      </c>
      <c r="G319" s="15" t="s">
        <v>319</v>
      </c>
      <c r="H319" s="15" t="s">
        <v>320</v>
      </c>
      <c r="I319" s="15" t="s">
        <v>321</v>
      </c>
      <c r="J319" s="29" t="s">
        <v>144</v>
      </c>
      <c r="K319" s="15" t="s">
        <v>319</v>
      </c>
      <c r="L319" s="15" t="s">
        <v>320</v>
      </c>
      <c r="M319" s="15" t="s">
        <v>321</v>
      </c>
      <c r="N319" s="29" t="s">
        <v>145</v>
      </c>
      <c r="O319" s="15" t="s">
        <v>319</v>
      </c>
      <c r="P319" s="15" t="s">
        <v>320</v>
      </c>
      <c r="Q319" s="15" t="s">
        <v>321</v>
      </c>
      <c r="R319" s="29" t="s">
        <v>146</v>
      </c>
      <c r="S319" s="15" t="s">
        <v>319</v>
      </c>
      <c r="T319" s="15" t="s">
        <v>320</v>
      </c>
      <c r="U319" s="15" t="s">
        <v>321</v>
      </c>
      <c r="V319" s="29" t="s">
        <v>151</v>
      </c>
      <c r="W319" s="15" t="s">
        <v>319</v>
      </c>
      <c r="X319" s="15" t="s">
        <v>320</v>
      </c>
      <c r="Y319" s="15" t="s">
        <v>321</v>
      </c>
      <c r="Z319" s="29" t="s">
        <v>147</v>
      </c>
      <c r="AA319" s="15" t="s">
        <v>319</v>
      </c>
      <c r="AB319" s="15" t="s">
        <v>320</v>
      </c>
      <c r="AC319" s="15" t="s">
        <v>321</v>
      </c>
      <c r="AD319" s="29" t="s">
        <v>148</v>
      </c>
      <c r="AE319" s="15" t="s">
        <v>319</v>
      </c>
      <c r="AF319" s="15" t="s">
        <v>320</v>
      </c>
      <c r="AG319" s="15" t="s">
        <v>321</v>
      </c>
      <c r="AH319" s="29" t="s">
        <v>149</v>
      </c>
      <c r="AI319" s="15" t="s">
        <v>319</v>
      </c>
      <c r="AJ319" s="15" t="s">
        <v>320</v>
      </c>
      <c r="AK319" s="15" t="s">
        <v>321</v>
      </c>
    </row>
    <row r="320" spans="1:38">
      <c r="A320" s="4" t="s">
        <v>175</v>
      </c>
      <c r="C320" s="39">
        <f>C$254</f>
        <v>0</v>
      </c>
      <c r="D320" s="39">
        <f>D$254</f>
        <v>0</v>
      </c>
      <c r="E320" s="39">
        <f>E$254</f>
        <v>0</v>
      </c>
      <c r="G320" s="39">
        <f>G$254</f>
        <v>0</v>
      </c>
      <c r="H320" s="39">
        <f>H$254</f>
        <v>0</v>
      </c>
      <c r="I320" s="39">
        <f>I$254</f>
        <v>0</v>
      </c>
      <c r="K320" s="39">
        <f>K$254</f>
        <v>0</v>
      </c>
      <c r="L320" s="39">
        <f>L$254</f>
        <v>0</v>
      </c>
      <c r="M320" s="39">
        <f>M$254</f>
        <v>0</v>
      </c>
      <c r="O320" s="39">
        <f>O$254</f>
        <v>0</v>
      </c>
      <c r="P320" s="39">
        <f>P$254</f>
        <v>0</v>
      </c>
      <c r="Q320" s="39">
        <f>Q$254</f>
        <v>0</v>
      </c>
      <c r="S320" s="39">
        <f>S$254</f>
        <v>0</v>
      </c>
      <c r="T320" s="39">
        <f>T$254</f>
        <v>0</v>
      </c>
      <c r="U320" s="39">
        <f>U$254</f>
        <v>0</v>
      </c>
      <c r="W320" s="39">
        <f>W$254</f>
        <v>0</v>
      </c>
      <c r="X320" s="39">
        <f>X$254</f>
        <v>0</v>
      </c>
      <c r="Y320" s="39">
        <f>Y$254</f>
        <v>0</v>
      </c>
      <c r="AA320" s="39">
        <f>AA$254</f>
        <v>0</v>
      </c>
      <c r="AB320" s="39">
        <f>AB$254</f>
        <v>0</v>
      </c>
      <c r="AC320" s="39">
        <f>AC$254</f>
        <v>0</v>
      </c>
      <c r="AE320" s="39">
        <f>AE$254</f>
        <v>0</v>
      </c>
      <c r="AF320" s="39">
        <f>AF$254</f>
        <v>0</v>
      </c>
      <c r="AG320" s="39">
        <f>AG$254</f>
        <v>0</v>
      </c>
      <c r="AI320" s="39">
        <f>AI$254</f>
        <v>0</v>
      </c>
      <c r="AJ320" s="39">
        <f>AJ$254</f>
        <v>0</v>
      </c>
      <c r="AK320" s="39">
        <f>AK$254</f>
        <v>0</v>
      </c>
      <c r="AL320" s="17"/>
    </row>
    <row r="321" spans="1:38">
      <c r="A321" s="4" t="s">
        <v>177</v>
      </c>
      <c r="C321" s="39">
        <f>C$257</f>
        <v>0</v>
      </c>
      <c r="D321" s="39">
        <f>D$257</f>
        <v>0</v>
      </c>
      <c r="E321" s="39">
        <f>E$257</f>
        <v>0</v>
      </c>
      <c r="G321" s="39">
        <f>G$257</f>
        <v>0</v>
      </c>
      <c r="H321" s="39">
        <f>H$257</f>
        <v>0</v>
      </c>
      <c r="I321" s="39">
        <f>I$257</f>
        <v>0</v>
      </c>
      <c r="K321" s="39">
        <f>K$257</f>
        <v>0</v>
      </c>
      <c r="L321" s="39">
        <f>L$257</f>
        <v>0</v>
      </c>
      <c r="M321" s="39">
        <f>M$257</f>
        <v>0</v>
      </c>
      <c r="O321" s="39">
        <f>O$257</f>
        <v>0</v>
      </c>
      <c r="P321" s="39">
        <f>P$257</f>
        <v>0</v>
      </c>
      <c r="Q321" s="39">
        <f>Q$257</f>
        <v>0</v>
      </c>
      <c r="S321" s="39">
        <f>S$257</f>
        <v>0</v>
      </c>
      <c r="T321" s="39">
        <f>T$257</f>
        <v>0</v>
      </c>
      <c r="U321" s="39">
        <f>U$257</f>
        <v>0</v>
      </c>
      <c r="W321" s="39">
        <f>W$257</f>
        <v>0</v>
      </c>
      <c r="X321" s="39">
        <f>X$257</f>
        <v>0</v>
      </c>
      <c r="Y321" s="39">
        <f>Y$257</f>
        <v>0</v>
      </c>
      <c r="AA321" s="39">
        <f>AA$257</f>
        <v>0</v>
      </c>
      <c r="AB321" s="39">
        <f>AB$257</f>
        <v>0</v>
      </c>
      <c r="AC321" s="39">
        <f>AC$257</f>
        <v>0</v>
      </c>
      <c r="AE321" s="39">
        <f>AE$257</f>
        <v>0</v>
      </c>
      <c r="AF321" s="39">
        <f>AF$257</f>
        <v>0</v>
      </c>
      <c r="AG321" s="39">
        <f>AG$257</f>
        <v>0</v>
      </c>
      <c r="AI321" s="39">
        <f>AI$257</f>
        <v>0</v>
      </c>
      <c r="AJ321" s="39">
        <f>AJ$257</f>
        <v>0</v>
      </c>
      <c r="AK321" s="39">
        <f>AK$257</f>
        <v>0</v>
      </c>
      <c r="AL321" s="17"/>
    </row>
    <row r="323" spans="1:38" ht="21" customHeight="1">
      <c r="A323" s="1" t="s">
        <v>644</v>
      </c>
    </row>
    <row r="324" spans="1:38">
      <c r="A324" s="2" t="s">
        <v>351</v>
      </c>
    </row>
    <row r="325" spans="1:38">
      <c r="A325" s="33" t="s">
        <v>645</v>
      </c>
    </row>
    <row r="326" spans="1:38">
      <c r="A326" s="2" t="s">
        <v>633</v>
      </c>
    </row>
    <row r="328" spans="1:38">
      <c r="B328" s="15" t="s">
        <v>319</v>
      </c>
      <c r="C328" s="15" t="s">
        <v>320</v>
      </c>
      <c r="D328" s="15" t="s">
        <v>321</v>
      </c>
    </row>
    <row r="329" spans="1:38">
      <c r="A329" s="4" t="s">
        <v>175</v>
      </c>
      <c r="B329" s="40">
        <f>B$163</f>
        <v>0</v>
      </c>
      <c r="C329" s="40">
        <f>C$163</f>
        <v>0</v>
      </c>
      <c r="D329" s="40">
        <f>D$163</f>
        <v>0</v>
      </c>
      <c r="E329" s="17"/>
    </row>
    <row r="330" spans="1:38">
      <c r="A330" s="4" t="s">
        <v>177</v>
      </c>
      <c r="B330" s="40">
        <f>B$164</f>
        <v>0</v>
      </c>
      <c r="C330" s="40">
        <f>C$164</f>
        <v>0</v>
      </c>
      <c r="D330" s="40">
        <f>D$164</f>
        <v>0</v>
      </c>
      <c r="E330" s="17"/>
    </row>
    <row r="332" spans="1:38" ht="21" customHeight="1">
      <c r="A332" s="1" t="s">
        <v>646</v>
      </c>
    </row>
    <row r="333" spans="1:38">
      <c r="A333" s="2" t="s">
        <v>351</v>
      </c>
    </row>
    <row r="334" spans="1:38">
      <c r="A334" s="33" t="s">
        <v>647</v>
      </c>
    </row>
    <row r="335" spans="1:38">
      <c r="A335" s="33" t="s">
        <v>648</v>
      </c>
    </row>
    <row r="336" spans="1:38">
      <c r="A336" s="2" t="s">
        <v>364</v>
      </c>
    </row>
    <row r="338" spans="1:11">
      <c r="B338" s="15" t="s">
        <v>142</v>
      </c>
      <c r="C338" s="15" t="s">
        <v>143</v>
      </c>
      <c r="D338" s="15" t="s">
        <v>144</v>
      </c>
      <c r="E338" s="15" t="s">
        <v>145</v>
      </c>
      <c r="F338" s="15" t="s">
        <v>146</v>
      </c>
      <c r="G338" s="15" t="s">
        <v>151</v>
      </c>
      <c r="H338" s="15" t="s">
        <v>147</v>
      </c>
      <c r="I338" s="15" t="s">
        <v>148</v>
      </c>
      <c r="J338" s="15" t="s">
        <v>149</v>
      </c>
    </row>
    <row r="339" spans="1:11">
      <c r="A339" s="4" t="s">
        <v>175</v>
      </c>
      <c r="B339" s="38">
        <f>SUMPRODUCT($C320:$E320,$B329:$D329)</f>
        <v>0</v>
      </c>
      <c r="C339" s="38">
        <f>SUMPRODUCT($G320:$I320,$B329:$D329)</f>
        <v>0</v>
      </c>
      <c r="D339" s="38">
        <f>SUMPRODUCT($K320:$M320,$B329:$D329)</f>
        <v>0</v>
      </c>
      <c r="E339" s="38">
        <f>SUMPRODUCT($O320:$Q320,$B329:$D329)</f>
        <v>0</v>
      </c>
      <c r="F339" s="38">
        <f>SUMPRODUCT($S320:$U320,$B329:$D329)</f>
        <v>0</v>
      </c>
      <c r="G339" s="38">
        <f>SUMPRODUCT($W320:$Y320,$B329:$D329)</f>
        <v>0</v>
      </c>
      <c r="H339" s="38">
        <f>SUMPRODUCT($AA320:$AC320,$B329:$D329)</f>
        <v>0</v>
      </c>
      <c r="I339" s="38">
        <f>SUMPRODUCT($AE320:$AG320,$B329:$D329)</f>
        <v>0</v>
      </c>
      <c r="J339" s="38">
        <f>SUMPRODUCT($AI320:$AK320,$B329:$D329)</f>
        <v>0</v>
      </c>
      <c r="K339" s="17"/>
    </row>
    <row r="340" spans="1:11">
      <c r="A340" s="4" t="s">
        <v>177</v>
      </c>
      <c r="B340" s="38">
        <f>SUMPRODUCT($C321:$E321,$B330:$D330)</f>
        <v>0</v>
      </c>
      <c r="C340" s="38">
        <f>SUMPRODUCT($G321:$I321,$B330:$D330)</f>
        <v>0</v>
      </c>
      <c r="D340" s="38">
        <f>SUMPRODUCT($K321:$M321,$B330:$D330)</f>
        <v>0</v>
      </c>
      <c r="E340" s="38">
        <f>SUMPRODUCT($O321:$Q321,$B330:$D330)</f>
        <v>0</v>
      </c>
      <c r="F340" s="38">
        <f>SUMPRODUCT($S321:$U321,$B330:$D330)</f>
        <v>0</v>
      </c>
      <c r="G340" s="38">
        <f>SUMPRODUCT($W321:$Y321,$B330:$D330)</f>
        <v>0</v>
      </c>
      <c r="H340" s="38">
        <f>SUMPRODUCT($AA321:$AC321,$B330:$D330)</f>
        <v>0</v>
      </c>
      <c r="I340" s="38">
        <f>SUMPRODUCT($AE321:$AG321,$B330:$D330)</f>
        <v>0</v>
      </c>
      <c r="J340" s="38">
        <f>SUMPRODUCT($AI321:$AK321,$B330:$D330)</f>
        <v>0</v>
      </c>
      <c r="K340" s="17"/>
    </row>
    <row r="342" spans="1:11" ht="21" customHeight="1">
      <c r="A342" s="1" t="s">
        <v>649</v>
      </c>
    </row>
    <row r="343" spans="1:11">
      <c r="A343" s="2" t="s">
        <v>351</v>
      </c>
    </row>
    <row r="344" spans="1:11">
      <c r="A344" s="33" t="s">
        <v>574</v>
      </c>
    </row>
    <row r="345" spans="1:11">
      <c r="A345" s="2" t="s">
        <v>633</v>
      </c>
    </row>
    <row r="347" spans="1:11">
      <c r="B347" s="15" t="s">
        <v>650</v>
      </c>
    </row>
    <row r="348" spans="1:11">
      <c r="A348" s="4" t="s">
        <v>211</v>
      </c>
      <c r="B348" s="21">
        <f>B$109</f>
        <v>0</v>
      </c>
      <c r="C348" s="17"/>
    </row>
    <row r="349" spans="1:11">
      <c r="A349" s="4" t="s">
        <v>212</v>
      </c>
      <c r="B349" s="21">
        <f>B$112</f>
        <v>0</v>
      </c>
      <c r="C349" s="17"/>
    </row>
    <row r="351" spans="1:11" ht="21" customHeight="1">
      <c r="A351" s="1" t="s">
        <v>651</v>
      </c>
    </row>
    <row r="352" spans="1:11">
      <c r="A352" s="2" t="s">
        <v>351</v>
      </c>
    </row>
    <row r="353" spans="1:38">
      <c r="A353" s="33" t="s">
        <v>632</v>
      </c>
    </row>
    <row r="354" spans="1:38">
      <c r="A354" s="2" t="s">
        <v>633</v>
      </c>
    </row>
    <row r="356" spans="1:38">
      <c r="B356" s="29" t="s">
        <v>142</v>
      </c>
      <c r="C356" s="15" t="s">
        <v>319</v>
      </c>
      <c r="D356" s="15" t="s">
        <v>320</v>
      </c>
      <c r="E356" s="15" t="s">
        <v>321</v>
      </c>
      <c r="F356" s="29" t="s">
        <v>143</v>
      </c>
      <c r="G356" s="15" t="s">
        <v>319</v>
      </c>
      <c r="H356" s="15" t="s">
        <v>320</v>
      </c>
      <c r="I356" s="15" t="s">
        <v>321</v>
      </c>
      <c r="J356" s="29" t="s">
        <v>144</v>
      </c>
      <c r="K356" s="15" t="s">
        <v>319</v>
      </c>
      <c r="L356" s="15" t="s">
        <v>320</v>
      </c>
      <c r="M356" s="15" t="s">
        <v>321</v>
      </c>
      <c r="N356" s="29" t="s">
        <v>145</v>
      </c>
      <c r="O356" s="15" t="s">
        <v>319</v>
      </c>
      <c r="P356" s="15" t="s">
        <v>320</v>
      </c>
      <c r="Q356" s="15" t="s">
        <v>321</v>
      </c>
      <c r="R356" s="29" t="s">
        <v>146</v>
      </c>
      <c r="S356" s="15" t="s">
        <v>319</v>
      </c>
      <c r="T356" s="15" t="s">
        <v>320</v>
      </c>
      <c r="U356" s="15" t="s">
        <v>321</v>
      </c>
      <c r="V356" s="29" t="s">
        <v>151</v>
      </c>
      <c r="W356" s="15" t="s">
        <v>319</v>
      </c>
      <c r="X356" s="15" t="s">
        <v>320</v>
      </c>
      <c r="Y356" s="15" t="s">
        <v>321</v>
      </c>
      <c r="Z356" s="29" t="s">
        <v>147</v>
      </c>
      <c r="AA356" s="15" t="s">
        <v>319</v>
      </c>
      <c r="AB356" s="15" t="s">
        <v>320</v>
      </c>
      <c r="AC356" s="15" t="s">
        <v>321</v>
      </c>
      <c r="AD356" s="29" t="s">
        <v>148</v>
      </c>
      <c r="AE356" s="15" t="s">
        <v>319</v>
      </c>
      <c r="AF356" s="15" t="s">
        <v>320</v>
      </c>
      <c r="AG356" s="15" t="s">
        <v>321</v>
      </c>
      <c r="AH356" s="29" t="s">
        <v>149</v>
      </c>
      <c r="AI356" s="15" t="s">
        <v>319</v>
      </c>
      <c r="AJ356" s="15" t="s">
        <v>320</v>
      </c>
      <c r="AK356" s="15" t="s">
        <v>321</v>
      </c>
    </row>
    <row r="357" spans="1:38">
      <c r="A357" s="4" t="s">
        <v>211</v>
      </c>
      <c r="C357" s="39">
        <f>C$255</f>
        <v>0</v>
      </c>
      <c r="D357" s="39">
        <f>D$255</f>
        <v>0</v>
      </c>
      <c r="E357" s="39">
        <f>E$255</f>
        <v>0</v>
      </c>
      <c r="G357" s="39">
        <f>G$255</f>
        <v>0</v>
      </c>
      <c r="H357" s="39">
        <f>H$255</f>
        <v>0</v>
      </c>
      <c r="I357" s="39">
        <f>I$255</f>
        <v>0</v>
      </c>
      <c r="K357" s="39">
        <f>K$255</f>
        <v>0</v>
      </c>
      <c r="L357" s="39">
        <f>L$255</f>
        <v>0</v>
      </c>
      <c r="M357" s="39">
        <f>M$255</f>
        <v>0</v>
      </c>
      <c r="O357" s="39">
        <f>O$255</f>
        <v>0</v>
      </c>
      <c r="P357" s="39">
        <f>P$255</f>
        <v>0</v>
      </c>
      <c r="Q357" s="39">
        <f>Q$255</f>
        <v>0</v>
      </c>
      <c r="S357" s="39">
        <f>S$255</f>
        <v>0</v>
      </c>
      <c r="T357" s="39">
        <f>T$255</f>
        <v>0</v>
      </c>
      <c r="U357" s="39">
        <f>U$255</f>
        <v>0</v>
      </c>
      <c r="W357" s="39">
        <f>W$255</f>
        <v>0</v>
      </c>
      <c r="X357" s="39">
        <f>X$255</f>
        <v>0</v>
      </c>
      <c r="Y357" s="39">
        <f>Y$255</f>
        <v>0</v>
      </c>
      <c r="AA357" s="39">
        <f>AA$255</f>
        <v>0</v>
      </c>
      <c r="AB357" s="39">
        <f>AB$255</f>
        <v>0</v>
      </c>
      <c r="AC357" s="39">
        <f>AC$255</f>
        <v>0</v>
      </c>
      <c r="AE357" s="39">
        <f>AE$255</f>
        <v>0</v>
      </c>
      <c r="AF357" s="39">
        <f>AF$255</f>
        <v>0</v>
      </c>
      <c r="AG357" s="39">
        <f>AG$255</f>
        <v>0</v>
      </c>
      <c r="AI357" s="39">
        <f>AI$255</f>
        <v>0</v>
      </c>
      <c r="AJ357" s="39">
        <f>AJ$255</f>
        <v>0</v>
      </c>
      <c r="AK357" s="39">
        <f>AK$255</f>
        <v>0</v>
      </c>
      <c r="AL357" s="17"/>
    </row>
    <row r="358" spans="1:38">
      <c r="A358" s="4" t="s">
        <v>212</v>
      </c>
      <c r="C358" s="39">
        <f>C$258</f>
        <v>0</v>
      </c>
      <c r="D358" s="39">
        <f>D$258</f>
        <v>0</v>
      </c>
      <c r="E358" s="39">
        <f>E$258</f>
        <v>0</v>
      </c>
      <c r="G358" s="39">
        <f>G$258</f>
        <v>0</v>
      </c>
      <c r="H358" s="39">
        <f>H$258</f>
        <v>0</v>
      </c>
      <c r="I358" s="39">
        <f>I$258</f>
        <v>0</v>
      </c>
      <c r="K358" s="39">
        <f>K$258</f>
        <v>0</v>
      </c>
      <c r="L358" s="39">
        <f>L$258</f>
        <v>0</v>
      </c>
      <c r="M358" s="39">
        <f>M$258</f>
        <v>0</v>
      </c>
      <c r="O358" s="39">
        <f>O$258</f>
        <v>0</v>
      </c>
      <c r="P358" s="39">
        <f>P$258</f>
        <v>0</v>
      </c>
      <c r="Q358" s="39">
        <f>Q$258</f>
        <v>0</v>
      </c>
      <c r="S358" s="39">
        <f>S$258</f>
        <v>0</v>
      </c>
      <c r="T358" s="39">
        <f>T$258</f>
        <v>0</v>
      </c>
      <c r="U358" s="39">
        <f>U$258</f>
        <v>0</v>
      </c>
      <c r="W358" s="39">
        <f>W$258</f>
        <v>0</v>
      </c>
      <c r="X358" s="39">
        <f>X$258</f>
        <v>0</v>
      </c>
      <c r="Y358" s="39">
        <f>Y$258</f>
        <v>0</v>
      </c>
      <c r="AA358" s="39">
        <f>AA$258</f>
        <v>0</v>
      </c>
      <c r="AB358" s="39">
        <f>AB$258</f>
        <v>0</v>
      </c>
      <c r="AC358" s="39">
        <f>AC$258</f>
        <v>0</v>
      </c>
      <c r="AE358" s="39">
        <f>AE$258</f>
        <v>0</v>
      </c>
      <c r="AF358" s="39">
        <f>AF$258</f>
        <v>0</v>
      </c>
      <c r="AG358" s="39">
        <f>AG$258</f>
        <v>0</v>
      </c>
      <c r="AI358" s="39">
        <f>AI$258</f>
        <v>0</v>
      </c>
      <c r="AJ358" s="39">
        <f>AJ$258</f>
        <v>0</v>
      </c>
      <c r="AK358" s="39">
        <f>AK$258</f>
        <v>0</v>
      </c>
      <c r="AL358" s="17"/>
    </row>
    <row r="360" spans="1:38" ht="21" customHeight="1">
      <c r="A360" s="1" t="s">
        <v>652</v>
      </c>
    </row>
    <row r="361" spans="1:38">
      <c r="A361" s="2" t="s">
        <v>351</v>
      </c>
    </row>
    <row r="362" spans="1:38">
      <c r="A362" s="33" t="s">
        <v>637</v>
      </c>
    </row>
    <row r="363" spans="1:38">
      <c r="A363" s="2" t="s">
        <v>633</v>
      </c>
    </row>
    <row r="365" spans="1:38">
      <c r="B365" s="15" t="s">
        <v>319</v>
      </c>
      <c r="C365" s="15" t="s">
        <v>320</v>
      </c>
      <c r="D365" s="15" t="s">
        <v>321</v>
      </c>
    </row>
    <row r="366" spans="1:38">
      <c r="A366" s="4" t="s">
        <v>211</v>
      </c>
      <c r="B366" s="40">
        <f>B$42</f>
        <v>0</v>
      </c>
      <c r="C366" s="40">
        <f>C$42</f>
        <v>0</v>
      </c>
      <c r="D366" s="40">
        <f>D$42</f>
        <v>0</v>
      </c>
      <c r="E366" s="17"/>
    </row>
    <row r="367" spans="1:38">
      <c r="A367" s="4" t="s">
        <v>212</v>
      </c>
      <c r="B367" s="40">
        <f>B$45</f>
        <v>0</v>
      </c>
      <c r="C367" s="40">
        <f>C$45</f>
        <v>0</v>
      </c>
      <c r="D367" s="40">
        <f>D$45</f>
        <v>0</v>
      </c>
      <c r="E367" s="17"/>
    </row>
    <row r="369" spans="1:11" ht="21" customHeight="1">
      <c r="A369" s="1" t="s">
        <v>653</v>
      </c>
    </row>
    <row r="370" spans="1:11">
      <c r="A370" s="2" t="s">
        <v>351</v>
      </c>
    </row>
    <row r="371" spans="1:11">
      <c r="A371" s="33" t="s">
        <v>654</v>
      </c>
    </row>
    <row r="372" spans="1:11">
      <c r="A372" s="33" t="s">
        <v>655</v>
      </c>
    </row>
    <row r="373" spans="1:11">
      <c r="A373" s="2" t="s">
        <v>364</v>
      </c>
    </row>
    <row r="375" spans="1:11">
      <c r="B375" s="15" t="s">
        <v>142</v>
      </c>
      <c r="C375" s="15" t="s">
        <v>143</v>
      </c>
      <c r="D375" s="15" t="s">
        <v>144</v>
      </c>
      <c r="E375" s="15" t="s">
        <v>145</v>
      </c>
      <c r="F375" s="15" t="s">
        <v>146</v>
      </c>
      <c r="G375" s="15" t="s">
        <v>151</v>
      </c>
      <c r="H375" s="15" t="s">
        <v>147</v>
      </c>
      <c r="I375" s="15" t="s">
        <v>148</v>
      </c>
      <c r="J375" s="15" t="s">
        <v>149</v>
      </c>
    </row>
    <row r="376" spans="1:11">
      <c r="A376" s="4" t="s">
        <v>211</v>
      </c>
      <c r="B376" s="38">
        <f>SUMPRODUCT($C357:$E357,$B366:$D366)</f>
        <v>0</v>
      </c>
      <c r="C376" s="38">
        <f>SUMPRODUCT($G357:$I357,$B366:$D366)</f>
        <v>0</v>
      </c>
      <c r="D376" s="38">
        <f>SUMPRODUCT($K357:$M357,$B366:$D366)</f>
        <v>0</v>
      </c>
      <c r="E376" s="38">
        <f>SUMPRODUCT($O357:$Q357,$B366:$D366)</f>
        <v>0</v>
      </c>
      <c r="F376" s="38">
        <f>SUMPRODUCT($S357:$U357,$B366:$D366)</f>
        <v>0</v>
      </c>
      <c r="G376" s="38">
        <f>SUMPRODUCT($W357:$Y357,$B366:$D366)</f>
        <v>0</v>
      </c>
      <c r="H376" s="38">
        <f>SUMPRODUCT($AA357:$AC357,$B366:$D366)</f>
        <v>0</v>
      </c>
      <c r="I376" s="38">
        <f>SUMPRODUCT($AE357:$AG357,$B366:$D366)</f>
        <v>0</v>
      </c>
      <c r="J376" s="38">
        <f>SUMPRODUCT($AI357:$AK357,$B366:$D366)</f>
        <v>0</v>
      </c>
      <c r="K376" s="17"/>
    </row>
    <row r="377" spans="1:11">
      <c r="A377" s="4" t="s">
        <v>212</v>
      </c>
      <c r="B377" s="38">
        <f>SUMPRODUCT($C358:$E358,$B367:$D367)</f>
        <v>0</v>
      </c>
      <c r="C377" s="38">
        <f>SUMPRODUCT($G358:$I358,$B367:$D367)</f>
        <v>0</v>
      </c>
      <c r="D377" s="38">
        <f>SUMPRODUCT($K358:$M358,$B367:$D367)</f>
        <v>0</v>
      </c>
      <c r="E377" s="38">
        <f>SUMPRODUCT($O358:$Q358,$B367:$D367)</f>
        <v>0</v>
      </c>
      <c r="F377" s="38">
        <f>SUMPRODUCT($S358:$U358,$B367:$D367)</f>
        <v>0</v>
      </c>
      <c r="G377" s="38">
        <f>SUMPRODUCT($W358:$Y358,$B367:$D367)</f>
        <v>0</v>
      </c>
      <c r="H377" s="38">
        <f>SUMPRODUCT($AA358:$AC358,$B367:$D367)</f>
        <v>0</v>
      </c>
      <c r="I377" s="38">
        <f>SUMPRODUCT($AE358:$AG358,$B367:$D367)</f>
        <v>0</v>
      </c>
      <c r="J377" s="38">
        <f>SUMPRODUCT($AI358:$AK358,$B367:$D367)</f>
        <v>0</v>
      </c>
      <c r="K377" s="17"/>
    </row>
    <row r="379" spans="1:11" ht="21" customHeight="1">
      <c r="A379" s="1" t="s">
        <v>656</v>
      </c>
    </row>
    <row r="380" spans="1:11">
      <c r="A380" s="2" t="s">
        <v>351</v>
      </c>
    </row>
    <row r="381" spans="1:11">
      <c r="A381" s="33" t="s">
        <v>574</v>
      </c>
    </row>
    <row r="382" spans="1:11">
      <c r="A382" s="2" t="s">
        <v>633</v>
      </c>
    </row>
    <row r="384" spans="1:11">
      <c r="B384" s="15" t="s">
        <v>657</v>
      </c>
    </row>
    <row r="385" spans="1:38">
      <c r="A385" s="4" t="s">
        <v>178</v>
      </c>
      <c r="B385" s="21">
        <f>B$113</f>
        <v>0</v>
      </c>
      <c r="C385" s="17"/>
    </row>
    <row r="386" spans="1:38">
      <c r="A386" s="4" t="s">
        <v>179</v>
      </c>
      <c r="B386" s="21">
        <f>B$114</f>
        <v>0</v>
      </c>
      <c r="C386" s="17"/>
    </row>
    <row r="388" spans="1:38" ht="21" customHeight="1">
      <c r="A388" s="1" t="s">
        <v>658</v>
      </c>
    </row>
    <row r="389" spans="1:38">
      <c r="A389" s="2" t="s">
        <v>351</v>
      </c>
    </row>
    <row r="390" spans="1:38">
      <c r="A390" s="33" t="s">
        <v>632</v>
      </c>
    </row>
    <row r="391" spans="1:38">
      <c r="A391" s="2" t="s">
        <v>633</v>
      </c>
    </row>
    <row r="393" spans="1:38">
      <c r="B393" s="29" t="s">
        <v>142</v>
      </c>
      <c r="C393" s="15" t="s">
        <v>319</v>
      </c>
      <c r="D393" s="15" t="s">
        <v>320</v>
      </c>
      <c r="E393" s="15" t="s">
        <v>321</v>
      </c>
      <c r="F393" s="29" t="s">
        <v>143</v>
      </c>
      <c r="G393" s="15" t="s">
        <v>319</v>
      </c>
      <c r="H393" s="15" t="s">
        <v>320</v>
      </c>
      <c r="I393" s="15" t="s">
        <v>321</v>
      </c>
      <c r="J393" s="29" t="s">
        <v>144</v>
      </c>
      <c r="K393" s="15" t="s">
        <v>319</v>
      </c>
      <c r="L393" s="15" t="s">
        <v>320</v>
      </c>
      <c r="M393" s="15" t="s">
        <v>321</v>
      </c>
      <c r="N393" s="29" t="s">
        <v>145</v>
      </c>
      <c r="O393" s="15" t="s">
        <v>319</v>
      </c>
      <c r="P393" s="15" t="s">
        <v>320</v>
      </c>
      <c r="Q393" s="15" t="s">
        <v>321</v>
      </c>
      <c r="R393" s="29" t="s">
        <v>146</v>
      </c>
      <c r="S393" s="15" t="s">
        <v>319</v>
      </c>
      <c r="T393" s="15" t="s">
        <v>320</v>
      </c>
      <c r="U393" s="15" t="s">
        <v>321</v>
      </c>
      <c r="V393" s="29" t="s">
        <v>151</v>
      </c>
      <c r="W393" s="15" t="s">
        <v>319</v>
      </c>
      <c r="X393" s="15" t="s">
        <v>320</v>
      </c>
      <c r="Y393" s="15" t="s">
        <v>321</v>
      </c>
      <c r="Z393" s="29" t="s">
        <v>147</v>
      </c>
      <c r="AA393" s="15" t="s">
        <v>319</v>
      </c>
      <c r="AB393" s="15" t="s">
        <v>320</v>
      </c>
      <c r="AC393" s="15" t="s">
        <v>321</v>
      </c>
      <c r="AD393" s="29" t="s">
        <v>148</v>
      </c>
      <c r="AE393" s="15" t="s">
        <v>319</v>
      </c>
      <c r="AF393" s="15" t="s">
        <v>320</v>
      </c>
      <c r="AG393" s="15" t="s">
        <v>321</v>
      </c>
      <c r="AH393" s="29" t="s">
        <v>149</v>
      </c>
      <c r="AI393" s="15" t="s">
        <v>319</v>
      </c>
      <c r="AJ393" s="15" t="s">
        <v>320</v>
      </c>
      <c r="AK393" s="15" t="s">
        <v>321</v>
      </c>
    </row>
    <row r="394" spans="1:38">
      <c r="A394" s="4" t="s">
        <v>178</v>
      </c>
      <c r="C394" s="39">
        <f>C$259</f>
        <v>0</v>
      </c>
      <c r="D394" s="39">
        <f>D$259</f>
        <v>0</v>
      </c>
      <c r="E394" s="39">
        <f>E$259</f>
        <v>0</v>
      </c>
      <c r="G394" s="39">
        <f>G$259</f>
        <v>0</v>
      </c>
      <c r="H394" s="39">
        <f>H$259</f>
        <v>0</v>
      </c>
      <c r="I394" s="39">
        <f>I$259</f>
        <v>0</v>
      </c>
      <c r="K394" s="39">
        <f>K$259</f>
        <v>0</v>
      </c>
      <c r="L394" s="39">
        <f>L$259</f>
        <v>0</v>
      </c>
      <c r="M394" s="39">
        <f>M$259</f>
        <v>0</v>
      </c>
      <c r="O394" s="39">
        <f>O$259</f>
        <v>0</v>
      </c>
      <c r="P394" s="39">
        <f>P$259</f>
        <v>0</v>
      </c>
      <c r="Q394" s="39">
        <f>Q$259</f>
        <v>0</v>
      </c>
      <c r="S394" s="39">
        <f>S$259</f>
        <v>0</v>
      </c>
      <c r="T394" s="39">
        <f>T$259</f>
        <v>0</v>
      </c>
      <c r="U394" s="39">
        <f>U$259</f>
        <v>0</v>
      </c>
      <c r="W394" s="39">
        <f>W$259</f>
        <v>0</v>
      </c>
      <c r="X394" s="39">
        <f>X$259</f>
        <v>0</v>
      </c>
      <c r="Y394" s="39">
        <f>Y$259</f>
        <v>0</v>
      </c>
      <c r="AA394" s="39">
        <f>AA$259</f>
        <v>0</v>
      </c>
      <c r="AB394" s="39">
        <f>AB$259</f>
        <v>0</v>
      </c>
      <c r="AC394" s="39">
        <f>AC$259</f>
        <v>0</v>
      </c>
      <c r="AE394" s="39">
        <f>AE$259</f>
        <v>0</v>
      </c>
      <c r="AF394" s="39">
        <f>AF$259</f>
        <v>0</v>
      </c>
      <c r="AG394" s="39">
        <f>AG$259</f>
        <v>0</v>
      </c>
      <c r="AI394" s="39">
        <f>AI$259</f>
        <v>0</v>
      </c>
      <c r="AJ394" s="39">
        <f>AJ$259</f>
        <v>0</v>
      </c>
      <c r="AK394" s="39">
        <f>AK$259</f>
        <v>0</v>
      </c>
      <c r="AL394" s="17"/>
    </row>
    <row r="395" spans="1:38">
      <c r="A395" s="4" t="s">
        <v>179</v>
      </c>
      <c r="C395" s="39">
        <f>C$260</f>
        <v>0</v>
      </c>
      <c r="D395" s="39">
        <f>D$260</f>
        <v>0</v>
      </c>
      <c r="E395" s="39">
        <f>E$260</f>
        <v>0</v>
      </c>
      <c r="G395" s="39">
        <f>G$260</f>
        <v>0</v>
      </c>
      <c r="H395" s="39">
        <f>H$260</f>
        <v>0</v>
      </c>
      <c r="I395" s="39">
        <f>I$260</f>
        <v>0</v>
      </c>
      <c r="K395" s="39">
        <f>K$260</f>
        <v>0</v>
      </c>
      <c r="L395" s="39">
        <f>L$260</f>
        <v>0</v>
      </c>
      <c r="M395" s="39">
        <f>M$260</f>
        <v>0</v>
      </c>
      <c r="O395" s="39">
        <f>O$260</f>
        <v>0</v>
      </c>
      <c r="P395" s="39">
        <f>P$260</f>
        <v>0</v>
      </c>
      <c r="Q395" s="39">
        <f>Q$260</f>
        <v>0</v>
      </c>
      <c r="S395" s="39">
        <f>S$260</f>
        <v>0</v>
      </c>
      <c r="T395" s="39">
        <f>T$260</f>
        <v>0</v>
      </c>
      <c r="U395" s="39">
        <f>U$260</f>
        <v>0</v>
      </c>
      <c r="W395" s="39">
        <f>W$260</f>
        <v>0</v>
      </c>
      <c r="X395" s="39">
        <f>X$260</f>
        <v>0</v>
      </c>
      <c r="Y395" s="39">
        <f>Y$260</f>
        <v>0</v>
      </c>
      <c r="AA395" s="39">
        <f>AA$260</f>
        <v>0</v>
      </c>
      <c r="AB395" s="39">
        <f>AB$260</f>
        <v>0</v>
      </c>
      <c r="AC395" s="39">
        <f>AC$260</f>
        <v>0</v>
      </c>
      <c r="AE395" s="39">
        <f>AE$260</f>
        <v>0</v>
      </c>
      <c r="AF395" s="39">
        <f>AF$260</f>
        <v>0</v>
      </c>
      <c r="AG395" s="39">
        <f>AG$260</f>
        <v>0</v>
      </c>
      <c r="AI395" s="39">
        <f>AI$260</f>
        <v>0</v>
      </c>
      <c r="AJ395" s="39">
        <f>AJ$260</f>
        <v>0</v>
      </c>
      <c r="AK395" s="39">
        <f>AK$260</f>
        <v>0</v>
      </c>
      <c r="AL395" s="17"/>
    </row>
    <row r="397" spans="1:38" ht="21" customHeight="1">
      <c r="A397" s="1" t="s">
        <v>659</v>
      </c>
    </row>
    <row r="398" spans="1:38">
      <c r="A398" s="2" t="s">
        <v>351</v>
      </c>
    </row>
    <row r="399" spans="1:38">
      <c r="A399" s="33" t="s">
        <v>660</v>
      </c>
    </row>
    <row r="400" spans="1:38">
      <c r="A400" s="2" t="s">
        <v>633</v>
      </c>
    </row>
    <row r="402" spans="1:11">
      <c r="B402" s="15" t="s">
        <v>319</v>
      </c>
      <c r="C402" s="15" t="s">
        <v>320</v>
      </c>
      <c r="D402" s="15" t="s">
        <v>321</v>
      </c>
    </row>
    <row r="403" spans="1:11">
      <c r="A403" s="4" t="s">
        <v>178</v>
      </c>
      <c r="B403" s="40">
        <f>B$183</f>
        <v>0</v>
      </c>
      <c r="C403" s="40">
        <f>C$183</f>
        <v>0</v>
      </c>
      <c r="D403" s="40">
        <f>D$183</f>
        <v>0</v>
      </c>
      <c r="E403" s="17"/>
    </row>
    <row r="404" spans="1:11">
      <c r="A404" s="4" t="s">
        <v>179</v>
      </c>
      <c r="B404" s="40">
        <f>B$184</f>
        <v>0</v>
      </c>
      <c r="C404" s="40">
        <f>C$184</f>
        <v>0</v>
      </c>
      <c r="D404" s="40">
        <f>D$184</f>
        <v>0</v>
      </c>
      <c r="E404" s="17"/>
    </row>
    <row r="406" spans="1:11" ht="21" customHeight="1">
      <c r="A406" s="1" t="s">
        <v>661</v>
      </c>
    </row>
    <row r="407" spans="1:11">
      <c r="A407" s="2" t="s">
        <v>351</v>
      </c>
    </row>
    <row r="408" spans="1:11">
      <c r="A408" s="33" t="s">
        <v>662</v>
      </c>
    </row>
    <row r="409" spans="1:11">
      <c r="A409" s="33" t="s">
        <v>663</v>
      </c>
    </row>
    <row r="410" spans="1:11">
      <c r="A410" s="2" t="s">
        <v>364</v>
      </c>
    </row>
    <row r="412" spans="1:11">
      <c r="B412" s="15" t="s">
        <v>142</v>
      </c>
      <c r="C412" s="15" t="s">
        <v>143</v>
      </c>
      <c r="D412" s="15" t="s">
        <v>144</v>
      </c>
      <c r="E412" s="15" t="s">
        <v>145</v>
      </c>
      <c r="F412" s="15" t="s">
        <v>146</v>
      </c>
      <c r="G412" s="15" t="s">
        <v>151</v>
      </c>
      <c r="H412" s="15" t="s">
        <v>147</v>
      </c>
      <c r="I412" s="15" t="s">
        <v>148</v>
      </c>
      <c r="J412" s="15" t="s">
        <v>149</v>
      </c>
    </row>
    <row r="413" spans="1:11">
      <c r="A413" s="4" t="s">
        <v>178</v>
      </c>
      <c r="B413" s="38">
        <f>SUMPRODUCT($C394:$E394,$B403:$D403)</f>
        <v>0</v>
      </c>
      <c r="C413" s="38">
        <f>SUMPRODUCT($G394:$I394,$B403:$D403)</f>
        <v>0</v>
      </c>
      <c r="D413" s="38">
        <f>SUMPRODUCT($K394:$M394,$B403:$D403)</f>
        <v>0</v>
      </c>
      <c r="E413" s="38">
        <f>SUMPRODUCT($O394:$Q394,$B403:$D403)</f>
        <v>0</v>
      </c>
      <c r="F413" s="38">
        <f>SUMPRODUCT($S394:$U394,$B403:$D403)</f>
        <v>0</v>
      </c>
      <c r="G413" s="38">
        <f>SUMPRODUCT($W394:$Y394,$B403:$D403)</f>
        <v>0</v>
      </c>
      <c r="H413" s="38">
        <f>SUMPRODUCT($AA394:$AC394,$B403:$D403)</f>
        <v>0</v>
      </c>
      <c r="I413" s="38">
        <f>SUMPRODUCT($AE394:$AG394,$B403:$D403)</f>
        <v>0</v>
      </c>
      <c r="J413" s="38">
        <f>SUMPRODUCT($AI394:$AK394,$B403:$D403)</f>
        <v>0</v>
      </c>
      <c r="K413" s="17"/>
    </row>
    <row r="414" spans="1:11">
      <c r="A414" s="4" t="s">
        <v>179</v>
      </c>
      <c r="B414" s="38">
        <f>SUMPRODUCT($C395:$E395,$B404:$D404)</f>
        <v>0</v>
      </c>
      <c r="C414" s="38">
        <f>SUMPRODUCT($G395:$I395,$B404:$D404)</f>
        <v>0</v>
      </c>
      <c r="D414" s="38">
        <f>SUMPRODUCT($K395:$M395,$B404:$D404)</f>
        <v>0</v>
      </c>
      <c r="E414" s="38">
        <f>SUMPRODUCT($O395:$Q395,$B404:$D404)</f>
        <v>0</v>
      </c>
      <c r="F414" s="38">
        <f>SUMPRODUCT($S395:$U395,$B404:$D404)</f>
        <v>0</v>
      </c>
      <c r="G414" s="38">
        <f>SUMPRODUCT($W395:$Y395,$B404:$D404)</f>
        <v>0</v>
      </c>
      <c r="H414" s="38">
        <f>SUMPRODUCT($AA395:$AC395,$B404:$D404)</f>
        <v>0</v>
      </c>
      <c r="I414" s="38">
        <f>SUMPRODUCT($AE395:$AG395,$B404:$D404)</f>
        <v>0</v>
      </c>
      <c r="J414" s="38">
        <f>SUMPRODUCT($AI395:$AK395,$B404:$D404)</f>
        <v>0</v>
      </c>
      <c r="K414" s="17"/>
    </row>
    <row r="416" spans="1:11" ht="21" customHeight="1">
      <c r="A416" s="1" t="s">
        <v>664</v>
      </c>
    </row>
    <row r="417" spans="1:11">
      <c r="A417" s="2" t="s">
        <v>351</v>
      </c>
    </row>
    <row r="418" spans="1:11">
      <c r="A418" s="33" t="s">
        <v>665</v>
      </c>
    </row>
    <row r="419" spans="1:11">
      <c r="A419" s="33" t="s">
        <v>666</v>
      </c>
    </row>
    <row r="420" spans="1:11">
      <c r="A420" s="33" t="s">
        <v>667</v>
      </c>
    </row>
    <row r="421" spans="1:11">
      <c r="A421" s="33" t="s">
        <v>668</v>
      </c>
    </row>
    <row r="422" spans="1:11">
      <c r="A422" s="33" t="s">
        <v>669</v>
      </c>
    </row>
    <row r="423" spans="1:11">
      <c r="A423" s="33" t="s">
        <v>670</v>
      </c>
    </row>
    <row r="424" spans="1:11">
      <c r="A424" s="2" t="s">
        <v>671</v>
      </c>
    </row>
    <row r="426" spans="1:11">
      <c r="B426" s="15" t="s">
        <v>142</v>
      </c>
      <c r="C426" s="15" t="s">
        <v>143</v>
      </c>
      <c r="D426" s="15" t="s">
        <v>144</v>
      </c>
      <c r="E426" s="15" t="s">
        <v>145</v>
      </c>
      <c r="F426" s="15" t="s">
        <v>146</v>
      </c>
      <c r="G426" s="15" t="s">
        <v>151</v>
      </c>
      <c r="H426" s="15" t="s">
        <v>147</v>
      </c>
      <c r="I426" s="15" t="s">
        <v>148</v>
      </c>
      <c r="J426" s="15" t="s">
        <v>149</v>
      </c>
    </row>
    <row r="427" spans="1:11">
      <c r="A427" s="4" t="s">
        <v>672</v>
      </c>
      <c r="B427" s="38">
        <f>($B283*B302+$B311*B339+$B348*B376)/($B283+$B311+$B348)</f>
        <v>0</v>
      </c>
      <c r="C427" s="38">
        <f>($B283*C302+$B311*C339+$B348*C376)/($B283+$B311+$B348)</f>
        <v>0</v>
      </c>
      <c r="D427" s="38">
        <f>($B283*D302+$B311*D339+$B348*D376)/($B283+$B311+$B348)</f>
        <v>0</v>
      </c>
      <c r="E427" s="38">
        <f>($B283*E302+$B311*E339+$B348*E376)/($B283+$B311+$B348)</f>
        <v>0</v>
      </c>
      <c r="F427" s="38">
        <f>($B283*F302+$B311*F339+$B348*F376)/($B283+$B311+$B348)</f>
        <v>0</v>
      </c>
      <c r="G427" s="38">
        <f>($B283*G302+$B311*G339+$B348*G376)/($B283+$B311+$B348)</f>
        <v>0</v>
      </c>
      <c r="H427" s="38">
        <f>($B283*H302+$B311*H339+$B348*H376)/($B283+$B311+$B348)</f>
        <v>0</v>
      </c>
      <c r="I427" s="38">
        <f>($B283*I302+$B311*I339+$B348*I376)/($B283+$B311+$B348)</f>
        <v>0</v>
      </c>
      <c r="J427" s="38">
        <f>($B283*J302+$B311*J339+$B348*J376)/($B283+$B311+$B348)</f>
        <v>0</v>
      </c>
      <c r="K427" s="17"/>
    </row>
    <row r="428" spans="1:11">
      <c r="A428" s="4" t="s">
        <v>673</v>
      </c>
      <c r="B428" s="38">
        <f>($B284*B303+$B312*B340+$B349*B377)/($B284+$B312+$B349)</f>
        <v>0</v>
      </c>
      <c r="C428" s="38">
        <f>($B284*C303+$B312*C340+$B349*C377)/($B284+$B312+$B349)</f>
        <v>0</v>
      </c>
      <c r="D428" s="38">
        <f>($B284*D303+$B312*D340+$B349*D377)/($B284+$B312+$B349)</f>
        <v>0</v>
      </c>
      <c r="E428" s="38">
        <f>($B284*E303+$B312*E340+$B349*E377)/($B284+$B312+$B349)</f>
        <v>0</v>
      </c>
      <c r="F428" s="38">
        <f>($B284*F303+$B312*F340+$B349*F377)/($B284+$B312+$B349)</f>
        <v>0</v>
      </c>
      <c r="G428" s="38">
        <f>($B284*G303+$B312*G340+$B349*G377)/($B284+$B312+$B349)</f>
        <v>0</v>
      </c>
      <c r="H428" s="38">
        <f>($B284*H303+$B312*H340+$B349*H377)/($B284+$B312+$B349)</f>
        <v>0</v>
      </c>
      <c r="I428" s="38">
        <f>($B284*I303+$B312*I340+$B349*I377)/($B284+$B312+$B349)</f>
        <v>0</v>
      </c>
      <c r="J428" s="38">
        <f>($B284*J303+$B312*J340+$B349*J377)/($B284+$B312+$B349)</f>
        <v>0</v>
      </c>
      <c r="K428" s="17"/>
    </row>
    <row r="430" spans="1:11" ht="21" customHeight="1">
      <c r="A430" s="1" t="s">
        <v>674</v>
      </c>
    </row>
    <row r="431" spans="1:11">
      <c r="A431" s="2" t="s">
        <v>351</v>
      </c>
    </row>
    <row r="432" spans="1:11">
      <c r="A432" s="33" t="s">
        <v>665</v>
      </c>
    </row>
    <row r="433" spans="1:5">
      <c r="A433" s="33" t="s">
        <v>640</v>
      </c>
    </row>
    <row r="434" spans="1:5">
      <c r="A434" s="33" t="s">
        <v>667</v>
      </c>
    </row>
    <row r="435" spans="1:5">
      <c r="A435" s="33" t="s">
        <v>675</v>
      </c>
    </row>
    <row r="436" spans="1:5">
      <c r="A436" s="33" t="s">
        <v>669</v>
      </c>
    </row>
    <row r="437" spans="1:5">
      <c r="A437" s="33" t="s">
        <v>676</v>
      </c>
    </row>
    <row r="438" spans="1:5">
      <c r="A438" s="2" t="s">
        <v>671</v>
      </c>
    </row>
    <row r="440" spans="1:5">
      <c r="B440" s="15" t="s">
        <v>319</v>
      </c>
      <c r="C440" s="15" t="s">
        <v>320</v>
      </c>
      <c r="D440" s="15" t="s">
        <v>321</v>
      </c>
    </row>
    <row r="441" spans="1:5">
      <c r="A441" s="4" t="s">
        <v>178</v>
      </c>
      <c r="B441" s="40">
        <f>($B283*B292+$B311*B329+$B348*B366)/($B283+$B311+$B348)</f>
        <v>0</v>
      </c>
      <c r="C441" s="40">
        <f>($B283*C292+$B311*C329+$B348*C366)/($B283+$B311+$B348)</f>
        <v>0</v>
      </c>
      <c r="D441" s="40">
        <f>($B283*D292+$B311*D329+$B348*D366)/($B283+$B311+$B348)</f>
        <v>0</v>
      </c>
      <c r="E441" s="17"/>
    </row>
    <row r="442" spans="1:5">
      <c r="A442" s="4" t="s">
        <v>179</v>
      </c>
      <c r="B442" s="40">
        <f>($B284*B293+$B312*B330+$B349*B367)/($B284+$B312+$B349)</f>
        <v>0</v>
      </c>
      <c r="C442" s="40">
        <f>($B284*C293+$B312*C330+$B349*C367)/($B284+$B312+$B349)</f>
        <v>0</v>
      </c>
      <c r="D442" s="40">
        <f>($B284*D293+$B312*D330+$B349*D367)/($B284+$B312+$B349)</f>
        <v>0</v>
      </c>
      <c r="E442" s="17"/>
    </row>
    <row r="444" spans="1:5" ht="21" customHeight="1">
      <c r="A444" s="1" t="s">
        <v>677</v>
      </c>
    </row>
    <row r="445" spans="1:5">
      <c r="A445" s="2" t="s">
        <v>351</v>
      </c>
    </row>
    <row r="446" spans="1:5">
      <c r="A446" s="33" t="s">
        <v>662</v>
      </c>
    </row>
    <row r="447" spans="1:5">
      <c r="A447" s="33" t="s">
        <v>678</v>
      </c>
    </row>
    <row r="448" spans="1:5">
      <c r="A448" s="2" t="s">
        <v>364</v>
      </c>
    </row>
    <row r="450" spans="1:11">
      <c r="B450" s="15" t="s">
        <v>142</v>
      </c>
      <c r="C450" s="15" t="s">
        <v>143</v>
      </c>
      <c r="D450" s="15" t="s">
        <v>144</v>
      </c>
      <c r="E450" s="15" t="s">
        <v>145</v>
      </c>
      <c r="F450" s="15" t="s">
        <v>146</v>
      </c>
      <c r="G450" s="15" t="s">
        <v>151</v>
      </c>
      <c r="H450" s="15" t="s">
        <v>147</v>
      </c>
      <c r="I450" s="15" t="s">
        <v>148</v>
      </c>
      <c r="J450" s="15" t="s">
        <v>149</v>
      </c>
    </row>
    <row r="451" spans="1:11">
      <c r="A451" s="4" t="s">
        <v>178</v>
      </c>
      <c r="B451" s="38">
        <f>SUMPRODUCT($C394:$E394,$B441:$D441)</f>
        <v>0</v>
      </c>
      <c r="C451" s="38">
        <f>SUMPRODUCT($G394:$I394,$B441:$D441)</f>
        <v>0</v>
      </c>
      <c r="D451" s="38">
        <f>SUMPRODUCT($K394:$M394,$B441:$D441)</f>
        <v>0</v>
      </c>
      <c r="E451" s="38">
        <f>SUMPRODUCT($O394:$Q394,$B441:$D441)</f>
        <v>0</v>
      </c>
      <c r="F451" s="38">
        <f>SUMPRODUCT($S394:$U394,$B441:$D441)</f>
        <v>0</v>
      </c>
      <c r="G451" s="38">
        <f>SUMPRODUCT($W394:$Y394,$B441:$D441)</f>
        <v>0</v>
      </c>
      <c r="H451" s="38">
        <f>SUMPRODUCT($AA394:$AC394,$B441:$D441)</f>
        <v>0</v>
      </c>
      <c r="I451" s="38">
        <f>SUMPRODUCT($AE394:$AG394,$B441:$D441)</f>
        <v>0</v>
      </c>
      <c r="J451" s="38">
        <f>SUMPRODUCT($AI394:$AK394,$B441:$D441)</f>
        <v>0</v>
      </c>
      <c r="K451" s="17"/>
    </row>
    <row r="452" spans="1:11">
      <c r="A452" s="4" t="s">
        <v>179</v>
      </c>
      <c r="B452" s="38">
        <f>SUMPRODUCT($C395:$E395,$B442:$D442)</f>
        <v>0</v>
      </c>
      <c r="C452" s="38">
        <f>SUMPRODUCT($G395:$I395,$B442:$D442)</f>
        <v>0</v>
      </c>
      <c r="D452" s="38">
        <f>SUMPRODUCT($K395:$M395,$B442:$D442)</f>
        <v>0</v>
      </c>
      <c r="E452" s="38">
        <f>SUMPRODUCT($O395:$Q395,$B442:$D442)</f>
        <v>0</v>
      </c>
      <c r="F452" s="38">
        <f>SUMPRODUCT($S395:$U395,$B442:$D442)</f>
        <v>0</v>
      </c>
      <c r="G452" s="38">
        <f>SUMPRODUCT($W395:$Y395,$B442:$D442)</f>
        <v>0</v>
      </c>
      <c r="H452" s="38">
        <f>SUMPRODUCT($AA395:$AC395,$B442:$D442)</f>
        <v>0</v>
      </c>
      <c r="I452" s="38">
        <f>SUMPRODUCT($AE395:$AG395,$B442:$D442)</f>
        <v>0</v>
      </c>
      <c r="J452" s="38">
        <f>SUMPRODUCT($AI395:$AK395,$B442:$D442)</f>
        <v>0</v>
      </c>
      <c r="K452" s="17"/>
    </row>
    <row r="454" spans="1:11" ht="21" customHeight="1">
      <c r="A454" s="1" t="s">
        <v>679</v>
      </c>
    </row>
    <row r="455" spans="1:11">
      <c r="A455" s="2" t="s">
        <v>351</v>
      </c>
    </row>
    <row r="456" spans="1:11">
      <c r="A456" s="33" t="s">
        <v>680</v>
      </c>
    </row>
    <row r="457" spans="1:11">
      <c r="A457" s="33" t="s">
        <v>681</v>
      </c>
    </row>
    <row r="458" spans="1:11">
      <c r="A458" s="2" t="s">
        <v>431</v>
      </c>
    </row>
    <row r="460" spans="1:11">
      <c r="B460" s="15" t="s">
        <v>142</v>
      </c>
      <c r="C460" s="15" t="s">
        <v>143</v>
      </c>
      <c r="D460" s="15" t="s">
        <v>144</v>
      </c>
      <c r="E460" s="15" t="s">
        <v>145</v>
      </c>
      <c r="F460" s="15" t="s">
        <v>146</v>
      </c>
      <c r="G460" s="15" t="s">
        <v>151</v>
      </c>
      <c r="H460" s="15" t="s">
        <v>147</v>
      </c>
      <c r="I460" s="15" t="s">
        <v>148</v>
      </c>
      <c r="J460" s="15" t="s">
        <v>149</v>
      </c>
    </row>
    <row r="461" spans="1:11">
      <c r="A461" s="4" t="s">
        <v>672</v>
      </c>
      <c r="B461" s="38">
        <f>B427/B451</f>
        <v>0</v>
      </c>
      <c r="C461" s="38">
        <f>C427/C451</f>
        <v>0</v>
      </c>
      <c r="D461" s="38">
        <f>D427/D451</f>
        <v>0</v>
      </c>
      <c r="E461" s="38">
        <f>E427/E451</f>
        <v>0</v>
      </c>
      <c r="F461" s="38">
        <f>F427/F451</f>
        <v>0</v>
      </c>
      <c r="G461" s="38">
        <f>G427/G451</f>
        <v>0</v>
      </c>
      <c r="H461" s="38">
        <f>H427/H451</f>
        <v>0</v>
      </c>
      <c r="I461" s="38">
        <f>I427/I451</f>
        <v>0</v>
      </c>
      <c r="J461" s="38">
        <f>J427/J451</f>
        <v>0</v>
      </c>
      <c r="K461" s="17"/>
    </row>
    <row r="462" spans="1:11">
      <c r="A462" s="4" t="s">
        <v>673</v>
      </c>
      <c r="B462" s="38">
        <f>B428/B452</f>
        <v>0</v>
      </c>
      <c r="C462" s="38">
        <f>C428/C452</f>
        <v>0</v>
      </c>
      <c r="D462" s="38">
        <f>D428/D452</f>
        <v>0</v>
      </c>
      <c r="E462" s="38">
        <f>E428/E452</f>
        <v>0</v>
      </c>
      <c r="F462" s="38">
        <f>F428/F452</f>
        <v>0</v>
      </c>
      <c r="G462" s="38">
        <f>G428/G452</f>
        <v>0</v>
      </c>
      <c r="H462" s="38">
        <f>H428/H452</f>
        <v>0</v>
      </c>
      <c r="I462" s="38">
        <f>I428/I452</f>
        <v>0</v>
      </c>
      <c r="J462" s="38">
        <f>J428/J452</f>
        <v>0</v>
      </c>
      <c r="K462" s="17"/>
    </row>
    <row r="464" spans="1:11" ht="21" customHeight="1">
      <c r="A464" s="1" t="s">
        <v>682</v>
      </c>
    </row>
    <row r="465" spans="1:11">
      <c r="A465" s="2" t="s">
        <v>351</v>
      </c>
    </row>
    <row r="466" spans="1:11">
      <c r="A466" s="33" t="s">
        <v>665</v>
      </c>
    </row>
    <row r="467" spans="1:11">
      <c r="A467" s="33" t="s">
        <v>666</v>
      </c>
    </row>
    <row r="468" spans="1:11">
      <c r="A468" s="33" t="s">
        <v>667</v>
      </c>
    </row>
    <row r="469" spans="1:11">
      <c r="A469" s="33" t="s">
        <v>668</v>
      </c>
    </row>
    <row r="470" spans="1:11">
      <c r="A470" s="33" t="s">
        <v>669</v>
      </c>
    </row>
    <row r="471" spans="1:11">
      <c r="A471" s="33" t="s">
        <v>670</v>
      </c>
    </row>
    <row r="472" spans="1:11">
      <c r="A472" s="33" t="s">
        <v>683</v>
      </c>
    </row>
    <row r="473" spans="1:11">
      <c r="A473" s="33" t="s">
        <v>684</v>
      </c>
    </row>
    <row r="474" spans="1:11">
      <c r="A474" s="33" t="s">
        <v>685</v>
      </c>
    </row>
    <row r="475" spans="1:11">
      <c r="A475" s="2" t="s">
        <v>686</v>
      </c>
    </row>
    <row r="477" spans="1:11">
      <c r="B477" s="15" t="s">
        <v>142</v>
      </c>
      <c r="C477" s="15" t="s">
        <v>143</v>
      </c>
      <c r="D477" s="15" t="s">
        <v>144</v>
      </c>
      <c r="E477" s="15" t="s">
        <v>145</v>
      </c>
      <c r="F477" s="15" t="s">
        <v>146</v>
      </c>
      <c r="G477" s="15" t="s">
        <v>151</v>
      </c>
      <c r="H477" s="15" t="s">
        <v>147</v>
      </c>
      <c r="I477" s="15" t="s">
        <v>148</v>
      </c>
      <c r="J477" s="15" t="s">
        <v>149</v>
      </c>
    </row>
    <row r="478" spans="1:11">
      <c r="A478" s="4" t="s">
        <v>672</v>
      </c>
      <c r="B478" s="38">
        <f>($B283*B302+$B311*B339+$B348*B376+$B385*B413)/($B283*B302+$B311*B339+$B348*B376+$B385*B413*B461)</f>
        <v>0</v>
      </c>
      <c r="C478" s="38">
        <f>($B283*C302+$B311*C339+$B348*C376+$B385*C413)/($B283*C302+$B311*C339+$B348*C376+$B385*C413*C461)</f>
        <v>0</v>
      </c>
      <c r="D478" s="38">
        <f>($B283*D302+$B311*D339+$B348*D376+$B385*D413)/($B283*D302+$B311*D339+$B348*D376+$B385*D413*D461)</f>
        <v>0</v>
      </c>
      <c r="E478" s="38">
        <f>($B283*E302+$B311*E339+$B348*E376+$B385*E413)/($B283*E302+$B311*E339+$B348*E376+$B385*E413*E461)</f>
        <v>0</v>
      </c>
      <c r="F478" s="38">
        <f>($B283*F302+$B311*F339+$B348*F376+$B385*F413)/($B283*F302+$B311*F339+$B348*F376+$B385*F413*F461)</f>
        <v>0</v>
      </c>
      <c r="G478" s="38">
        <f>($B283*G302+$B311*G339+$B348*G376+$B385*G413)/($B283*G302+$B311*G339+$B348*G376+$B385*G413*G461)</f>
        <v>0</v>
      </c>
      <c r="H478" s="38">
        <f>($B283*H302+$B311*H339+$B348*H376+$B385*H413)/($B283*H302+$B311*H339+$B348*H376+$B385*H413*H461)</f>
        <v>0</v>
      </c>
      <c r="I478" s="38">
        <f>($B283*I302+$B311*I339+$B348*I376+$B385*I413)/($B283*I302+$B311*I339+$B348*I376+$B385*I413*I461)</f>
        <v>0</v>
      </c>
      <c r="J478" s="38">
        <f>($B283*J302+$B311*J339+$B348*J376+$B385*J413)/($B283*J302+$B311*J339+$B348*J376+$B385*J413*J461)</f>
        <v>0</v>
      </c>
      <c r="K478" s="17"/>
    </row>
    <row r="479" spans="1:11">
      <c r="A479" s="4" t="s">
        <v>673</v>
      </c>
      <c r="B479" s="38">
        <f>($B284*B303+$B312*B340+$B349*B377+$B386*B414)/($B284*B303+$B312*B340+$B349*B377+$B386*B414*B462)</f>
        <v>0</v>
      </c>
      <c r="C479" s="38">
        <f>($B284*C303+$B312*C340+$B349*C377+$B386*C414)/($B284*C303+$B312*C340+$B349*C377+$B386*C414*C462)</f>
        <v>0</v>
      </c>
      <c r="D479" s="38">
        <f>($B284*D303+$B312*D340+$B349*D377+$B386*D414)/($B284*D303+$B312*D340+$B349*D377+$B386*D414*D462)</f>
        <v>0</v>
      </c>
      <c r="E479" s="38">
        <f>($B284*E303+$B312*E340+$B349*E377+$B386*E414)/($B284*E303+$B312*E340+$B349*E377+$B386*E414*E462)</f>
        <v>0</v>
      </c>
      <c r="F479" s="38">
        <f>($B284*F303+$B312*F340+$B349*F377+$B386*F414)/($B284*F303+$B312*F340+$B349*F377+$B386*F414*F462)</f>
        <v>0</v>
      </c>
      <c r="G479" s="38">
        <f>($B284*G303+$B312*G340+$B349*G377+$B386*G414)/($B284*G303+$B312*G340+$B349*G377+$B386*G414*G462)</f>
        <v>0</v>
      </c>
      <c r="H479" s="38">
        <f>($B284*H303+$B312*H340+$B349*H377+$B386*H414)/($B284*H303+$B312*H340+$B349*H377+$B386*H414*H462)</f>
        <v>0</v>
      </c>
      <c r="I479" s="38">
        <f>($B284*I303+$B312*I340+$B349*I377+$B386*I414)/($B284*I303+$B312*I340+$B349*I377+$B386*I414*I462)</f>
        <v>0</v>
      </c>
      <c r="J479" s="38">
        <f>($B284*J303+$B312*J340+$B349*J377+$B386*J414)/($B284*J303+$B312*J340+$B349*J377+$B386*J414*J462)</f>
        <v>0</v>
      </c>
      <c r="K479" s="17"/>
    </row>
    <row r="481" spans="1:38" ht="21" customHeight="1">
      <c r="A481" s="1" t="s">
        <v>687</v>
      </c>
    </row>
    <row r="482" spans="1:38">
      <c r="A482" s="2" t="s">
        <v>351</v>
      </c>
    </row>
    <row r="483" spans="1:38">
      <c r="A483" s="33" t="s">
        <v>639</v>
      </c>
    </row>
    <row r="484" spans="1:38">
      <c r="A484" s="33" t="s">
        <v>688</v>
      </c>
    </row>
    <row r="485" spans="1:38">
      <c r="A485" s="2" t="s">
        <v>689</v>
      </c>
    </row>
    <row r="487" spans="1:38">
      <c r="B487" s="29" t="s">
        <v>142</v>
      </c>
      <c r="C487" s="15" t="s">
        <v>319</v>
      </c>
      <c r="D487" s="15" t="s">
        <v>320</v>
      </c>
      <c r="E487" s="15" t="s">
        <v>321</v>
      </c>
      <c r="F487" s="29" t="s">
        <v>143</v>
      </c>
      <c r="G487" s="15" t="s">
        <v>319</v>
      </c>
      <c r="H487" s="15" t="s">
        <v>320</v>
      </c>
      <c r="I487" s="15" t="s">
        <v>321</v>
      </c>
      <c r="J487" s="29" t="s">
        <v>144</v>
      </c>
      <c r="K487" s="15" t="s">
        <v>319</v>
      </c>
      <c r="L487" s="15" t="s">
        <v>320</v>
      </c>
      <c r="M487" s="15" t="s">
        <v>321</v>
      </c>
      <c r="N487" s="29" t="s">
        <v>145</v>
      </c>
      <c r="O487" s="15" t="s">
        <v>319</v>
      </c>
      <c r="P487" s="15" t="s">
        <v>320</v>
      </c>
      <c r="Q487" s="15" t="s">
        <v>321</v>
      </c>
      <c r="R487" s="29" t="s">
        <v>146</v>
      </c>
      <c r="S487" s="15" t="s">
        <v>319</v>
      </c>
      <c r="T487" s="15" t="s">
        <v>320</v>
      </c>
      <c r="U487" s="15" t="s">
        <v>321</v>
      </c>
      <c r="V487" s="29" t="s">
        <v>151</v>
      </c>
      <c r="W487" s="15" t="s">
        <v>319</v>
      </c>
      <c r="X487" s="15" t="s">
        <v>320</v>
      </c>
      <c r="Y487" s="15" t="s">
        <v>321</v>
      </c>
      <c r="Z487" s="29" t="s">
        <v>147</v>
      </c>
      <c r="AA487" s="15" t="s">
        <v>319</v>
      </c>
      <c r="AB487" s="15" t="s">
        <v>320</v>
      </c>
      <c r="AC487" s="15" t="s">
        <v>321</v>
      </c>
      <c r="AD487" s="29" t="s">
        <v>148</v>
      </c>
      <c r="AE487" s="15" t="s">
        <v>319</v>
      </c>
      <c r="AF487" s="15" t="s">
        <v>320</v>
      </c>
      <c r="AG487" s="15" t="s">
        <v>321</v>
      </c>
      <c r="AH487" s="29" t="s">
        <v>149</v>
      </c>
      <c r="AI487" s="15" t="s">
        <v>319</v>
      </c>
      <c r="AJ487" s="15" t="s">
        <v>320</v>
      </c>
      <c r="AK487" s="15" t="s">
        <v>321</v>
      </c>
    </row>
    <row r="488" spans="1:38">
      <c r="A488" s="4" t="s">
        <v>174</v>
      </c>
      <c r="C488" s="38">
        <f>C274*$B478</f>
        <v>0</v>
      </c>
      <c r="D488" s="38">
        <f>D274*$B478</f>
        <v>0</v>
      </c>
      <c r="E488" s="38">
        <f>E274*$B478</f>
        <v>0</v>
      </c>
      <c r="G488" s="38">
        <f>G274*$C478</f>
        <v>0</v>
      </c>
      <c r="H488" s="38">
        <f>H274*$C478</f>
        <v>0</v>
      </c>
      <c r="I488" s="38">
        <f>I274*$C478</f>
        <v>0</v>
      </c>
      <c r="K488" s="38">
        <f>K274*$D478</f>
        <v>0</v>
      </c>
      <c r="L488" s="38">
        <f>L274*$D478</f>
        <v>0</v>
      </c>
      <c r="M488" s="38">
        <f>M274*$D478</f>
        <v>0</v>
      </c>
      <c r="O488" s="38">
        <f>O274*$E478</f>
        <v>0</v>
      </c>
      <c r="P488" s="38">
        <f>P274*$E478</f>
        <v>0</v>
      </c>
      <c r="Q488" s="38">
        <f>Q274*$E478</f>
        <v>0</v>
      </c>
      <c r="S488" s="38">
        <f>S274*$F478</f>
        <v>0</v>
      </c>
      <c r="T488" s="38">
        <f>T274*$F478</f>
        <v>0</v>
      </c>
      <c r="U488" s="38">
        <f>U274*$F478</f>
        <v>0</v>
      </c>
      <c r="W488" s="38">
        <f>W274*$G478</f>
        <v>0</v>
      </c>
      <c r="X488" s="38">
        <f>X274*$G478</f>
        <v>0</v>
      </c>
      <c r="Y488" s="38">
        <f>Y274*$G478</f>
        <v>0</v>
      </c>
      <c r="AA488" s="38">
        <f>AA274*$H478</f>
        <v>0</v>
      </c>
      <c r="AB488" s="38">
        <f>AB274*$H478</f>
        <v>0</v>
      </c>
      <c r="AC488" s="38">
        <f>AC274*$H478</f>
        <v>0</v>
      </c>
      <c r="AE488" s="38">
        <f>AE274*$I478</f>
        <v>0</v>
      </c>
      <c r="AF488" s="38">
        <f>AF274*$I478</f>
        <v>0</v>
      </c>
      <c r="AG488" s="38">
        <f>AG274*$I478</f>
        <v>0</v>
      </c>
      <c r="AI488" s="38">
        <f>AI274*$J478</f>
        <v>0</v>
      </c>
      <c r="AJ488" s="38">
        <f>AJ274*$J478</f>
        <v>0</v>
      </c>
      <c r="AK488" s="38">
        <f>AK274*$J478</f>
        <v>0</v>
      </c>
      <c r="AL488" s="17"/>
    </row>
    <row r="489" spans="1:38">
      <c r="A489" s="4" t="s">
        <v>176</v>
      </c>
      <c r="C489" s="38">
        <f>C275*$B479</f>
        <v>0</v>
      </c>
      <c r="D489" s="38">
        <f>D275*$B479</f>
        <v>0</v>
      </c>
      <c r="E489" s="38">
        <f>E275*$B479</f>
        <v>0</v>
      </c>
      <c r="G489" s="38">
        <f>G275*$C479</f>
        <v>0</v>
      </c>
      <c r="H489" s="38">
        <f>H275*$C479</f>
        <v>0</v>
      </c>
      <c r="I489" s="38">
        <f>I275*$C479</f>
        <v>0</v>
      </c>
      <c r="K489" s="38">
        <f>K275*$D479</f>
        <v>0</v>
      </c>
      <c r="L489" s="38">
        <f>L275*$D479</f>
        <v>0</v>
      </c>
      <c r="M489" s="38">
        <f>M275*$D479</f>
        <v>0</v>
      </c>
      <c r="O489" s="38">
        <f>O275*$E479</f>
        <v>0</v>
      </c>
      <c r="P489" s="38">
        <f>P275*$E479</f>
        <v>0</v>
      </c>
      <c r="Q489" s="38">
        <f>Q275*$E479</f>
        <v>0</v>
      </c>
      <c r="S489" s="38">
        <f>S275*$F479</f>
        <v>0</v>
      </c>
      <c r="T489" s="38">
        <f>T275*$F479</f>
        <v>0</v>
      </c>
      <c r="U489" s="38">
        <f>U275*$F479</f>
        <v>0</v>
      </c>
      <c r="W489" s="38">
        <f>W275*$G479</f>
        <v>0</v>
      </c>
      <c r="X489" s="38">
        <f>X275*$G479</f>
        <v>0</v>
      </c>
      <c r="Y489" s="38">
        <f>Y275*$G479</f>
        <v>0</v>
      </c>
      <c r="AA489" s="38">
        <f>AA275*$H479</f>
        <v>0</v>
      </c>
      <c r="AB489" s="38">
        <f>AB275*$H479</f>
        <v>0</v>
      </c>
      <c r="AC489" s="38">
        <f>AC275*$H479</f>
        <v>0</v>
      </c>
      <c r="AE489" s="38">
        <f>AE275*$I479</f>
        <v>0</v>
      </c>
      <c r="AF489" s="38">
        <f>AF275*$I479</f>
        <v>0</v>
      </c>
      <c r="AG489" s="38">
        <f>AG275*$I479</f>
        <v>0</v>
      </c>
      <c r="AI489" s="38">
        <f>AI275*$J479</f>
        <v>0</v>
      </c>
      <c r="AJ489" s="38">
        <f>AJ275*$J479</f>
        <v>0</v>
      </c>
      <c r="AK489" s="38">
        <f>AK275*$J479</f>
        <v>0</v>
      </c>
      <c r="AL489" s="17"/>
    </row>
    <row r="491" spans="1:38" ht="21" customHeight="1">
      <c r="A491" s="1" t="s">
        <v>690</v>
      </c>
    </row>
    <row r="492" spans="1:38">
      <c r="A492" s="2" t="s">
        <v>351</v>
      </c>
    </row>
    <row r="493" spans="1:38">
      <c r="A493" s="33" t="s">
        <v>647</v>
      </c>
    </row>
    <row r="494" spans="1:38">
      <c r="A494" s="33" t="s">
        <v>688</v>
      </c>
    </row>
    <row r="495" spans="1:38">
      <c r="A495" s="2" t="s">
        <v>689</v>
      </c>
    </row>
    <row r="497" spans="1:38">
      <c r="B497" s="29" t="s">
        <v>142</v>
      </c>
      <c r="C497" s="15" t="s">
        <v>319</v>
      </c>
      <c r="D497" s="15" t="s">
        <v>320</v>
      </c>
      <c r="E497" s="15" t="s">
        <v>321</v>
      </c>
      <c r="F497" s="29" t="s">
        <v>143</v>
      </c>
      <c r="G497" s="15" t="s">
        <v>319</v>
      </c>
      <c r="H497" s="15" t="s">
        <v>320</v>
      </c>
      <c r="I497" s="15" t="s">
        <v>321</v>
      </c>
      <c r="J497" s="29" t="s">
        <v>144</v>
      </c>
      <c r="K497" s="15" t="s">
        <v>319</v>
      </c>
      <c r="L497" s="15" t="s">
        <v>320</v>
      </c>
      <c r="M497" s="15" t="s">
        <v>321</v>
      </c>
      <c r="N497" s="29" t="s">
        <v>145</v>
      </c>
      <c r="O497" s="15" t="s">
        <v>319</v>
      </c>
      <c r="P497" s="15" t="s">
        <v>320</v>
      </c>
      <c r="Q497" s="15" t="s">
        <v>321</v>
      </c>
      <c r="R497" s="29" t="s">
        <v>146</v>
      </c>
      <c r="S497" s="15" t="s">
        <v>319</v>
      </c>
      <c r="T497" s="15" t="s">
        <v>320</v>
      </c>
      <c r="U497" s="15" t="s">
        <v>321</v>
      </c>
      <c r="V497" s="29" t="s">
        <v>151</v>
      </c>
      <c r="W497" s="15" t="s">
        <v>319</v>
      </c>
      <c r="X497" s="15" t="s">
        <v>320</v>
      </c>
      <c r="Y497" s="15" t="s">
        <v>321</v>
      </c>
      <c r="Z497" s="29" t="s">
        <v>147</v>
      </c>
      <c r="AA497" s="15" t="s">
        <v>319</v>
      </c>
      <c r="AB497" s="15" t="s">
        <v>320</v>
      </c>
      <c r="AC497" s="15" t="s">
        <v>321</v>
      </c>
      <c r="AD497" s="29" t="s">
        <v>148</v>
      </c>
      <c r="AE497" s="15" t="s">
        <v>319</v>
      </c>
      <c r="AF497" s="15" t="s">
        <v>320</v>
      </c>
      <c r="AG497" s="15" t="s">
        <v>321</v>
      </c>
      <c r="AH497" s="29" t="s">
        <v>149</v>
      </c>
      <c r="AI497" s="15" t="s">
        <v>319</v>
      </c>
      <c r="AJ497" s="15" t="s">
        <v>320</v>
      </c>
      <c r="AK497" s="15" t="s">
        <v>321</v>
      </c>
    </row>
    <row r="498" spans="1:38">
      <c r="A498" s="4" t="s">
        <v>175</v>
      </c>
      <c r="C498" s="38">
        <f>C320*$B478</f>
        <v>0</v>
      </c>
      <c r="D498" s="38">
        <f>D320*$B478</f>
        <v>0</v>
      </c>
      <c r="E498" s="38">
        <f>E320*$B478</f>
        <v>0</v>
      </c>
      <c r="G498" s="38">
        <f>G320*$C478</f>
        <v>0</v>
      </c>
      <c r="H498" s="38">
        <f>H320*$C478</f>
        <v>0</v>
      </c>
      <c r="I498" s="38">
        <f>I320*$C478</f>
        <v>0</v>
      </c>
      <c r="K498" s="38">
        <f>K320*$D478</f>
        <v>0</v>
      </c>
      <c r="L498" s="38">
        <f>L320*$D478</f>
        <v>0</v>
      </c>
      <c r="M498" s="38">
        <f>M320*$D478</f>
        <v>0</v>
      </c>
      <c r="O498" s="38">
        <f>O320*$E478</f>
        <v>0</v>
      </c>
      <c r="P498" s="38">
        <f>P320*$E478</f>
        <v>0</v>
      </c>
      <c r="Q498" s="38">
        <f>Q320*$E478</f>
        <v>0</v>
      </c>
      <c r="S498" s="38">
        <f>S320*$F478</f>
        <v>0</v>
      </c>
      <c r="T498" s="38">
        <f>T320*$F478</f>
        <v>0</v>
      </c>
      <c r="U498" s="38">
        <f>U320*$F478</f>
        <v>0</v>
      </c>
      <c r="W498" s="38">
        <f>W320*$G478</f>
        <v>0</v>
      </c>
      <c r="X498" s="38">
        <f>X320*$G478</f>
        <v>0</v>
      </c>
      <c r="Y498" s="38">
        <f>Y320*$G478</f>
        <v>0</v>
      </c>
      <c r="AA498" s="38">
        <f>AA320*$H478</f>
        <v>0</v>
      </c>
      <c r="AB498" s="38">
        <f>AB320*$H478</f>
        <v>0</v>
      </c>
      <c r="AC498" s="38">
        <f>AC320*$H478</f>
        <v>0</v>
      </c>
      <c r="AE498" s="38">
        <f>AE320*$I478</f>
        <v>0</v>
      </c>
      <c r="AF498" s="38">
        <f>AF320*$I478</f>
        <v>0</v>
      </c>
      <c r="AG498" s="38">
        <f>AG320*$I478</f>
        <v>0</v>
      </c>
      <c r="AI498" s="38">
        <f>AI320*$J478</f>
        <v>0</v>
      </c>
      <c r="AJ498" s="38">
        <f>AJ320*$J478</f>
        <v>0</v>
      </c>
      <c r="AK498" s="38">
        <f>AK320*$J478</f>
        <v>0</v>
      </c>
      <c r="AL498" s="17"/>
    </row>
    <row r="499" spans="1:38">
      <c r="A499" s="4" t="s">
        <v>177</v>
      </c>
      <c r="C499" s="38">
        <f>C321*$B479</f>
        <v>0</v>
      </c>
      <c r="D499" s="38">
        <f>D321*$B479</f>
        <v>0</v>
      </c>
      <c r="E499" s="38">
        <f>E321*$B479</f>
        <v>0</v>
      </c>
      <c r="G499" s="38">
        <f>G321*$C479</f>
        <v>0</v>
      </c>
      <c r="H499" s="38">
        <f>H321*$C479</f>
        <v>0</v>
      </c>
      <c r="I499" s="38">
        <f>I321*$C479</f>
        <v>0</v>
      </c>
      <c r="K499" s="38">
        <f>K321*$D479</f>
        <v>0</v>
      </c>
      <c r="L499" s="38">
        <f>L321*$D479</f>
        <v>0</v>
      </c>
      <c r="M499" s="38">
        <f>M321*$D479</f>
        <v>0</v>
      </c>
      <c r="O499" s="38">
        <f>O321*$E479</f>
        <v>0</v>
      </c>
      <c r="P499" s="38">
        <f>P321*$E479</f>
        <v>0</v>
      </c>
      <c r="Q499" s="38">
        <f>Q321*$E479</f>
        <v>0</v>
      </c>
      <c r="S499" s="38">
        <f>S321*$F479</f>
        <v>0</v>
      </c>
      <c r="T499" s="38">
        <f>T321*$F479</f>
        <v>0</v>
      </c>
      <c r="U499" s="38">
        <f>U321*$F479</f>
        <v>0</v>
      </c>
      <c r="W499" s="38">
        <f>W321*$G479</f>
        <v>0</v>
      </c>
      <c r="X499" s="38">
        <f>X321*$G479</f>
        <v>0</v>
      </c>
      <c r="Y499" s="38">
        <f>Y321*$G479</f>
        <v>0</v>
      </c>
      <c r="AA499" s="38">
        <f>AA321*$H479</f>
        <v>0</v>
      </c>
      <c r="AB499" s="38">
        <f>AB321*$H479</f>
        <v>0</v>
      </c>
      <c r="AC499" s="38">
        <f>AC321*$H479</f>
        <v>0</v>
      </c>
      <c r="AE499" s="38">
        <f>AE321*$I479</f>
        <v>0</v>
      </c>
      <c r="AF499" s="38">
        <f>AF321*$I479</f>
        <v>0</v>
      </c>
      <c r="AG499" s="38">
        <f>AG321*$I479</f>
        <v>0</v>
      </c>
      <c r="AI499" s="38">
        <f>AI321*$J479</f>
        <v>0</v>
      </c>
      <c r="AJ499" s="38">
        <f>AJ321*$J479</f>
        <v>0</v>
      </c>
      <c r="AK499" s="38">
        <f>AK321*$J479</f>
        <v>0</v>
      </c>
      <c r="AL499" s="17"/>
    </row>
    <row r="501" spans="1:38" ht="21" customHeight="1">
      <c r="A501" s="1" t="s">
        <v>691</v>
      </c>
    </row>
    <row r="502" spans="1:38">
      <c r="A502" s="2" t="s">
        <v>351</v>
      </c>
    </row>
    <row r="503" spans="1:38">
      <c r="A503" s="33" t="s">
        <v>654</v>
      </c>
    </row>
    <row r="504" spans="1:38">
      <c r="A504" s="33" t="s">
        <v>688</v>
      </c>
    </row>
    <row r="505" spans="1:38">
      <c r="A505" s="2" t="s">
        <v>689</v>
      </c>
    </row>
    <row r="507" spans="1:38">
      <c r="B507" s="29" t="s">
        <v>142</v>
      </c>
      <c r="C507" s="15" t="s">
        <v>319</v>
      </c>
      <c r="D507" s="15" t="s">
        <v>320</v>
      </c>
      <c r="E507" s="15" t="s">
        <v>321</v>
      </c>
      <c r="F507" s="29" t="s">
        <v>143</v>
      </c>
      <c r="G507" s="15" t="s">
        <v>319</v>
      </c>
      <c r="H507" s="15" t="s">
        <v>320</v>
      </c>
      <c r="I507" s="15" t="s">
        <v>321</v>
      </c>
      <c r="J507" s="29" t="s">
        <v>144</v>
      </c>
      <c r="K507" s="15" t="s">
        <v>319</v>
      </c>
      <c r="L507" s="15" t="s">
        <v>320</v>
      </c>
      <c r="M507" s="15" t="s">
        <v>321</v>
      </c>
      <c r="N507" s="29" t="s">
        <v>145</v>
      </c>
      <c r="O507" s="15" t="s">
        <v>319</v>
      </c>
      <c r="P507" s="15" t="s">
        <v>320</v>
      </c>
      <c r="Q507" s="15" t="s">
        <v>321</v>
      </c>
      <c r="R507" s="29" t="s">
        <v>146</v>
      </c>
      <c r="S507" s="15" t="s">
        <v>319</v>
      </c>
      <c r="T507" s="15" t="s">
        <v>320</v>
      </c>
      <c r="U507" s="15" t="s">
        <v>321</v>
      </c>
      <c r="V507" s="29" t="s">
        <v>151</v>
      </c>
      <c r="W507" s="15" t="s">
        <v>319</v>
      </c>
      <c r="X507" s="15" t="s">
        <v>320</v>
      </c>
      <c r="Y507" s="15" t="s">
        <v>321</v>
      </c>
      <c r="Z507" s="29" t="s">
        <v>147</v>
      </c>
      <c r="AA507" s="15" t="s">
        <v>319</v>
      </c>
      <c r="AB507" s="15" t="s">
        <v>320</v>
      </c>
      <c r="AC507" s="15" t="s">
        <v>321</v>
      </c>
      <c r="AD507" s="29" t="s">
        <v>148</v>
      </c>
      <c r="AE507" s="15" t="s">
        <v>319</v>
      </c>
      <c r="AF507" s="15" t="s">
        <v>320</v>
      </c>
      <c r="AG507" s="15" t="s">
        <v>321</v>
      </c>
      <c r="AH507" s="29" t="s">
        <v>149</v>
      </c>
      <c r="AI507" s="15" t="s">
        <v>319</v>
      </c>
      <c r="AJ507" s="15" t="s">
        <v>320</v>
      </c>
      <c r="AK507" s="15" t="s">
        <v>321</v>
      </c>
    </row>
    <row r="508" spans="1:38">
      <c r="A508" s="4" t="s">
        <v>211</v>
      </c>
      <c r="C508" s="38">
        <f>C357*$B478</f>
        <v>0</v>
      </c>
      <c r="D508" s="38">
        <f>D357*$B478</f>
        <v>0</v>
      </c>
      <c r="E508" s="38">
        <f>E357*$B478</f>
        <v>0</v>
      </c>
      <c r="G508" s="38">
        <f>G357*$C478</f>
        <v>0</v>
      </c>
      <c r="H508" s="38">
        <f>H357*$C478</f>
        <v>0</v>
      </c>
      <c r="I508" s="38">
        <f>I357*$C478</f>
        <v>0</v>
      </c>
      <c r="K508" s="38">
        <f>K357*$D478</f>
        <v>0</v>
      </c>
      <c r="L508" s="38">
        <f>L357*$D478</f>
        <v>0</v>
      </c>
      <c r="M508" s="38">
        <f>M357*$D478</f>
        <v>0</v>
      </c>
      <c r="O508" s="38">
        <f>O357*$E478</f>
        <v>0</v>
      </c>
      <c r="P508" s="38">
        <f>P357*$E478</f>
        <v>0</v>
      </c>
      <c r="Q508" s="38">
        <f>Q357*$E478</f>
        <v>0</v>
      </c>
      <c r="S508" s="38">
        <f>S357*$F478</f>
        <v>0</v>
      </c>
      <c r="T508" s="38">
        <f>T357*$F478</f>
        <v>0</v>
      </c>
      <c r="U508" s="38">
        <f>U357*$F478</f>
        <v>0</v>
      </c>
      <c r="W508" s="38">
        <f>W357*$G478</f>
        <v>0</v>
      </c>
      <c r="X508" s="38">
        <f>X357*$G478</f>
        <v>0</v>
      </c>
      <c r="Y508" s="38">
        <f>Y357*$G478</f>
        <v>0</v>
      </c>
      <c r="AA508" s="38">
        <f>AA357*$H478</f>
        <v>0</v>
      </c>
      <c r="AB508" s="38">
        <f>AB357*$H478</f>
        <v>0</v>
      </c>
      <c r="AC508" s="38">
        <f>AC357*$H478</f>
        <v>0</v>
      </c>
      <c r="AE508" s="38">
        <f>AE357*$I478</f>
        <v>0</v>
      </c>
      <c r="AF508" s="38">
        <f>AF357*$I478</f>
        <v>0</v>
      </c>
      <c r="AG508" s="38">
        <f>AG357*$I478</f>
        <v>0</v>
      </c>
      <c r="AI508" s="38">
        <f>AI357*$J478</f>
        <v>0</v>
      </c>
      <c r="AJ508" s="38">
        <f>AJ357*$J478</f>
        <v>0</v>
      </c>
      <c r="AK508" s="38">
        <f>AK357*$J478</f>
        <v>0</v>
      </c>
      <c r="AL508" s="17"/>
    </row>
    <row r="509" spans="1:38">
      <c r="A509" s="4" t="s">
        <v>212</v>
      </c>
      <c r="C509" s="38">
        <f>C358*$B479</f>
        <v>0</v>
      </c>
      <c r="D509" s="38">
        <f>D358*$B479</f>
        <v>0</v>
      </c>
      <c r="E509" s="38">
        <f>E358*$B479</f>
        <v>0</v>
      </c>
      <c r="G509" s="38">
        <f>G358*$C479</f>
        <v>0</v>
      </c>
      <c r="H509" s="38">
        <f>H358*$C479</f>
        <v>0</v>
      </c>
      <c r="I509" s="38">
        <f>I358*$C479</f>
        <v>0</v>
      </c>
      <c r="K509" s="38">
        <f>K358*$D479</f>
        <v>0</v>
      </c>
      <c r="L509" s="38">
        <f>L358*$D479</f>
        <v>0</v>
      </c>
      <c r="M509" s="38">
        <f>M358*$D479</f>
        <v>0</v>
      </c>
      <c r="O509" s="38">
        <f>O358*$E479</f>
        <v>0</v>
      </c>
      <c r="P509" s="38">
        <f>P358*$E479</f>
        <v>0</v>
      </c>
      <c r="Q509" s="38">
        <f>Q358*$E479</f>
        <v>0</v>
      </c>
      <c r="S509" s="38">
        <f>S358*$F479</f>
        <v>0</v>
      </c>
      <c r="T509" s="38">
        <f>T358*$F479</f>
        <v>0</v>
      </c>
      <c r="U509" s="38">
        <f>U358*$F479</f>
        <v>0</v>
      </c>
      <c r="W509" s="38">
        <f>W358*$G479</f>
        <v>0</v>
      </c>
      <c r="X509" s="38">
        <f>X358*$G479</f>
        <v>0</v>
      </c>
      <c r="Y509" s="38">
        <f>Y358*$G479</f>
        <v>0</v>
      </c>
      <c r="AA509" s="38">
        <f>AA358*$H479</f>
        <v>0</v>
      </c>
      <c r="AB509" s="38">
        <f>AB358*$H479</f>
        <v>0</v>
      </c>
      <c r="AC509" s="38">
        <f>AC358*$H479</f>
        <v>0</v>
      </c>
      <c r="AE509" s="38">
        <f>AE358*$I479</f>
        <v>0</v>
      </c>
      <c r="AF509" s="38">
        <f>AF358*$I479</f>
        <v>0</v>
      </c>
      <c r="AG509" s="38">
        <f>AG358*$I479</f>
        <v>0</v>
      </c>
      <c r="AI509" s="38">
        <f>AI358*$J479</f>
        <v>0</v>
      </c>
      <c r="AJ509" s="38">
        <f>AJ358*$J479</f>
        <v>0</v>
      </c>
      <c r="AK509" s="38">
        <f>AK358*$J479</f>
        <v>0</v>
      </c>
      <c r="AL509" s="17"/>
    </row>
    <row r="511" spans="1:38" ht="21" customHeight="1">
      <c r="A511" s="1" t="s">
        <v>692</v>
      </c>
    </row>
    <row r="512" spans="1:38">
      <c r="A512" s="2" t="s">
        <v>351</v>
      </c>
    </row>
    <row r="513" spans="1:38">
      <c r="A513" s="33" t="s">
        <v>662</v>
      </c>
    </row>
    <row r="514" spans="1:38">
      <c r="A514" s="33" t="s">
        <v>688</v>
      </c>
    </row>
    <row r="515" spans="1:38">
      <c r="A515" s="33" t="s">
        <v>693</v>
      </c>
    </row>
    <row r="516" spans="1:38">
      <c r="A516" s="2" t="s">
        <v>694</v>
      </c>
    </row>
    <row r="518" spans="1:38">
      <c r="B518" s="29" t="s">
        <v>142</v>
      </c>
      <c r="C518" s="15" t="s">
        <v>319</v>
      </c>
      <c r="D518" s="15" t="s">
        <v>320</v>
      </c>
      <c r="E518" s="15" t="s">
        <v>321</v>
      </c>
      <c r="F518" s="29" t="s">
        <v>143</v>
      </c>
      <c r="G518" s="15" t="s">
        <v>319</v>
      </c>
      <c r="H518" s="15" t="s">
        <v>320</v>
      </c>
      <c r="I518" s="15" t="s">
        <v>321</v>
      </c>
      <c r="J518" s="29" t="s">
        <v>144</v>
      </c>
      <c r="K518" s="15" t="s">
        <v>319</v>
      </c>
      <c r="L518" s="15" t="s">
        <v>320</v>
      </c>
      <c r="M518" s="15" t="s">
        <v>321</v>
      </c>
      <c r="N518" s="29" t="s">
        <v>145</v>
      </c>
      <c r="O518" s="15" t="s">
        <v>319</v>
      </c>
      <c r="P518" s="15" t="s">
        <v>320</v>
      </c>
      <c r="Q518" s="15" t="s">
        <v>321</v>
      </c>
      <c r="R518" s="29" t="s">
        <v>146</v>
      </c>
      <c r="S518" s="15" t="s">
        <v>319</v>
      </c>
      <c r="T518" s="15" t="s">
        <v>320</v>
      </c>
      <c r="U518" s="15" t="s">
        <v>321</v>
      </c>
      <c r="V518" s="29" t="s">
        <v>151</v>
      </c>
      <c r="W518" s="15" t="s">
        <v>319</v>
      </c>
      <c r="X518" s="15" t="s">
        <v>320</v>
      </c>
      <c r="Y518" s="15" t="s">
        <v>321</v>
      </c>
      <c r="Z518" s="29" t="s">
        <v>147</v>
      </c>
      <c r="AA518" s="15" t="s">
        <v>319</v>
      </c>
      <c r="AB518" s="15" t="s">
        <v>320</v>
      </c>
      <c r="AC518" s="15" t="s">
        <v>321</v>
      </c>
      <c r="AD518" s="29" t="s">
        <v>148</v>
      </c>
      <c r="AE518" s="15" t="s">
        <v>319</v>
      </c>
      <c r="AF518" s="15" t="s">
        <v>320</v>
      </c>
      <c r="AG518" s="15" t="s">
        <v>321</v>
      </c>
      <c r="AH518" s="29" t="s">
        <v>149</v>
      </c>
      <c r="AI518" s="15" t="s">
        <v>319</v>
      </c>
      <c r="AJ518" s="15" t="s">
        <v>320</v>
      </c>
      <c r="AK518" s="15" t="s">
        <v>321</v>
      </c>
    </row>
    <row r="519" spans="1:38">
      <c r="A519" s="4" t="s">
        <v>178</v>
      </c>
      <c r="C519" s="38">
        <f>C394*$B478*$B461</f>
        <v>0</v>
      </c>
      <c r="D519" s="38">
        <f>D394*$B478*$B461</f>
        <v>0</v>
      </c>
      <c r="E519" s="38">
        <f>E394*$B478*$B461</f>
        <v>0</v>
      </c>
      <c r="G519" s="38">
        <f>G394*$C478*$C461</f>
        <v>0</v>
      </c>
      <c r="H519" s="38">
        <f>H394*$C478*$C461</f>
        <v>0</v>
      </c>
      <c r="I519" s="38">
        <f>I394*$C478*$C461</f>
        <v>0</v>
      </c>
      <c r="K519" s="38">
        <f>K394*$D478*$D461</f>
        <v>0</v>
      </c>
      <c r="L519" s="38">
        <f>L394*$D478*$D461</f>
        <v>0</v>
      </c>
      <c r="M519" s="38">
        <f>M394*$D478*$D461</f>
        <v>0</v>
      </c>
      <c r="O519" s="38">
        <f>O394*$E478*$E461</f>
        <v>0</v>
      </c>
      <c r="P519" s="38">
        <f>P394*$E478*$E461</f>
        <v>0</v>
      </c>
      <c r="Q519" s="38">
        <f>Q394*$E478*$E461</f>
        <v>0</v>
      </c>
      <c r="S519" s="38">
        <f>S394*$F478*$F461</f>
        <v>0</v>
      </c>
      <c r="T519" s="38">
        <f>T394*$F478*$F461</f>
        <v>0</v>
      </c>
      <c r="U519" s="38">
        <f>U394*$F478*$F461</f>
        <v>0</v>
      </c>
      <c r="W519" s="38">
        <f>W394*$G478*$G461</f>
        <v>0</v>
      </c>
      <c r="X519" s="38">
        <f>X394*$G478*$G461</f>
        <v>0</v>
      </c>
      <c r="Y519" s="38">
        <f>Y394*$G478*$G461</f>
        <v>0</v>
      </c>
      <c r="AA519" s="38">
        <f>AA394*$H478*$H461</f>
        <v>0</v>
      </c>
      <c r="AB519" s="38">
        <f>AB394*$H478*$H461</f>
        <v>0</v>
      </c>
      <c r="AC519" s="38">
        <f>AC394*$H478*$H461</f>
        <v>0</v>
      </c>
      <c r="AE519" s="38">
        <f>AE394*$I478*$I461</f>
        <v>0</v>
      </c>
      <c r="AF519" s="38">
        <f>AF394*$I478*$I461</f>
        <v>0</v>
      </c>
      <c r="AG519" s="38">
        <f>AG394*$I478*$I461</f>
        <v>0</v>
      </c>
      <c r="AI519" s="38">
        <f>AI394*$J478*$J461</f>
        <v>0</v>
      </c>
      <c r="AJ519" s="38">
        <f>AJ394*$J478*$J461</f>
        <v>0</v>
      </c>
      <c r="AK519" s="38">
        <f>AK394*$J478*$J461</f>
        <v>0</v>
      </c>
      <c r="AL519" s="17"/>
    </row>
    <row r="520" spans="1:38">
      <c r="A520" s="4" t="s">
        <v>179</v>
      </c>
      <c r="C520" s="38">
        <f>C395*$B479*$B462</f>
        <v>0</v>
      </c>
      <c r="D520" s="38">
        <f>D395*$B479*$B462</f>
        <v>0</v>
      </c>
      <c r="E520" s="38">
        <f>E395*$B479*$B462</f>
        <v>0</v>
      </c>
      <c r="G520" s="38">
        <f>G395*$C479*$C462</f>
        <v>0</v>
      </c>
      <c r="H520" s="38">
        <f>H395*$C479*$C462</f>
        <v>0</v>
      </c>
      <c r="I520" s="38">
        <f>I395*$C479*$C462</f>
        <v>0</v>
      </c>
      <c r="K520" s="38">
        <f>K395*$D479*$D462</f>
        <v>0</v>
      </c>
      <c r="L520" s="38">
        <f>L395*$D479*$D462</f>
        <v>0</v>
      </c>
      <c r="M520" s="38">
        <f>M395*$D479*$D462</f>
        <v>0</v>
      </c>
      <c r="O520" s="38">
        <f>O395*$E479*$E462</f>
        <v>0</v>
      </c>
      <c r="P520" s="38">
        <f>P395*$E479*$E462</f>
        <v>0</v>
      </c>
      <c r="Q520" s="38">
        <f>Q395*$E479*$E462</f>
        <v>0</v>
      </c>
      <c r="S520" s="38">
        <f>S395*$F479*$F462</f>
        <v>0</v>
      </c>
      <c r="T520" s="38">
        <f>T395*$F479*$F462</f>
        <v>0</v>
      </c>
      <c r="U520" s="38">
        <f>U395*$F479*$F462</f>
        <v>0</v>
      </c>
      <c r="W520" s="38">
        <f>W395*$G479*$G462</f>
        <v>0</v>
      </c>
      <c r="X520" s="38">
        <f>X395*$G479*$G462</f>
        <v>0</v>
      </c>
      <c r="Y520" s="38">
        <f>Y395*$G479*$G462</f>
        <v>0</v>
      </c>
      <c r="AA520" s="38">
        <f>AA395*$H479*$H462</f>
        <v>0</v>
      </c>
      <c r="AB520" s="38">
        <f>AB395*$H479*$H462</f>
        <v>0</v>
      </c>
      <c r="AC520" s="38">
        <f>AC395*$H479*$H462</f>
        <v>0</v>
      </c>
      <c r="AE520" s="38">
        <f>AE395*$I479*$I462</f>
        <v>0</v>
      </c>
      <c r="AF520" s="38">
        <f>AF395*$I479*$I462</f>
        <v>0</v>
      </c>
      <c r="AG520" s="38">
        <f>AG395*$I479*$I462</f>
        <v>0</v>
      </c>
      <c r="AI520" s="38">
        <f>AI395*$J479*$J462</f>
        <v>0</v>
      </c>
      <c r="AJ520" s="38">
        <f>AJ395*$J479*$J462</f>
        <v>0</v>
      </c>
      <c r="AK520" s="38">
        <f>AK395*$J479*$J462</f>
        <v>0</v>
      </c>
      <c r="AL520" s="17"/>
    </row>
    <row r="522" spans="1:38" ht="21" customHeight="1">
      <c r="A522" s="1" t="s">
        <v>695</v>
      </c>
    </row>
    <row r="523" spans="1:38">
      <c r="A523" s="2" t="s">
        <v>351</v>
      </c>
    </row>
    <row r="524" spans="1:38">
      <c r="A524" s="33" t="s">
        <v>696</v>
      </c>
    </row>
    <row r="525" spans="1:38">
      <c r="A525" s="33" t="s">
        <v>697</v>
      </c>
    </row>
    <row r="526" spans="1:38">
      <c r="A526" s="33" t="s">
        <v>698</v>
      </c>
    </row>
    <row r="527" spans="1:38">
      <c r="A527" s="33" t="s">
        <v>699</v>
      </c>
    </row>
    <row r="528" spans="1:38">
      <c r="A528" s="33" t="s">
        <v>700</v>
      </c>
    </row>
    <row r="529" spans="1:38">
      <c r="A529" s="2" t="s">
        <v>440</v>
      </c>
    </row>
    <row r="531" spans="1:38">
      <c r="B531" s="29" t="s">
        <v>142</v>
      </c>
      <c r="C531" s="15" t="s">
        <v>319</v>
      </c>
      <c r="D531" s="15" t="s">
        <v>320</v>
      </c>
      <c r="E531" s="15" t="s">
        <v>321</v>
      </c>
      <c r="F531" s="29" t="s">
        <v>143</v>
      </c>
      <c r="G531" s="15" t="s">
        <v>319</v>
      </c>
      <c r="H531" s="15" t="s">
        <v>320</v>
      </c>
      <c r="I531" s="15" t="s">
        <v>321</v>
      </c>
      <c r="J531" s="29" t="s">
        <v>144</v>
      </c>
      <c r="K531" s="15" t="s">
        <v>319</v>
      </c>
      <c r="L531" s="15" t="s">
        <v>320</v>
      </c>
      <c r="M531" s="15" t="s">
        <v>321</v>
      </c>
      <c r="N531" s="29" t="s">
        <v>145</v>
      </c>
      <c r="O531" s="15" t="s">
        <v>319</v>
      </c>
      <c r="P531" s="15" t="s">
        <v>320</v>
      </c>
      <c r="Q531" s="15" t="s">
        <v>321</v>
      </c>
      <c r="R531" s="29" t="s">
        <v>146</v>
      </c>
      <c r="S531" s="15" t="s">
        <v>319</v>
      </c>
      <c r="T531" s="15" t="s">
        <v>320</v>
      </c>
      <c r="U531" s="15" t="s">
        <v>321</v>
      </c>
      <c r="V531" s="29" t="s">
        <v>151</v>
      </c>
      <c r="W531" s="15" t="s">
        <v>319</v>
      </c>
      <c r="X531" s="15" t="s">
        <v>320</v>
      </c>
      <c r="Y531" s="15" t="s">
        <v>321</v>
      </c>
      <c r="Z531" s="29" t="s">
        <v>147</v>
      </c>
      <c r="AA531" s="15" t="s">
        <v>319</v>
      </c>
      <c r="AB531" s="15" t="s">
        <v>320</v>
      </c>
      <c r="AC531" s="15" t="s">
        <v>321</v>
      </c>
      <c r="AD531" s="29" t="s">
        <v>148</v>
      </c>
      <c r="AE531" s="15" t="s">
        <v>319</v>
      </c>
      <c r="AF531" s="15" t="s">
        <v>320</v>
      </c>
      <c r="AG531" s="15" t="s">
        <v>321</v>
      </c>
      <c r="AH531" s="29" t="s">
        <v>149</v>
      </c>
      <c r="AI531" s="15" t="s">
        <v>319</v>
      </c>
      <c r="AJ531" s="15" t="s">
        <v>320</v>
      </c>
      <c r="AK531" s="15" t="s">
        <v>321</v>
      </c>
    </row>
    <row r="532" spans="1:38">
      <c r="A532" s="4" t="s">
        <v>174</v>
      </c>
      <c r="C532" s="39">
        <f>C$488</f>
        <v>0</v>
      </c>
      <c r="D532" s="39">
        <f>D$488</f>
        <v>0</v>
      </c>
      <c r="E532" s="39">
        <f>E$488</f>
        <v>0</v>
      </c>
      <c r="G532" s="39">
        <f>G$488</f>
        <v>0</v>
      </c>
      <c r="H532" s="39">
        <f>H$488</f>
        <v>0</v>
      </c>
      <c r="I532" s="39">
        <f>I$488</f>
        <v>0</v>
      </c>
      <c r="K532" s="39">
        <f>K$488</f>
        <v>0</v>
      </c>
      <c r="L532" s="39">
        <f>L$488</f>
        <v>0</v>
      </c>
      <c r="M532" s="39">
        <f>M$488</f>
        <v>0</v>
      </c>
      <c r="O532" s="39">
        <f>O$488</f>
        <v>0</v>
      </c>
      <c r="P532" s="39">
        <f>P$488</f>
        <v>0</v>
      </c>
      <c r="Q532" s="39">
        <f>Q$488</f>
        <v>0</v>
      </c>
      <c r="S532" s="39">
        <f>S$488</f>
        <v>0</v>
      </c>
      <c r="T532" s="39">
        <f>T$488</f>
        <v>0</v>
      </c>
      <c r="U532" s="39">
        <f>U$488</f>
        <v>0</v>
      </c>
      <c r="W532" s="39">
        <f>W$488</f>
        <v>0</v>
      </c>
      <c r="X532" s="39">
        <f>X$488</f>
        <v>0</v>
      </c>
      <c r="Y532" s="39">
        <f>Y$488</f>
        <v>0</v>
      </c>
      <c r="AA532" s="39">
        <f>AA$488</f>
        <v>0</v>
      </c>
      <c r="AB532" s="39">
        <f>AB$488</f>
        <v>0</v>
      </c>
      <c r="AC532" s="39">
        <f>AC$488</f>
        <v>0</v>
      </c>
      <c r="AE532" s="39">
        <f>AE$488</f>
        <v>0</v>
      </c>
      <c r="AF532" s="39">
        <f>AF$488</f>
        <v>0</v>
      </c>
      <c r="AG532" s="39">
        <f>AG$488</f>
        <v>0</v>
      </c>
      <c r="AI532" s="39">
        <f>AI$488</f>
        <v>0</v>
      </c>
      <c r="AJ532" s="39">
        <f>AJ$488</f>
        <v>0</v>
      </c>
      <c r="AK532" s="39">
        <f>AK$488</f>
        <v>0</v>
      </c>
      <c r="AL532" s="17"/>
    </row>
    <row r="533" spans="1:38">
      <c r="A533" s="4" t="s">
        <v>175</v>
      </c>
      <c r="C533" s="39">
        <f>C$498</f>
        <v>0</v>
      </c>
      <c r="D533" s="39">
        <f>D$498</f>
        <v>0</v>
      </c>
      <c r="E533" s="39">
        <f>E$498</f>
        <v>0</v>
      </c>
      <c r="G533" s="39">
        <f>G$498</f>
        <v>0</v>
      </c>
      <c r="H533" s="39">
        <f>H$498</f>
        <v>0</v>
      </c>
      <c r="I533" s="39">
        <f>I$498</f>
        <v>0</v>
      </c>
      <c r="K533" s="39">
        <f>K$498</f>
        <v>0</v>
      </c>
      <c r="L533" s="39">
        <f>L$498</f>
        <v>0</v>
      </c>
      <c r="M533" s="39">
        <f>M$498</f>
        <v>0</v>
      </c>
      <c r="O533" s="39">
        <f>O$498</f>
        <v>0</v>
      </c>
      <c r="P533" s="39">
        <f>P$498</f>
        <v>0</v>
      </c>
      <c r="Q533" s="39">
        <f>Q$498</f>
        <v>0</v>
      </c>
      <c r="S533" s="39">
        <f>S$498</f>
        <v>0</v>
      </c>
      <c r="T533" s="39">
        <f>T$498</f>
        <v>0</v>
      </c>
      <c r="U533" s="39">
        <f>U$498</f>
        <v>0</v>
      </c>
      <c r="W533" s="39">
        <f>W$498</f>
        <v>0</v>
      </c>
      <c r="X533" s="39">
        <f>X$498</f>
        <v>0</v>
      </c>
      <c r="Y533" s="39">
        <f>Y$498</f>
        <v>0</v>
      </c>
      <c r="AA533" s="39">
        <f>AA$498</f>
        <v>0</v>
      </c>
      <c r="AB533" s="39">
        <f>AB$498</f>
        <v>0</v>
      </c>
      <c r="AC533" s="39">
        <f>AC$498</f>
        <v>0</v>
      </c>
      <c r="AE533" s="39">
        <f>AE$498</f>
        <v>0</v>
      </c>
      <c r="AF533" s="39">
        <f>AF$498</f>
        <v>0</v>
      </c>
      <c r="AG533" s="39">
        <f>AG$498</f>
        <v>0</v>
      </c>
      <c r="AI533" s="39">
        <f>AI$498</f>
        <v>0</v>
      </c>
      <c r="AJ533" s="39">
        <f>AJ$498</f>
        <v>0</v>
      </c>
      <c r="AK533" s="39">
        <f>AK$498</f>
        <v>0</v>
      </c>
      <c r="AL533" s="17"/>
    </row>
    <row r="534" spans="1:38">
      <c r="A534" s="4" t="s">
        <v>211</v>
      </c>
      <c r="C534" s="39">
        <f>C$508</f>
        <v>0</v>
      </c>
      <c r="D534" s="39">
        <f>D$508</f>
        <v>0</v>
      </c>
      <c r="E534" s="39">
        <f>E$508</f>
        <v>0</v>
      </c>
      <c r="G534" s="39">
        <f>G$508</f>
        <v>0</v>
      </c>
      <c r="H534" s="39">
        <f>H$508</f>
        <v>0</v>
      </c>
      <c r="I534" s="39">
        <f>I$508</f>
        <v>0</v>
      </c>
      <c r="K534" s="39">
        <f>K$508</f>
        <v>0</v>
      </c>
      <c r="L534" s="39">
        <f>L$508</f>
        <v>0</v>
      </c>
      <c r="M534" s="39">
        <f>M$508</f>
        <v>0</v>
      </c>
      <c r="O534" s="39">
        <f>O$508</f>
        <v>0</v>
      </c>
      <c r="P534" s="39">
        <f>P$508</f>
        <v>0</v>
      </c>
      <c r="Q534" s="39">
        <f>Q$508</f>
        <v>0</v>
      </c>
      <c r="S534" s="39">
        <f>S$508</f>
        <v>0</v>
      </c>
      <c r="T534" s="39">
        <f>T$508</f>
        <v>0</v>
      </c>
      <c r="U534" s="39">
        <f>U$508</f>
        <v>0</v>
      </c>
      <c r="W534" s="39">
        <f>W$508</f>
        <v>0</v>
      </c>
      <c r="X534" s="39">
        <f>X$508</f>
        <v>0</v>
      </c>
      <c r="Y534" s="39">
        <f>Y$508</f>
        <v>0</v>
      </c>
      <c r="AA534" s="39">
        <f>AA$508</f>
        <v>0</v>
      </c>
      <c r="AB534" s="39">
        <f>AB$508</f>
        <v>0</v>
      </c>
      <c r="AC534" s="39">
        <f>AC$508</f>
        <v>0</v>
      </c>
      <c r="AE534" s="39">
        <f>AE$508</f>
        <v>0</v>
      </c>
      <c r="AF534" s="39">
        <f>AF$508</f>
        <v>0</v>
      </c>
      <c r="AG534" s="39">
        <f>AG$508</f>
        <v>0</v>
      </c>
      <c r="AI534" s="39">
        <f>AI$508</f>
        <v>0</v>
      </c>
      <c r="AJ534" s="39">
        <f>AJ$508</f>
        <v>0</v>
      </c>
      <c r="AK534" s="39">
        <f>AK$508</f>
        <v>0</v>
      </c>
      <c r="AL534" s="17"/>
    </row>
    <row r="535" spans="1:38">
      <c r="A535" s="4" t="s">
        <v>176</v>
      </c>
      <c r="C535" s="39">
        <f>C$489</f>
        <v>0</v>
      </c>
      <c r="D535" s="39">
        <f>D$489</f>
        <v>0</v>
      </c>
      <c r="E535" s="39">
        <f>E$489</f>
        <v>0</v>
      </c>
      <c r="G535" s="39">
        <f>G$489</f>
        <v>0</v>
      </c>
      <c r="H535" s="39">
        <f>H$489</f>
        <v>0</v>
      </c>
      <c r="I535" s="39">
        <f>I$489</f>
        <v>0</v>
      </c>
      <c r="K535" s="39">
        <f>K$489</f>
        <v>0</v>
      </c>
      <c r="L535" s="39">
        <f>L$489</f>
        <v>0</v>
      </c>
      <c r="M535" s="39">
        <f>M$489</f>
        <v>0</v>
      </c>
      <c r="O535" s="39">
        <f>O$489</f>
        <v>0</v>
      </c>
      <c r="P535" s="39">
        <f>P$489</f>
        <v>0</v>
      </c>
      <c r="Q535" s="39">
        <f>Q$489</f>
        <v>0</v>
      </c>
      <c r="S535" s="39">
        <f>S$489</f>
        <v>0</v>
      </c>
      <c r="T535" s="39">
        <f>T$489</f>
        <v>0</v>
      </c>
      <c r="U535" s="39">
        <f>U$489</f>
        <v>0</v>
      </c>
      <c r="W535" s="39">
        <f>W$489</f>
        <v>0</v>
      </c>
      <c r="X535" s="39">
        <f>X$489</f>
        <v>0</v>
      </c>
      <c r="Y535" s="39">
        <f>Y$489</f>
        <v>0</v>
      </c>
      <c r="AA535" s="39">
        <f>AA$489</f>
        <v>0</v>
      </c>
      <c r="AB535" s="39">
        <f>AB$489</f>
        <v>0</v>
      </c>
      <c r="AC535" s="39">
        <f>AC$489</f>
        <v>0</v>
      </c>
      <c r="AE535" s="39">
        <f>AE$489</f>
        <v>0</v>
      </c>
      <c r="AF535" s="39">
        <f>AF$489</f>
        <v>0</v>
      </c>
      <c r="AG535" s="39">
        <f>AG$489</f>
        <v>0</v>
      </c>
      <c r="AI535" s="39">
        <f>AI$489</f>
        <v>0</v>
      </c>
      <c r="AJ535" s="39">
        <f>AJ$489</f>
        <v>0</v>
      </c>
      <c r="AK535" s="39">
        <f>AK$489</f>
        <v>0</v>
      </c>
      <c r="AL535" s="17"/>
    </row>
    <row r="536" spans="1:38">
      <c r="A536" s="4" t="s">
        <v>177</v>
      </c>
      <c r="C536" s="39">
        <f>C$499</f>
        <v>0</v>
      </c>
      <c r="D536" s="39">
        <f>D$499</f>
        <v>0</v>
      </c>
      <c r="E536" s="39">
        <f>E$499</f>
        <v>0</v>
      </c>
      <c r="G536" s="39">
        <f>G$499</f>
        <v>0</v>
      </c>
      <c r="H536" s="39">
        <f>H$499</f>
        <v>0</v>
      </c>
      <c r="I536" s="39">
        <f>I$499</f>
        <v>0</v>
      </c>
      <c r="K536" s="39">
        <f>K$499</f>
        <v>0</v>
      </c>
      <c r="L536" s="39">
        <f>L$499</f>
        <v>0</v>
      </c>
      <c r="M536" s="39">
        <f>M$499</f>
        <v>0</v>
      </c>
      <c r="O536" s="39">
        <f>O$499</f>
        <v>0</v>
      </c>
      <c r="P536" s="39">
        <f>P$499</f>
        <v>0</v>
      </c>
      <c r="Q536" s="39">
        <f>Q$499</f>
        <v>0</v>
      </c>
      <c r="S536" s="39">
        <f>S$499</f>
        <v>0</v>
      </c>
      <c r="T536" s="39">
        <f>T$499</f>
        <v>0</v>
      </c>
      <c r="U536" s="39">
        <f>U$499</f>
        <v>0</v>
      </c>
      <c r="W536" s="39">
        <f>W$499</f>
        <v>0</v>
      </c>
      <c r="X536" s="39">
        <f>X$499</f>
        <v>0</v>
      </c>
      <c r="Y536" s="39">
        <f>Y$499</f>
        <v>0</v>
      </c>
      <c r="AA536" s="39">
        <f>AA$499</f>
        <v>0</v>
      </c>
      <c r="AB536" s="39">
        <f>AB$499</f>
        <v>0</v>
      </c>
      <c r="AC536" s="39">
        <f>AC$499</f>
        <v>0</v>
      </c>
      <c r="AE536" s="39">
        <f>AE$499</f>
        <v>0</v>
      </c>
      <c r="AF536" s="39">
        <f>AF$499</f>
        <v>0</v>
      </c>
      <c r="AG536" s="39">
        <f>AG$499</f>
        <v>0</v>
      </c>
      <c r="AI536" s="39">
        <f>AI$499</f>
        <v>0</v>
      </c>
      <c r="AJ536" s="39">
        <f>AJ$499</f>
        <v>0</v>
      </c>
      <c r="AK536" s="39">
        <f>AK$499</f>
        <v>0</v>
      </c>
      <c r="AL536" s="17"/>
    </row>
    <row r="537" spans="1:38">
      <c r="A537" s="4" t="s">
        <v>212</v>
      </c>
      <c r="C537" s="39">
        <f>C$509</f>
        <v>0</v>
      </c>
      <c r="D537" s="39">
        <f>D$509</f>
        <v>0</v>
      </c>
      <c r="E537" s="39">
        <f>E$509</f>
        <v>0</v>
      </c>
      <c r="G537" s="39">
        <f>G$509</f>
        <v>0</v>
      </c>
      <c r="H537" s="39">
        <f>H$509</f>
        <v>0</v>
      </c>
      <c r="I537" s="39">
        <f>I$509</f>
        <v>0</v>
      </c>
      <c r="K537" s="39">
        <f>K$509</f>
        <v>0</v>
      </c>
      <c r="L537" s="39">
        <f>L$509</f>
        <v>0</v>
      </c>
      <c r="M537" s="39">
        <f>M$509</f>
        <v>0</v>
      </c>
      <c r="O537" s="39">
        <f>O$509</f>
        <v>0</v>
      </c>
      <c r="P537" s="39">
        <f>P$509</f>
        <v>0</v>
      </c>
      <c r="Q537" s="39">
        <f>Q$509</f>
        <v>0</v>
      </c>
      <c r="S537" s="39">
        <f>S$509</f>
        <v>0</v>
      </c>
      <c r="T537" s="39">
        <f>T$509</f>
        <v>0</v>
      </c>
      <c r="U537" s="39">
        <f>U$509</f>
        <v>0</v>
      </c>
      <c r="W537" s="39">
        <f>W$509</f>
        <v>0</v>
      </c>
      <c r="X537" s="39">
        <f>X$509</f>
        <v>0</v>
      </c>
      <c r="Y537" s="39">
        <f>Y$509</f>
        <v>0</v>
      </c>
      <c r="AA537" s="39">
        <f>AA$509</f>
        <v>0</v>
      </c>
      <c r="AB537" s="39">
        <f>AB$509</f>
        <v>0</v>
      </c>
      <c r="AC537" s="39">
        <f>AC$509</f>
        <v>0</v>
      </c>
      <c r="AE537" s="39">
        <f>AE$509</f>
        <v>0</v>
      </c>
      <c r="AF537" s="39">
        <f>AF$509</f>
        <v>0</v>
      </c>
      <c r="AG537" s="39">
        <f>AG$509</f>
        <v>0</v>
      </c>
      <c r="AI537" s="39">
        <f>AI$509</f>
        <v>0</v>
      </c>
      <c r="AJ537" s="39">
        <f>AJ$509</f>
        <v>0</v>
      </c>
      <c r="AK537" s="39">
        <f>AK$509</f>
        <v>0</v>
      </c>
      <c r="AL537" s="17"/>
    </row>
    <row r="538" spans="1:38">
      <c r="A538" s="4" t="s">
        <v>178</v>
      </c>
      <c r="C538" s="39">
        <f>C$519</f>
        <v>0</v>
      </c>
      <c r="D538" s="39">
        <f>D$519</f>
        <v>0</v>
      </c>
      <c r="E538" s="39">
        <f>E$519</f>
        <v>0</v>
      </c>
      <c r="G538" s="39">
        <f>G$519</f>
        <v>0</v>
      </c>
      <c r="H538" s="39">
        <f>H$519</f>
        <v>0</v>
      </c>
      <c r="I538" s="39">
        <f>I$519</f>
        <v>0</v>
      </c>
      <c r="K538" s="39">
        <f>K$519</f>
        <v>0</v>
      </c>
      <c r="L538" s="39">
        <f>L$519</f>
        <v>0</v>
      </c>
      <c r="M538" s="39">
        <f>M$519</f>
        <v>0</v>
      </c>
      <c r="O538" s="39">
        <f>O$519</f>
        <v>0</v>
      </c>
      <c r="P538" s="39">
        <f>P$519</f>
        <v>0</v>
      </c>
      <c r="Q538" s="39">
        <f>Q$519</f>
        <v>0</v>
      </c>
      <c r="S538" s="39">
        <f>S$519</f>
        <v>0</v>
      </c>
      <c r="T538" s="39">
        <f>T$519</f>
        <v>0</v>
      </c>
      <c r="U538" s="39">
        <f>U$519</f>
        <v>0</v>
      </c>
      <c r="W538" s="39">
        <f>W$519</f>
        <v>0</v>
      </c>
      <c r="X538" s="39">
        <f>X$519</f>
        <v>0</v>
      </c>
      <c r="Y538" s="39">
        <f>Y$519</f>
        <v>0</v>
      </c>
      <c r="AA538" s="39">
        <f>AA$519</f>
        <v>0</v>
      </c>
      <c r="AB538" s="39">
        <f>AB$519</f>
        <v>0</v>
      </c>
      <c r="AC538" s="39">
        <f>AC$519</f>
        <v>0</v>
      </c>
      <c r="AE538" s="39">
        <f>AE$519</f>
        <v>0</v>
      </c>
      <c r="AF538" s="39">
        <f>AF$519</f>
        <v>0</v>
      </c>
      <c r="AG538" s="39">
        <f>AG$519</f>
        <v>0</v>
      </c>
      <c r="AI538" s="39">
        <f>AI$519</f>
        <v>0</v>
      </c>
      <c r="AJ538" s="39">
        <f>AJ$519</f>
        <v>0</v>
      </c>
      <c r="AK538" s="39">
        <f>AK$519</f>
        <v>0</v>
      </c>
      <c r="AL538" s="17"/>
    </row>
    <row r="539" spans="1:38">
      <c r="A539" s="4" t="s">
        <v>179</v>
      </c>
      <c r="C539" s="39">
        <f>C$520</f>
        <v>0</v>
      </c>
      <c r="D539" s="39">
        <f>D$520</f>
        <v>0</v>
      </c>
      <c r="E539" s="39">
        <f>E$520</f>
        <v>0</v>
      </c>
      <c r="G539" s="39">
        <f>G$520</f>
        <v>0</v>
      </c>
      <c r="H539" s="39">
        <f>H$520</f>
        <v>0</v>
      </c>
      <c r="I539" s="39">
        <f>I$520</f>
        <v>0</v>
      </c>
      <c r="K539" s="39">
        <f>K$520</f>
        <v>0</v>
      </c>
      <c r="L539" s="39">
        <f>L$520</f>
        <v>0</v>
      </c>
      <c r="M539" s="39">
        <f>M$520</f>
        <v>0</v>
      </c>
      <c r="O539" s="39">
        <f>O$520</f>
        <v>0</v>
      </c>
      <c r="P539" s="39">
        <f>P$520</f>
        <v>0</v>
      </c>
      <c r="Q539" s="39">
        <f>Q$520</f>
        <v>0</v>
      </c>
      <c r="S539" s="39">
        <f>S$520</f>
        <v>0</v>
      </c>
      <c r="T539" s="39">
        <f>T$520</f>
        <v>0</v>
      </c>
      <c r="U539" s="39">
        <f>U$520</f>
        <v>0</v>
      </c>
      <c r="W539" s="39">
        <f>W$520</f>
        <v>0</v>
      </c>
      <c r="X539" s="39">
        <f>X$520</f>
        <v>0</v>
      </c>
      <c r="Y539" s="39">
        <f>Y$520</f>
        <v>0</v>
      </c>
      <c r="AA539" s="39">
        <f>AA$520</f>
        <v>0</v>
      </c>
      <c r="AB539" s="39">
        <f>AB$520</f>
        <v>0</v>
      </c>
      <c r="AC539" s="39">
        <f>AC$520</f>
        <v>0</v>
      </c>
      <c r="AE539" s="39">
        <f>AE$520</f>
        <v>0</v>
      </c>
      <c r="AF539" s="39">
        <f>AF$520</f>
        <v>0</v>
      </c>
      <c r="AG539" s="39">
        <f>AG$520</f>
        <v>0</v>
      </c>
      <c r="AI539" s="39">
        <f>AI$520</f>
        <v>0</v>
      </c>
      <c r="AJ539" s="39">
        <f>AJ$520</f>
        <v>0</v>
      </c>
      <c r="AK539" s="39">
        <f>AK$520</f>
        <v>0</v>
      </c>
      <c r="AL539" s="17"/>
    </row>
    <row r="540" spans="1:38">
      <c r="A540" s="4" t="s">
        <v>180</v>
      </c>
      <c r="C540" s="39">
        <f>C261</f>
        <v>0</v>
      </c>
      <c r="D540" s="39">
        <f>D261</f>
        <v>0</v>
      </c>
      <c r="E540" s="39">
        <f>E261</f>
        <v>0</v>
      </c>
      <c r="G540" s="39">
        <f>G261</f>
        <v>0</v>
      </c>
      <c r="H540" s="39">
        <f>H261</f>
        <v>0</v>
      </c>
      <c r="I540" s="39">
        <f>I261</f>
        <v>0</v>
      </c>
      <c r="K540" s="39">
        <f>K261</f>
        <v>0</v>
      </c>
      <c r="L540" s="39">
        <f>L261</f>
        <v>0</v>
      </c>
      <c r="M540" s="39">
        <f>M261</f>
        <v>0</v>
      </c>
      <c r="O540" s="39">
        <f>O261</f>
        <v>0</v>
      </c>
      <c r="P540" s="39">
        <f>P261</f>
        <v>0</v>
      </c>
      <c r="Q540" s="39">
        <f>Q261</f>
        <v>0</v>
      </c>
      <c r="S540" s="39">
        <f>S261</f>
        <v>0</v>
      </c>
      <c r="T540" s="39">
        <f>T261</f>
        <v>0</v>
      </c>
      <c r="U540" s="39">
        <f>U261</f>
        <v>0</v>
      </c>
      <c r="W540" s="39">
        <f>W261</f>
        <v>0</v>
      </c>
      <c r="X540" s="39">
        <f>X261</f>
        <v>0</v>
      </c>
      <c r="Y540" s="39">
        <f>Y261</f>
        <v>0</v>
      </c>
      <c r="AA540" s="39">
        <f>AA261</f>
        <v>0</v>
      </c>
      <c r="AB540" s="39">
        <f>AB261</f>
        <v>0</v>
      </c>
      <c r="AC540" s="39">
        <f>AC261</f>
        <v>0</v>
      </c>
      <c r="AE540" s="39">
        <f>AE261</f>
        <v>0</v>
      </c>
      <c r="AF540" s="39">
        <f>AF261</f>
        <v>0</v>
      </c>
      <c r="AG540" s="39">
        <f>AG261</f>
        <v>0</v>
      </c>
      <c r="AI540" s="39">
        <f>AI261</f>
        <v>0</v>
      </c>
      <c r="AJ540" s="39">
        <f>AJ261</f>
        <v>0</v>
      </c>
      <c r="AK540" s="39">
        <f>AK261</f>
        <v>0</v>
      </c>
      <c r="AL540" s="17"/>
    </row>
    <row r="541" spans="1:38">
      <c r="A541" s="4" t="s">
        <v>181</v>
      </c>
      <c r="C541" s="39">
        <f>C262</f>
        <v>0</v>
      </c>
      <c r="D541" s="39">
        <f>D262</f>
        <v>0</v>
      </c>
      <c r="E541" s="39">
        <f>E262</f>
        <v>0</v>
      </c>
      <c r="G541" s="39">
        <f>G262</f>
        <v>0</v>
      </c>
      <c r="H541" s="39">
        <f>H262</f>
        <v>0</v>
      </c>
      <c r="I541" s="39">
        <f>I262</f>
        <v>0</v>
      </c>
      <c r="K541" s="39">
        <f>K262</f>
        <v>0</v>
      </c>
      <c r="L541" s="39">
        <f>L262</f>
        <v>0</v>
      </c>
      <c r="M541" s="39">
        <f>M262</f>
        <v>0</v>
      </c>
      <c r="O541" s="39">
        <f>O262</f>
        <v>0</v>
      </c>
      <c r="P541" s="39">
        <f>P262</f>
        <v>0</v>
      </c>
      <c r="Q541" s="39">
        <f>Q262</f>
        <v>0</v>
      </c>
      <c r="S541" s="39">
        <f>S262</f>
        <v>0</v>
      </c>
      <c r="T541" s="39">
        <f>T262</f>
        <v>0</v>
      </c>
      <c r="U541" s="39">
        <f>U262</f>
        <v>0</v>
      </c>
      <c r="W541" s="39">
        <f>W262</f>
        <v>0</v>
      </c>
      <c r="X541" s="39">
        <f>X262</f>
        <v>0</v>
      </c>
      <c r="Y541" s="39">
        <f>Y262</f>
        <v>0</v>
      </c>
      <c r="AA541" s="39">
        <f>AA262</f>
        <v>0</v>
      </c>
      <c r="AB541" s="39">
        <f>AB262</f>
        <v>0</v>
      </c>
      <c r="AC541" s="39">
        <f>AC262</f>
        <v>0</v>
      </c>
      <c r="AE541" s="39">
        <f>AE262</f>
        <v>0</v>
      </c>
      <c r="AF541" s="39">
        <f>AF262</f>
        <v>0</v>
      </c>
      <c r="AG541" s="39">
        <f>AG262</f>
        <v>0</v>
      </c>
      <c r="AI541" s="39">
        <f>AI262</f>
        <v>0</v>
      </c>
      <c r="AJ541" s="39">
        <f>AJ262</f>
        <v>0</v>
      </c>
      <c r="AK541" s="39">
        <f>AK262</f>
        <v>0</v>
      </c>
      <c r="AL541" s="17"/>
    </row>
    <row r="542" spans="1:38">
      <c r="A542" s="4" t="s">
        <v>193</v>
      </c>
      <c r="C542" s="39">
        <f>C263</f>
        <v>0</v>
      </c>
      <c r="D542" s="39">
        <f>D263</f>
        <v>0</v>
      </c>
      <c r="E542" s="39">
        <f>E263</f>
        <v>0</v>
      </c>
      <c r="G542" s="39">
        <f>G263</f>
        <v>0</v>
      </c>
      <c r="H542" s="39">
        <f>H263</f>
        <v>0</v>
      </c>
      <c r="I542" s="39">
        <f>I263</f>
        <v>0</v>
      </c>
      <c r="K542" s="39">
        <f>K263</f>
        <v>0</v>
      </c>
      <c r="L542" s="39">
        <f>L263</f>
        <v>0</v>
      </c>
      <c r="M542" s="39">
        <f>M263</f>
        <v>0</v>
      </c>
      <c r="O542" s="39">
        <f>O263</f>
        <v>0</v>
      </c>
      <c r="P542" s="39">
        <f>P263</f>
        <v>0</v>
      </c>
      <c r="Q542" s="39">
        <f>Q263</f>
        <v>0</v>
      </c>
      <c r="S542" s="39">
        <f>S263</f>
        <v>0</v>
      </c>
      <c r="T542" s="39">
        <f>T263</f>
        <v>0</v>
      </c>
      <c r="U542" s="39">
        <f>U263</f>
        <v>0</v>
      </c>
      <c r="W542" s="39">
        <f>W263</f>
        <v>0</v>
      </c>
      <c r="X542" s="39">
        <f>X263</f>
        <v>0</v>
      </c>
      <c r="Y542" s="39">
        <f>Y263</f>
        <v>0</v>
      </c>
      <c r="AA542" s="39">
        <f>AA263</f>
        <v>0</v>
      </c>
      <c r="AB542" s="39">
        <f>AB263</f>
        <v>0</v>
      </c>
      <c r="AC542" s="39">
        <f>AC263</f>
        <v>0</v>
      </c>
      <c r="AE542" s="39">
        <f>AE263</f>
        <v>0</v>
      </c>
      <c r="AF542" s="39">
        <f>AF263</f>
        <v>0</v>
      </c>
      <c r="AG542" s="39">
        <f>AG263</f>
        <v>0</v>
      </c>
      <c r="AI542" s="39">
        <f>AI263</f>
        <v>0</v>
      </c>
      <c r="AJ542" s="39">
        <f>AJ263</f>
        <v>0</v>
      </c>
      <c r="AK542" s="39">
        <f>AK263</f>
        <v>0</v>
      </c>
      <c r="AL542" s="17"/>
    </row>
    <row r="543" spans="1:38">
      <c r="A543" s="4" t="s">
        <v>185</v>
      </c>
      <c r="C543" s="39">
        <f>C264</f>
        <v>0</v>
      </c>
      <c r="D543" s="39">
        <f>D264</f>
        <v>0</v>
      </c>
      <c r="E543" s="39">
        <f>E264</f>
        <v>0</v>
      </c>
      <c r="G543" s="39">
        <f>G264</f>
        <v>0</v>
      </c>
      <c r="H543" s="39">
        <f>H264</f>
        <v>0</v>
      </c>
      <c r="I543" s="39">
        <f>I264</f>
        <v>0</v>
      </c>
      <c r="K543" s="39">
        <f>K264</f>
        <v>0</v>
      </c>
      <c r="L543" s="39">
        <f>L264</f>
        <v>0</v>
      </c>
      <c r="M543" s="39">
        <f>M264</f>
        <v>0</v>
      </c>
      <c r="O543" s="39">
        <f>O264</f>
        <v>0</v>
      </c>
      <c r="P543" s="39">
        <f>P264</f>
        <v>0</v>
      </c>
      <c r="Q543" s="39">
        <f>Q264</f>
        <v>0</v>
      </c>
      <c r="S543" s="39">
        <f>S264</f>
        <v>0</v>
      </c>
      <c r="T543" s="39">
        <f>T264</f>
        <v>0</v>
      </c>
      <c r="U543" s="39">
        <f>U264</f>
        <v>0</v>
      </c>
      <c r="W543" s="39">
        <f>W264</f>
        <v>0</v>
      </c>
      <c r="X543" s="39">
        <f>X264</f>
        <v>0</v>
      </c>
      <c r="Y543" s="39">
        <f>Y264</f>
        <v>0</v>
      </c>
      <c r="AA543" s="39">
        <f>AA264</f>
        <v>0</v>
      </c>
      <c r="AB543" s="39">
        <f>AB264</f>
        <v>0</v>
      </c>
      <c r="AC543" s="39">
        <f>AC264</f>
        <v>0</v>
      </c>
      <c r="AE543" s="39">
        <f>AE264</f>
        <v>0</v>
      </c>
      <c r="AF543" s="39">
        <f>AF264</f>
        <v>0</v>
      </c>
      <c r="AG543" s="39">
        <f>AG264</f>
        <v>0</v>
      </c>
      <c r="AI543" s="39">
        <f>AI264</f>
        <v>0</v>
      </c>
      <c r="AJ543" s="39">
        <f>AJ264</f>
        <v>0</v>
      </c>
      <c r="AK543" s="39">
        <f>AK264</f>
        <v>0</v>
      </c>
      <c r="AL543" s="17"/>
    </row>
    <row r="544" spans="1:38">
      <c r="A544" s="4" t="s">
        <v>187</v>
      </c>
      <c r="C544" s="39">
        <f>C265</f>
        <v>0</v>
      </c>
      <c r="D544" s="39">
        <f>D265</f>
        <v>0</v>
      </c>
      <c r="E544" s="39">
        <f>E265</f>
        <v>0</v>
      </c>
      <c r="G544" s="39">
        <f>G265</f>
        <v>0</v>
      </c>
      <c r="H544" s="39">
        <f>H265</f>
        <v>0</v>
      </c>
      <c r="I544" s="39">
        <f>I265</f>
        <v>0</v>
      </c>
      <c r="K544" s="39">
        <f>K265</f>
        <v>0</v>
      </c>
      <c r="L544" s="39">
        <f>L265</f>
        <v>0</v>
      </c>
      <c r="M544" s="39">
        <f>M265</f>
        <v>0</v>
      </c>
      <c r="O544" s="39">
        <f>O265</f>
        <v>0</v>
      </c>
      <c r="P544" s="39">
        <f>P265</f>
        <v>0</v>
      </c>
      <c r="Q544" s="39">
        <f>Q265</f>
        <v>0</v>
      </c>
      <c r="S544" s="39">
        <f>S265</f>
        <v>0</v>
      </c>
      <c r="T544" s="39">
        <f>T265</f>
        <v>0</v>
      </c>
      <c r="U544" s="39">
        <f>U265</f>
        <v>0</v>
      </c>
      <c r="W544" s="39">
        <f>W265</f>
        <v>0</v>
      </c>
      <c r="X544" s="39">
        <f>X265</f>
        <v>0</v>
      </c>
      <c r="Y544" s="39">
        <f>Y265</f>
        <v>0</v>
      </c>
      <c r="AA544" s="39">
        <f>AA265</f>
        <v>0</v>
      </c>
      <c r="AB544" s="39">
        <f>AB265</f>
        <v>0</v>
      </c>
      <c r="AC544" s="39">
        <f>AC265</f>
        <v>0</v>
      </c>
      <c r="AE544" s="39">
        <f>AE265</f>
        <v>0</v>
      </c>
      <c r="AF544" s="39">
        <f>AF265</f>
        <v>0</v>
      </c>
      <c r="AG544" s="39">
        <f>AG265</f>
        <v>0</v>
      </c>
      <c r="AI544" s="39">
        <f>AI265</f>
        <v>0</v>
      </c>
      <c r="AJ544" s="39">
        <f>AJ265</f>
        <v>0</v>
      </c>
      <c r="AK544" s="39">
        <f>AK265</f>
        <v>0</v>
      </c>
      <c r="AL544" s="17"/>
    </row>
    <row r="545" spans="1:38">
      <c r="A545" s="4" t="s">
        <v>195</v>
      </c>
      <c r="C545" s="39">
        <f>C266</f>
        <v>0</v>
      </c>
      <c r="D545" s="39">
        <f>D266</f>
        <v>0</v>
      </c>
      <c r="E545" s="39">
        <f>E266</f>
        <v>0</v>
      </c>
      <c r="G545" s="39">
        <f>G266</f>
        <v>0</v>
      </c>
      <c r="H545" s="39">
        <f>H266</f>
        <v>0</v>
      </c>
      <c r="I545" s="39">
        <f>I266</f>
        <v>0</v>
      </c>
      <c r="K545" s="39">
        <f>K266</f>
        <v>0</v>
      </c>
      <c r="L545" s="39">
        <f>L266</f>
        <v>0</v>
      </c>
      <c r="M545" s="39">
        <f>M266</f>
        <v>0</v>
      </c>
      <c r="O545" s="39">
        <f>O266</f>
        <v>0</v>
      </c>
      <c r="P545" s="39">
        <f>P266</f>
        <v>0</v>
      </c>
      <c r="Q545" s="39">
        <f>Q266</f>
        <v>0</v>
      </c>
      <c r="S545" s="39">
        <f>S266</f>
        <v>0</v>
      </c>
      <c r="T545" s="39">
        <f>T266</f>
        <v>0</v>
      </c>
      <c r="U545" s="39">
        <f>U266</f>
        <v>0</v>
      </c>
      <c r="W545" s="39">
        <f>W266</f>
        <v>0</v>
      </c>
      <c r="X545" s="39">
        <f>X266</f>
        <v>0</v>
      </c>
      <c r="Y545" s="39">
        <f>Y266</f>
        <v>0</v>
      </c>
      <c r="AA545" s="39">
        <f>AA266</f>
        <v>0</v>
      </c>
      <c r="AB545" s="39">
        <f>AB266</f>
        <v>0</v>
      </c>
      <c r="AC545" s="39">
        <f>AC266</f>
        <v>0</v>
      </c>
      <c r="AE545" s="39">
        <f>AE266</f>
        <v>0</v>
      </c>
      <c r="AF545" s="39">
        <f>AF266</f>
        <v>0</v>
      </c>
      <c r="AG545" s="39">
        <f>AG266</f>
        <v>0</v>
      </c>
      <c r="AI545" s="39">
        <f>AI266</f>
        <v>0</v>
      </c>
      <c r="AJ545" s="39">
        <f>AJ266</f>
        <v>0</v>
      </c>
      <c r="AK545" s="39">
        <f>AK266</f>
        <v>0</v>
      </c>
      <c r="AL545" s="17"/>
    </row>
    <row r="547" spans="1:38" ht="21" customHeight="1">
      <c r="A547" s="1" t="s">
        <v>701</v>
      </c>
    </row>
    <row r="548" spans="1:38">
      <c r="A548" s="2" t="s">
        <v>351</v>
      </c>
    </row>
    <row r="549" spans="1:38">
      <c r="A549" s="33" t="s">
        <v>702</v>
      </c>
    </row>
    <row r="550" spans="1:38">
      <c r="A550" s="33" t="s">
        <v>703</v>
      </c>
    </row>
    <row r="551" spans="1:38">
      <c r="A551" s="2" t="s">
        <v>364</v>
      </c>
    </row>
    <row r="553" spans="1:38">
      <c r="B553" s="15" t="s">
        <v>142</v>
      </c>
      <c r="C553" s="15" t="s">
        <v>143</v>
      </c>
      <c r="D553" s="15" t="s">
        <v>144</v>
      </c>
      <c r="E553" s="15" t="s">
        <v>145</v>
      </c>
      <c r="F553" s="15" t="s">
        <v>146</v>
      </c>
      <c r="G553" s="15" t="s">
        <v>151</v>
      </c>
      <c r="H553" s="15" t="s">
        <v>147</v>
      </c>
      <c r="I553" s="15" t="s">
        <v>148</v>
      </c>
      <c r="J553" s="15" t="s">
        <v>149</v>
      </c>
    </row>
    <row r="554" spans="1:38">
      <c r="A554" s="4" t="s">
        <v>174</v>
      </c>
      <c r="B554" s="38">
        <f>SUMPRODUCT($C532:$E532,$B40:$D40)</f>
        <v>0</v>
      </c>
      <c r="C554" s="38">
        <f>SUMPRODUCT($G532:$I532,$B40:$D40)</f>
        <v>0</v>
      </c>
      <c r="D554" s="38">
        <f>SUMPRODUCT($K532:$M532,$B40:$D40)</f>
        <v>0</v>
      </c>
      <c r="E554" s="38">
        <f>SUMPRODUCT($O532:$Q532,$B40:$D40)</f>
        <v>0</v>
      </c>
      <c r="F554" s="38">
        <f>SUMPRODUCT($S532:$U532,$B40:$D40)</f>
        <v>0</v>
      </c>
      <c r="G554" s="38">
        <f>SUMPRODUCT($W532:$Y532,$B40:$D40)</f>
        <v>0</v>
      </c>
      <c r="H554" s="38">
        <f>SUMPRODUCT($AA532:$AC532,$B40:$D40)</f>
        <v>0</v>
      </c>
      <c r="I554" s="38">
        <f>SUMPRODUCT($AE532:$AG532,$B40:$D40)</f>
        <v>0</v>
      </c>
      <c r="J554" s="38">
        <f>SUMPRODUCT($AI532:$AK532,$B40:$D40)</f>
        <v>0</v>
      </c>
      <c r="K554" s="17"/>
    </row>
    <row r="555" spans="1:38">
      <c r="A555" s="4" t="s">
        <v>175</v>
      </c>
      <c r="B555" s="38">
        <f>SUMPRODUCT($C533:$E533,$B41:$D41)</f>
        <v>0</v>
      </c>
      <c r="C555" s="38">
        <f>SUMPRODUCT($G533:$I533,$B41:$D41)</f>
        <v>0</v>
      </c>
      <c r="D555" s="38">
        <f>SUMPRODUCT($K533:$M533,$B41:$D41)</f>
        <v>0</v>
      </c>
      <c r="E555" s="38">
        <f>SUMPRODUCT($O533:$Q533,$B41:$D41)</f>
        <v>0</v>
      </c>
      <c r="F555" s="38">
        <f>SUMPRODUCT($S533:$U533,$B41:$D41)</f>
        <v>0</v>
      </c>
      <c r="G555" s="38">
        <f>SUMPRODUCT($W533:$Y533,$B41:$D41)</f>
        <v>0</v>
      </c>
      <c r="H555" s="38">
        <f>SUMPRODUCT($AA533:$AC533,$B41:$D41)</f>
        <v>0</v>
      </c>
      <c r="I555" s="38">
        <f>SUMPRODUCT($AE533:$AG533,$B41:$D41)</f>
        <v>0</v>
      </c>
      <c r="J555" s="38">
        <f>SUMPRODUCT($AI533:$AK533,$B41:$D41)</f>
        <v>0</v>
      </c>
      <c r="K555" s="17"/>
    </row>
    <row r="556" spans="1:38">
      <c r="A556" s="4" t="s">
        <v>211</v>
      </c>
      <c r="B556" s="38">
        <f>SUMPRODUCT($C534:$E534,$B42:$D42)</f>
        <v>0</v>
      </c>
      <c r="C556" s="38">
        <f>SUMPRODUCT($G534:$I534,$B42:$D42)</f>
        <v>0</v>
      </c>
      <c r="D556" s="38">
        <f>SUMPRODUCT($K534:$M534,$B42:$D42)</f>
        <v>0</v>
      </c>
      <c r="E556" s="38">
        <f>SUMPRODUCT($O534:$Q534,$B42:$D42)</f>
        <v>0</v>
      </c>
      <c r="F556" s="38">
        <f>SUMPRODUCT($S534:$U534,$B42:$D42)</f>
        <v>0</v>
      </c>
      <c r="G556" s="38">
        <f>SUMPRODUCT($W534:$Y534,$B42:$D42)</f>
        <v>0</v>
      </c>
      <c r="H556" s="38">
        <f>SUMPRODUCT($AA534:$AC534,$B42:$D42)</f>
        <v>0</v>
      </c>
      <c r="I556" s="38">
        <f>SUMPRODUCT($AE534:$AG534,$B42:$D42)</f>
        <v>0</v>
      </c>
      <c r="J556" s="38">
        <f>SUMPRODUCT($AI534:$AK534,$B42:$D42)</f>
        <v>0</v>
      </c>
      <c r="K556" s="17"/>
    </row>
    <row r="557" spans="1:38">
      <c r="A557" s="4" t="s">
        <v>176</v>
      </c>
      <c r="B557" s="38">
        <f>SUMPRODUCT($C535:$E535,$B43:$D43)</f>
        <v>0</v>
      </c>
      <c r="C557" s="38">
        <f>SUMPRODUCT($G535:$I535,$B43:$D43)</f>
        <v>0</v>
      </c>
      <c r="D557" s="38">
        <f>SUMPRODUCT($K535:$M535,$B43:$D43)</f>
        <v>0</v>
      </c>
      <c r="E557" s="38">
        <f>SUMPRODUCT($O535:$Q535,$B43:$D43)</f>
        <v>0</v>
      </c>
      <c r="F557" s="38">
        <f>SUMPRODUCT($S535:$U535,$B43:$D43)</f>
        <v>0</v>
      </c>
      <c r="G557" s="38">
        <f>SUMPRODUCT($W535:$Y535,$B43:$D43)</f>
        <v>0</v>
      </c>
      <c r="H557" s="38">
        <f>SUMPRODUCT($AA535:$AC535,$B43:$D43)</f>
        <v>0</v>
      </c>
      <c r="I557" s="38">
        <f>SUMPRODUCT($AE535:$AG535,$B43:$D43)</f>
        <v>0</v>
      </c>
      <c r="J557" s="38">
        <f>SUMPRODUCT($AI535:$AK535,$B43:$D43)</f>
        <v>0</v>
      </c>
      <c r="K557" s="17"/>
    </row>
    <row r="558" spans="1:38">
      <c r="A558" s="4" t="s">
        <v>177</v>
      </c>
      <c r="B558" s="38">
        <f>SUMPRODUCT($C536:$E536,$B44:$D44)</f>
        <v>0</v>
      </c>
      <c r="C558" s="38">
        <f>SUMPRODUCT($G536:$I536,$B44:$D44)</f>
        <v>0</v>
      </c>
      <c r="D558" s="38">
        <f>SUMPRODUCT($K536:$M536,$B44:$D44)</f>
        <v>0</v>
      </c>
      <c r="E558" s="38">
        <f>SUMPRODUCT($O536:$Q536,$B44:$D44)</f>
        <v>0</v>
      </c>
      <c r="F558" s="38">
        <f>SUMPRODUCT($S536:$U536,$B44:$D44)</f>
        <v>0</v>
      </c>
      <c r="G558" s="38">
        <f>SUMPRODUCT($W536:$Y536,$B44:$D44)</f>
        <v>0</v>
      </c>
      <c r="H558" s="38">
        <f>SUMPRODUCT($AA536:$AC536,$B44:$D44)</f>
        <v>0</v>
      </c>
      <c r="I558" s="38">
        <f>SUMPRODUCT($AE536:$AG536,$B44:$D44)</f>
        <v>0</v>
      </c>
      <c r="J558" s="38">
        <f>SUMPRODUCT($AI536:$AK536,$B44:$D44)</f>
        <v>0</v>
      </c>
      <c r="K558" s="17"/>
    </row>
    <row r="559" spans="1:38">
      <c r="A559" s="4" t="s">
        <v>212</v>
      </c>
      <c r="B559" s="38">
        <f>SUMPRODUCT($C537:$E537,$B45:$D45)</f>
        <v>0</v>
      </c>
      <c r="C559" s="38">
        <f>SUMPRODUCT($G537:$I537,$B45:$D45)</f>
        <v>0</v>
      </c>
      <c r="D559" s="38">
        <f>SUMPRODUCT($K537:$M537,$B45:$D45)</f>
        <v>0</v>
      </c>
      <c r="E559" s="38">
        <f>SUMPRODUCT($O537:$Q537,$B45:$D45)</f>
        <v>0</v>
      </c>
      <c r="F559" s="38">
        <f>SUMPRODUCT($S537:$U537,$B45:$D45)</f>
        <v>0</v>
      </c>
      <c r="G559" s="38">
        <f>SUMPRODUCT($W537:$Y537,$B45:$D45)</f>
        <v>0</v>
      </c>
      <c r="H559" s="38">
        <f>SUMPRODUCT($AA537:$AC537,$B45:$D45)</f>
        <v>0</v>
      </c>
      <c r="I559" s="38">
        <f>SUMPRODUCT($AE537:$AG537,$B45:$D45)</f>
        <v>0</v>
      </c>
      <c r="J559" s="38">
        <f>SUMPRODUCT($AI537:$AK537,$B45:$D45)</f>
        <v>0</v>
      </c>
      <c r="K559" s="17"/>
    </row>
    <row r="560" spans="1:38">
      <c r="A560" s="4" t="s">
        <v>178</v>
      </c>
      <c r="B560" s="38">
        <f>SUMPRODUCT($C538:$E538,$B46:$D46)</f>
        <v>0</v>
      </c>
      <c r="C560" s="38">
        <f>SUMPRODUCT($G538:$I538,$B46:$D46)</f>
        <v>0</v>
      </c>
      <c r="D560" s="38">
        <f>SUMPRODUCT($K538:$M538,$B46:$D46)</f>
        <v>0</v>
      </c>
      <c r="E560" s="38">
        <f>SUMPRODUCT($O538:$Q538,$B46:$D46)</f>
        <v>0</v>
      </c>
      <c r="F560" s="38">
        <f>SUMPRODUCT($S538:$U538,$B46:$D46)</f>
        <v>0</v>
      </c>
      <c r="G560" s="38">
        <f>SUMPRODUCT($W538:$Y538,$B46:$D46)</f>
        <v>0</v>
      </c>
      <c r="H560" s="38">
        <f>SUMPRODUCT($AA538:$AC538,$B46:$D46)</f>
        <v>0</v>
      </c>
      <c r="I560" s="38">
        <f>SUMPRODUCT($AE538:$AG538,$B46:$D46)</f>
        <v>0</v>
      </c>
      <c r="J560" s="38">
        <f>SUMPRODUCT($AI538:$AK538,$B46:$D46)</f>
        <v>0</v>
      </c>
      <c r="K560" s="17"/>
    </row>
    <row r="561" spans="1:11">
      <c r="A561" s="4" t="s">
        <v>179</v>
      </c>
      <c r="B561" s="38">
        <f>SUMPRODUCT($C539:$E539,$B47:$D47)</f>
        <v>0</v>
      </c>
      <c r="C561" s="38">
        <f>SUMPRODUCT($G539:$I539,$B47:$D47)</f>
        <v>0</v>
      </c>
      <c r="D561" s="38">
        <f>SUMPRODUCT($K539:$M539,$B47:$D47)</f>
        <v>0</v>
      </c>
      <c r="E561" s="38">
        <f>SUMPRODUCT($O539:$Q539,$B47:$D47)</f>
        <v>0</v>
      </c>
      <c r="F561" s="38">
        <f>SUMPRODUCT($S539:$U539,$B47:$D47)</f>
        <v>0</v>
      </c>
      <c r="G561" s="38">
        <f>SUMPRODUCT($W539:$Y539,$B47:$D47)</f>
        <v>0</v>
      </c>
      <c r="H561" s="38">
        <f>SUMPRODUCT($AA539:$AC539,$B47:$D47)</f>
        <v>0</v>
      </c>
      <c r="I561" s="38">
        <f>SUMPRODUCT($AE539:$AG539,$B47:$D47)</f>
        <v>0</v>
      </c>
      <c r="J561" s="38">
        <f>SUMPRODUCT($AI539:$AK539,$B47:$D47)</f>
        <v>0</v>
      </c>
      <c r="K561" s="17"/>
    </row>
    <row r="562" spans="1:11">
      <c r="A562" s="4" t="s">
        <v>180</v>
      </c>
      <c r="B562" s="38">
        <f>SUMPRODUCT($C540:$E540,$B48:$D48)</f>
        <v>0</v>
      </c>
      <c r="C562" s="38">
        <f>SUMPRODUCT($G540:$I540,$B48:$D48)</f>
        <v>0</v>
      </c>
      <c r="D562" s="38">
        <f>SUMPRODUCT($K540:$M540,$B48:$D48)</f>
        <v>0</v>
      </c>
      <c r="E562" s="38">
        <f>SUMPRODUCT($O540:$Q540,$B48:$D48)</f>
        <v>0</v>
      </c>
      <c r="F562" s="38">
        <f>SUMPRODUCT($S540:$U540,$B48:$D48)</f>
        <v>0</v>
      </c>
      <c r="G562" s="38">
        <f>SUMPRODUCT($W540:$Y540,$B48:$D48)</f>
        <v>0</v>
      </c>
      <c r="H562" s="38">
        <f>SUMPRODUCT($AA540:$AC540,$B48:$D48)</f>
        <v>0</v>
      </c>
      <c r="I562" s="38">
        <f>SUMPRODUCT($AE540:$AG540,$B48:$D48)</f>
        <v>0</v>
      </c>
      <c r="J562" s="38">
        <f>SUMPRODUCT($AI540:$AK540,$B48:$D48)</f>
        <v>0</v>
      </c>
      <c r="K562" s="17"/>
    </row>
    <row r="563" spans="1:11">
      <c r="A563" s="4" t="s">
        <v>181</v>
      </c>
      <c r="B563" s="38">
        <f>SUMPRODUCT($C541:$E541,$B49:$D49)</f>
        <v>0</v>
      </c>
      <c r="C563" s="38">
        <f>SUMPRODUCT($G541:$I541,$B49:$D49)</f>
        <v>0</v>
      </c>
      <c r="D563" s="38">
        <f>SUMPRODUCT($K541:$M541,$B49:$D49)</f>
        <v>0</v>
      </c>
      <c r="E563" s="38">
        <f>SUMPRODUCT($O541:$Q541,$B49:$D49)</f>
        <v>0</v>
      </c>
      <c r="F563" s="38">
        <f>SUMPRODUCT($S541:$U541,$B49:$D49)</f>
        <v>0</v>
      </c>
      <c r="G563" s="38">
        <f>SUMPRODUCT($W541:$Y541,$B49:$D49)</f>
        <v>0</v>
      </c>
      <c r="H563" s="38">
        <f>SUMPRODUCT($AA541:$AC541,$B49:$D49)</f>
        <v>0</v>
      </c>
      <c r="I563" s="38">
        <f>SUMPRODUCT($AE541:$AG541,$B49:$D49)</f>
        <v>0</v>
      </c>
      <c r="J563" s="38">
        <f>SUMPRODUCT($AI541:$AK541,$B49:$D49)</f>
        <v>0</v>
      </c>
      <c r="K563" s="17"/>
    </row>
    <row r="564" spans="1:11">
      <c r="A564" s="4" t="s">
        <v>193</v>
      </c>
      <c r="B564" s="38">
        <f>SUMPRODUCT($C542:$E542,$B50:$D50)</f>
        <v>0</v>
      </c>
      <c r="C564" s="38">
        <f>SUMPRODUCT($G542:$I542,$B50:$D50)</f>
        <v>0</v>
      </c>
      <c r="D564" s="38">
        <f>SUMPRODUCT($K542:$M542,$B50:$D50)</f>
        <v>0</v>
      </c>
      <c r="E564" s="38">
        <f>SUMPRODUCT($O542:$Q542,$B50:$D50)</f>
        <v>0</v>
      </c>
      <c r="F564" s="38">
        <f>SUMPRODUCT($S542:$U542,$B50:$D50)</f>
        <v>0</v>
      </c>
      <c r="G564" s="38">
        <f>SUMPRODUCT($W542:$Y542,$B50:$D50)</f>
        <v>0</v>
      </c>
      <c r="H564" s="38">
        <f>SUMPRODUCT($AA542:$AC542,$B50:$D50)</f>
        <v>0</v>
      </c>
      <c r="I564" s="38">
        <f>SUMPRODUCT($AE542:$AG542,$B50:$D50)</f>
        <v>0</v>
      </c>
      <c r="J564" s="38">
        <f>SUMPRODUCT($AI542:$AK542,$B50:$D50)</f>
        <v>0</v>
      </c>
      <c r="K564" s="17"/>
    </row>
    <row r="565" spans="1:11">
      <c r="A565" s="4" t="s">
        <v>185</v>
      </c>
      <c r="B565" s="38">
        <f>SUMPRODUCT($C543:$E543,$B51:$D51)</f>
        <v>0</v>
      </c>
      <c r="C565" s="38">
        <f>SUMPRODUCT($G543:$I543,$B51:$D51)</f>
        <v>0</v>
      </c>
      <c r="D565" s="38">
        <f>SUMPRODUCT($K543:$M543,$B51:$D51)</f>
        <v>0</v>
      </c>
      <c r="E565" s="38">
        <f>SUMPRODUCT($O543:$Q543,$B51:$D51)</f>
        <v>0</v>
      </c>
      <c r="F565" s="38">
        <f>SUMPRODUCT($S543:$U543,$B51:$D51)</f>
        <v>0</v>
      </c>
      <c r="G565" s="38">
        <f>SUMPRODUCT($W543:$Y543,$B51:$D51)</f>
        <v>0</v>
      </c>
      <c r="H565" s="38">
        <f>SUMPRODUCT($AA543:$AC543,$B51:$D51)</f>
        <v>0</v>
      </c>
      <c r="I565" s="38">
        <f>SUMPRODUCT($AE543:$AG543,$B51:$D51)</f>
        <v>0</v>
      </c>
      <c r="J565" s="38">
        <f>SUMPRODUCT($AI543:$AK543,$B51:$D51)</f>
        <v>0</v>
      </c>
      <c r="K565" s="17"/>
    </row>
    <row r="566" spans="1:11">
      <c r="A566" s="4" t="s">
        <v>187</v>
      </c>
      <c r="B566" s="38">
        <f>SUMPRODUCT($C544:$E544,$B52:$D52)</f>
        <v>0</v>
      </c>
      <c r="C566" s="38">
        <f>SUMPRODUCT($G544:$I544,$B52:$D52)</f>
        <v>0</v>
      </c>
      <c r="D566" s="38">
        <f>SUMPRODUCT($K544:$M544,$B52:$D52)</f>
        <v>0</v>
      </c>
      <c r="E566" s="38">
        <f>SUMPRODUCT($O544:$Q544,$B52:$D52)</f>
        <v>0</v>
      </c>
      <c r="F566" s="38">
        <f>SUMPRODUCT($S544:$U544,$B52:$D52)</f>
        <v>0</v>
      </c>
      <c r="G566" s="38">
        <f>SUMPRODUCT($W544:$Y544,$B52:$D52)</f>
        <v>0</v>
      </c>
      <c r="H566" s="38">
        <f>SUMPRODUCT($AA544:$AC544,$B52:$D52)</f>
        <v>0</v>
      </c>
      <c r="I566" s="38">
        <f>SUMPRODUCT($AE544:$AG544,$B52:$D52)</f>
        <v>0</v>
      </c>
      <c r="J566" s="38">
        <f>SUMPRODUCT($AI544:$AK544,$B52:$D52)</f>
        <v>0</v>
      </c>
      <c r="K566" s="17"/>
    </row>
    <row r="567" spans="1:11">
      <c r="A567" s="4" t="s">
        <v>195</v>
      </c>
      <c r="B567" s="38">
        <f>SUMPRODUCT($C545:$E545,$B53:$D53)</f>
        <v>0</v>
      </c>
      <c r="C567" s="38">
        <f>SUMPRODUCT($G545:$I545,$B53:$D53)</f>
        <v>0</v>
      </c>
      <c r="D567" s="38">
        <f>SUMPRODUCT($K545:$M545,$B53:$D53)</f>
        <v>0</v>
      </c>
      <c r="E567" s="38">
        <f>SUMPRODUCT($O545:$Q545,$B53:$D53)</f>
        <v>0</v>
      </c>
      <c r="F567" s="38">
        <f>SUMPRODUCT($S545:$U545,$B53:$D53)</f>
        <v>0</v>
      </c>
      <c r="G567" s="38">
        <f>SUMPRODUCT($W545:$Y545,$B53:$D53)</f>
        <v>0</v>
      </c>
      <c r="H567" s="38">
        <f>SUMPRODUCT($AA545:$AC545,$B53:$D53)</f>
        <v>0</v>
      </c>
      <c r="I567" s="38">
        <f>SUMPRODUCT($AE545:$AG545,$B53:$D53)</f>
        <v>0</v>
      </c>
      <c r="J567" s="38">
        <f>SUMPRODUCT($AI545:$AK545,$B53:$D53)</f>
        <v>0</v>
      </c>
      <c r="K567" s="17"/>
    </row>
    <row r="569" spans="1:11" ht="21" customHeight="1">
      <c r="A569" s="1" t="s">
        <v>704</v>
      </c>
    </row>
    <row r="570" spans="1:11">
      <c r="A570" s="2" t="s">
        <v>351</v>
      </c>
    </row>
    <row r="571" spans="1:11">
      <c r="A571" s="33" t="s">
        <v>702</v>
      </c>
    </row>
    <row r="572" spans="1:11">
      <c r="A572" s="33" t="s">
        <v>705</v>
      </c>
    </row>
    <row r="573" spans="1:11">
      <c r="A573" s="2" t="s">
        <v>364</v>
      </c>
    </row>
    <row r="575" spans="1:11">
      <c r="B575" s="15" t="s">
        <v>142</v>
      </c>
      <c r="C575" s="15" t="s">
        <v>143</v>
      </c>
      <c r="D575" s="15" t="s">
        <v>144</v>
      </c>
      <c r="E575" s="15" t="s">
        <v>145</v>
      </c>
      <c r="F575" s="15" t="s">
        <v>146</v>
      </c>
      <c r="G575" s="15" t="s">
        <v>151</v>
      </c>
      <c r="H575" s="15" t="s">
        <v>147</v>
      </c>
      <c r="I575" s="15" t="s">
        <v>148</v>
      </c>
      <c r="J575" s="15" t="s">
        <v>149</v>
      </c>
    </row>
    <row r="576" spans="1:11">
      <c r="A576" s="4" t="s">
        <v>175</v>
      </c>
      <c r="B576" s="38">
        <f>SUMPRODUCT($C$533:$E$533,$B76:$D76)</f>
        <v>0</v>
      </c>
      <c r="C576" s="38">
        <f>SUMPRODUCT($G$533:$I$533,$B76:$D76)</f>
        <v>0</v>
      </c>
      <c r="D576" s="38">
        <f>SUMPRODUCT($K$533:$M$533,$B76:$D76)</f>
        <v>0</v>
      </c>
      <c r="E576" s="38">
        <f>SUMPRODUCT($O$533:$Q$533,$B76:$D76)</f>
        <v>0</v>
      </c>
      <c r="F576" s="38">
        <f>SUMPRODUCT($S$533:$U$533,$B76:$D76)</f>
        <v>0</v>
      </c>
      <c r="G576" s="38">
        <f>SUMPRODUCT($W$533:$Y$533,$B76:$D76)</f>
        <v>0</v>
      </c>
      <c r="H576" s="38">
        <f>SUMPRODUCT($AA$533:$AC$533,$B76:$D76)</f>
        <v>0</v>
      </c>
      <c r="I576" s="38">
        <f>SUMPRODUCT($AE$533:$AG$533,$B76:$D76)</f>
        <v>0</v>
      </c>
      <c r="J576" s="38">
        <f>SUMPRODUCT($AI$533:$AK$533,$B76:$D76)</f>
        <v>0</v>
      </c>
      <c r="K576" s="17"/>
    </row>
    <row r="577" spans="1:11">
      <c r="A577" s="4" t="s">
        <v>177</v>
      </c>
      <c r="B577" s="38">
        <f>SUMPRODUCT($C$536:$E$536,$B77:$D77)</f>
        <v>0</v>
      </c>
      <c r="C577" s="38">
        <f>SUMPRODUCT($G$536:$I$536,$B77:$D77)</f>
        <v>0</v>
      </c>
      <c r="D577" s="38">
        <f>SUMPRODUCT($K$536:$M$536,$B77:$D77)</f>
        <v>0</v>
      </c>
      <c r="E577" s="38">
        <f>SUMPRODUCT($O$536:$Q$536,$B77:$D77)</f>
        <v>0</v>
      </c>
      <c r="F577" s="38">
        <f>SUMPRODUCT($S$536:$U$536,$B77:$D77)</f>
        <v>0</v>
      </c>
      <c r="G577" s="38">
        <f>SUMPRODUCT($W$536:$Y$536,$B77:$D77)</f>
        <v>0</v>
      </c>
      <c r="H577" s="38">
        <f>SUMPRODUCT($AA$536:$AC$536,$B77:$D77)</f>
        <v>0</v>
      </c>
      <c r="I577" s="38">
        <f>SUMPRODUCT($AE$536:$AG$536,$B77:$D77)</f>
        <v>0</v>
      </c>
      <c r="J577" s="38">
        <f>SUMPRODUCT($AI$536:$AK$536,$B77:$D77)</f>
        <v>0</v>
      </c>
      <c r="K577" s="17"/>
    </row>
    <row r="578" spans="1:11">
      <c r="A578" s="4" t="s">
        <v>178</v>
      </c>
      <c r="B578" s="38">
        <f>SUMPRODUCT($C$538:$E$538,$B78:$D78)</f>
        <v>0</v>
      </c>
      <c r="C578" s="38">
        <f>SUMPRODUCT($G$538:$I$538,$B78:$D78)</f>
        <v>0</v>
      </c>
      <c r="D578" s="38">
        <f>SUMPRODUCT($K$538:$M$538,$B78:$D78)</f>
        <v>0</v>
      </c>
      <c r="E578" s="38">
        <f>SUMPRODUCT($O$538:$Q$538,$B78:$D78)</f>
        <v>0</v>
      </c>
      <c r="F578" s="38">
        <f>SUMPRODUCT($S$538:$U$538,$B78:$D78)</f>
        <v>0</v>
      </c>
      <c r="G578" s="38">
        <f>SUMPRODUCT($W$538:$Y$538,$B78:$D78)</f>
        <v>0</v>
      </c>
      <c r="H578" s="38">
        <f>SUMPRODUCT($AA$538:$AC$538,$B78:$D78)</f>
        <v>0</v>
      </c>
      <c r="I578" s="38">
        <f>SUMPRODUCT($AE$538:$AG$538,$B78:$D78)</f>
        <v>0</v>
      </c>
      <c r="J578" s="38">
        <f>SUMPRODUCT($AI$538:$AK$538,$B78:$D78)</f>
        <v>0</v>
      </c>
      <c r="K578" s="17"/>
    </row>
    <row r="579" spans="1:11">
      <c r="A579" s="4" t="s">
        <v>179</v>
      </c>
      <c r="B579" s="38">
        <f>SUMPRODUCT($C$539:$E$539,$B79:$D79)</f>
        <v>0</v>
      </c>
      <c r="C579" s="38">
        <f>SUMPRODUCT($G$539:$I$539,$B79:$D79)</f>
        <v>0</v>
      </c>
      <c r="D579" s="38">
        <f>SUMPRODUCT($K$539:$M$539,$B79:$D79)</f>
        <v>0</v>
      </c>
      <c r="E579" s="38">
        <f>SUMPRODUCT($O$539:$Q$539,$B79:$D79)</f>
        <v>0</v>
      </c>
      <c r="F579" s="38">
        <f>SUMPRODUCT($S$539:$U$539,$B79:$D79)</f>
        <v>0</v>
      </c>
      <c r="G579" s="38">
        <f>SUMPRODUCT($W$539:$Y$539,$B79:$D79)</f>
        <v>0</v>
      </c>
      <c r="H579" s="38">
        <f>SUMPRODUCT($AA$539:$AC$539,$B79:$D79)</f>
        <v>0</v>
      </c>
      <c r="I579" s="38">
        <f>SUMPRODUCT($AE$539:$AG$539,$B79:$D79)</f>
        <v>0</v>
      </c>
      <c r="J579" s="38">
        <f>SUMPRODUCT($AI$539:$AK$539,$B79:$D79)</f>
        <v>0</v>
      </c>
      <c r="K579" s="17"/>
    </row>
    <row r="580" spans="1:11">
      <c r="A580" s="4" t="s">
        <v>180</v>
      </c>
      <c r="B580" s="38">
        <f>SUMPRODUCT($C$540:$E$540,$B80:$D80)</f>
        <v>0</v>
      </c>
      <c r="C580" s="38">
        <f>SUMPRODUCT($G$540:$I$540,$B80:$D80)</f>
        <v>0</v>
      </c>
      <c r="D580" s="38">
        <f>SUMPRODUCT($K$540:$M$540,$B80:$D80)</f>
        <v>0</v>
      </c>
      <c r="E580" s="38">
        <f>SUMPRODUCT($O$540:$Q$540,$B80:$D80)</f>
        <v>0</v>
      </c>
      <c r="F580" s="38">
        <f>SUMPRODUCT($S$540:$U$540,$B80:$D80)</f>
        <v>0</v>
      </c>
      <c r="G580" s="38">
        <f>SUMPRODUCT($W$540:$Y$540,$B80:$D80)</f>
        <v>0</v>
      </c>
      <c r="H580" s="38">
        <f>SUMPRODUCT($AA$540:$AC$540,$B80:$D80)</f>
        <v>0</v>
      </c>
      <c r="I580" s="38">
        <f>SUMPRODUCT($AE$540:$AG$540,$B80:$D80)</f>
        <v>0</v>
      </c>
      <c r="J580" s="38">
        <f>SUMPRODUCT($AI$540:$AK$540,$B80:$D80)</f>
        <v>0</v>
      </c>
      <c r="K580" s="17"/>
    </row>
    <row r="581" spans="1:11">
      <c r="A581" s="4" t="s">
        <v>181</v>
      </c>
      <c r="B581" s="38">
        <f>SUMPRODUCT($C$541:$E$541,$B81:$D81)</f>
        <v>0</v>
      </c>
      <c r="C581" s="38">
        <f>SUMPRODUCT($G$541:$I$541,$B81:$D81)</f>
        <v>0</v>
      </c>
      <c r="D581" s="38">
        <f>SUMPRODUCT($K$541:$M$541,$B81:$D81)</f>
        <v>0</v>
      </c>
      <c r="E581" s="38">
        <f>SUMPRODUCT($O$541:$Q$541,$B81:$D81)</f>
        <v>0</v>
      </c>
      <c r="F581" s="38">
        <f>SUMPRODUCT($S$541:$U$541,$B81:$D81)</f>
        <v>0</v>
      </c>
      <c r="G581" s="38">
        <f>SUMPRODUCT($W$541:$Y$541,$B81:$D81)</f>
        <v>0</v>
      </c>
      <c r="H581" s="38">
        <f>SUMPRODUCT($AA$541:$AC$541,$B81:$D81)</f>
        <v>0</v>
      </c>
      <c r="I581" s="38">
        <f>SUMPRODUCT($AE$541:$AG$541,$B81:$D81)</f>
        <v>0</v>
      </c>
      <c r="J581" s="38">
        <f>SUMPRODUCT($AI$541:$AK$541,$B81:$D81)</f>
        <v>0</v>
      </c>
      <c r="K581" s="17"/>
    </row>
    <row r="582" spans="1:11">
      <c r="A582" s="4" t="s">
        <v>193</v>
      </c>
      <c r="B582" s="38">
        <f>SUMPRODUCT($C$542:$E$542,$B82:$D82)</f>
        <v>0</v>
      </c>
      <c r="C582" s="38">
        <f>SUMPRODUCT($G$542:$I$542,$B82:$D82)</f>
        <v>0</v>
      </c>
      <c r="D582" s="38">
        <f>SUMPRODUCT($K$542:$M$542,$B82:$D82)</f>
        <v>0</v>
      </c>
      <c r="E582" s="38">
        <f>SUMPRODUCT($O$542:$Q$542,$B82:$D82)</f>
        <v>0</v>
      </c>
      <c r="F582" s="38">
        <f>SUMPRODUCT($S$542:$U$542,$B82:$D82)</f>
        <v>0</v>
      </c>
      <c r="G582" s="38">
        <f>SUMPRODUCT($W$542:$Y$542,$B82:$D82)</f>
        <v>0</v>
      </c>
      <c r="H582" s="38">
        <f>SUMPRODUCT($AA$542:$AC$542,$B82:$D82)</f>
        <v>0</v>
      </c>
      <c r="I582" s="38">
        <f>SUMPRODUCT($AE$542:$AG$542,$B82:$D82)</f>
        <v>0</v>
      </c>
      <c r="J582" s="38">
        <f>SUMPRODUCT($AI$542:$AK$542,$B82:$D82)</f>
        <v>0</v>
      </c>
      <c r="K582" s="17"/>
    </row>
    <row r="583" spans="1:11">
      <c r="A583" s="4" t="s">
        <v>185</v>
      </c>
      <c r="B583" s="38">
        <f>SUMPRODUCT($C$543:$E$543,$B83:$D83)</f>
        <v>0</v>
      </c>
      <c r="C583" s="38">
        <f>SUMPRODUCT($G$543:$I$543,$B83:$D83)</f>
        <v>0</v>
      </c>
      <c r="D583" s="38">
        <f>SUMPRODUCT($K$543:$M$543,$B83:$D83)</f>
        <v>0</v>
      </c>
      <c r="E583" s="38">
        <f>SUMPRODUCT($O$543:$Q$543,$B83:$D83)</f>
        <v>0</v>
      </c>
      <c r="F583" s="38">
        <f>SUMPRODUCT($S$543:$U$543,$B83:$D83)</f>
        <v>0</v>
      </c>
      <c r="G583" s="38">
        <f>SUMPRODUCT($W$543:$Y$543,$B83:$D83)</f>
        <v>0</v>
      </c>
      <c r="H583" s="38">
        <f>SUMPRODUCT($AA$543:$AC$543,$B83:$D83)</f>
        <v>0</v>
      </c>
      <c r="I583" s="38">
        <f>SUMPRODUCT($AE$543:$AG$543,$B83:$D83)</f>
        <v>0</v>
      </c>
      <c r="J583" s="38">
        <f>SUMPRODUCT($AI$543:$AK$543,$B83:$D83)</f>
        <v>0</v>
      </c>
      <c r="K583" s="17"/>
    </row>
    <row r="584" spans="1:11">
      <c r="A584" s="4" t="s">
        <v>187</v>
      </c>
      <c r="B584" s="38">
        <f>SUMPRODUCT($C$544:$E$544,$B84:$D84)</f>
        <v>0</v>
      </c>
      <c r="C584" s="38">
        <f>SUMPRODUCT($G$544:$I$544,$B84:$D84)</f>
        <v>0</v>
      </c>
      <c r="D584" s="38">
        <f>SUMPRODUCT($K$544:$M$544,$B84:$D84)</f>
        <v>0</v>
      </c>
      <c r="E584" s="38">
        <f>SUMPRODUCT($O$544:$Q$544,$B84:$D84)</f>
        <v>0</v>
      </c>
      <c r="F584" s="38">
        <f>SUMPRODUCT($S$544:$U$544,$B84:$D84)</f>
        <v>0</v>
      </c>
      <c r="G584" s="38">
        <f>SUMPRODUCT($W$544:$Y$544,$B84:$D84)</f>
        <v>0</v>
      </c>
      <c r="H584" s="38">
        <f>SUMPRODUCT($AA$544:$AC$544,$B84:$D84)</f>
        <v>0</v>
      </c>
      <c r="I584" s="38">
        <f>SUMPRODUCT($AE$544:$AG$544,$B84:$D84)</f>
        <v>0</v>
      </c>
      <c r="J584" s="38">
        <f>SUMPRODUCT($AI$544:$AK$544,$B84:$D84)</f>
        <v>0</v>
      </c>
      <c r="K584" s="17"/>
    </row>
    <row r="585" spans="1:11">
      <c r="A585" s="4" t="s">
        <v>195</v>
      </c>
      <c r="B585" s="38">
        <f>SUMPRODUCT($C$545:$E$545,$B85:$D85)</f>
        <v>0</v>
      </c>
      <c r="C585" s="38">
        <f>SUMPRODUCT($G$545:$I$545,$B85:$D85)</f>
        <v>0</v>
      </c>
      <c r="D585" s="38">
        <f>SUMPRODUCT($K$545:$M$545,$B85:$D85)</f>
        <v>0</v>
      </c>
      <c r="E585" s="38">
        <f>SUMPRODUCT($O$545:$Q$545,$B85:$D85)</f>
        <v>0</v>
      </c>
      <c r="F585" s="38">
        <f>SUMPRODUCT($S$545:$U$545,$B85:$D85)</f>
        <v>0</v>
      </c>
      <c r="G585" s="38">
        <f>SUMPRODUCT($W$545:$Y$545,$B85:$D85)</f>
        <v>0</v>
      </c>
      <c r="H585" s="38">
        <f>SUMPRODUCT($AA$545:$AC$545,$B85:$D85)</f>
        <v>0</v>
      </c>
      <c r="I585" s="38">
        <f>SUMPRODUCT($AE$545:$AG$545,$B85:$D85)</f>
        <v>0</v>
      </c>
      <c r="J585" s="38">
        <f>SUMPRODUCT($AI$545:$AK$545,$B85:$D85)</f>
        <v>0</v>
      </c>
      <c r="K585" s="17"/>
    </row>
    <row r="587" spans="1:11" ht="21" customHeight="1">
      <c r="A587" s="1" t="s">
        <v>706</v>
      </c>
    </row>
    <row r="588" spans="1:11">
      <c r="A588" s="2" t="s">
        <v>351</v>
      </c>
    </row>
    <row r="589" spans="1:11">
      <c r="A589" s="33" t="s">
        <v>702</v>
      </c>
    </row>
    <row r="590" spans="1:11">
      <c r="A590" s="33" t="s">
        <v>707</v>
      </c>
    </row>
    <row r="591" spans="1:11">
      <c r="A591" s="2" t="s">
        <v>364</v>
      </c>
    </row>
    <row r="593" spans="1:11">
      <c r="B593" s="15" t="s">
        <v>142</v>
      </c>
      <c r="C593" s="15" t="s">
        <v>143</v>
      </c>
      <c r="D593" s="15" t="s">
        <v>144</v>
      </c>
      <c r="E593" s="15" t="s">
        <v>145</v>
      </c>
      <c r="F593" s="15" t="s">
        <v>146</v>
      </c>
      <c r="G593" s="15" t="s">
        <v>151</v>
      </c>
      <c r="H593" s="15" t="s">
        <v>147</v>
      </c>
      <c r="I593" s="15" t="s">
        <v>148</v>
      </c>
      <c r="J593" s="15" t="s">
        <v>149</v>
      </c>
    </row>
    <row r="594" spans="1:11">
      <c r="A594" s="4" t="s">
        <v>178</v>
      </c>
      <c r="B594" s="38">
        <f>SUMPRODUCT($C$538:$E$538,$B90:$D90)</f>
        <v>0</v>
      </c>
      <c r="C594" s="38">
        <f>SUMPRODUCT($G$538:$I$538,$B90:$D90)</f>
        <v>0</v>
      </c>
      <c r="D594" s="38">
        <f>SUMPRODUCT($K$538:$M$538,$B90:$D90)</f>
        <v>0</v>
      </c>
      <c r="E594" s="38">
        <f>SUMPRODUCT($O$538:$Q$538,$B90:$D90)</f>
        <v>0</v>
      </c>
      <c r="F594" s="38">
        <f>SUMPRODUCT($S$538:$U$538,$B90:$D90)</f>
        <v>0</v>
      </c>
      <c r="G594" s="38">
        <f>SUMPRODUCT($W$538:$Y$538,$B90:$D90)</f>
        <v>0</v>
      </c>
      <c r="H594" s="38">
        <f>SUMPRODUCT($AA$538:$AC$538,$B90:$D90)</f>
        <v>0</v>
      </c>
      <c r="I594" s="38">
        <f>SUMPRODUCT($AE$538:$AG$538,$B90:$D90)</f>
        <v>0</v>
      </c>
      <c r="J594" s="38">
        <f>SUMPRODUCT($AI$538:$AK$538,$B90:$D90)</f>
        <v>0</v>
      </c>
      <c r="K594" s="17"/>
    </row>
    <row r="595" spans="1:11">
      <c r="A595" s="4" t="s">
        <v>179</v>
      </c>
      <c r="B595" s="38">
        <f>SUMPRODUCT($C$539:$E$539,$B91:$D91)</f>
        <v>0</v>
      </c>
      <c r="C595" s="38">
        <f>SUMPRODUCT($G$539:$I$539,$B91:$D91)</f>
        <v>0</v>
      </c>
      <c r="D595" s="38">
        <f>SUMPRODUCT($K$539:$M$539,$B91:$D91)</f>
        <v>0</v>
      </c>
      <c r="E595" s="38">
        <f>SUMPRODUCT($O$539:$Q$539,$B91:$D91)</f>
        <v>0</v>
      </c>
      <c r="F595" s="38">
        <f>SUMPRODUCT($S$539:$U$539,$B91:$D91)</f>
        <v>0</v>
      </c>
      <c r="G595" s="38">
        <f>SUMPRODUCT($W$539:$Y$539,$B91:$D91)</f>
        <v>0</v>
      </c>
      <c r="H595" s="38">
        <f>SUMPRODUCT($AA$539:$AC$539,$B91:$D91)</f>
        <v>0</v>
      </c>
      <c r="I595" s="38">
        <f>SUMPRODUCT($AE$539:$AG$539,$B91:$D91)</f>
        <v>0</v>
      </c>
      <c r="J595" s="38">
        <f>SUMPRODUCT($AI$539:$AK$539,$B91:$D91)</f>
        <v>0</v>
      </c>
      <c r="K595" s="17"/>
    </row>
    <row r="596" spans="1:11">
      <c r="A596" s="4" t="s">
        <v>180</v>
      </c>
      <c r="B596" s="38">
        <f>SUMPRODUCT($C$540:$E$540,$B92:$D92)</f>
        <v>0</v>
      </c>
      <c r="C596" s="38">
        <f>SUMPRODUCT($G$540:$I$540,$B92:$D92)</f>
        <v>0</v>
      </c>
      <c r="D596" s="38">
        <f>SUMPRODUCT($K$540:$M$540,$B92:$D92)</f>
        <v>0</v>
      </c>
      <c r="E596" s="38">
        <f>SUMPRODUCT($O$540:$Q$540,$B92:$D92)</f>
        <v>0</v>
      </c>
      <c r="F596" s="38">
        <f>SUMPRODUCT($S$540:$U$540,$B92:$D92)</f>
        <v>0</v>
      </c>
      <c r="G596" s="38">
        <f>SUMPRODUCT($W$540:$Y$540,$B92:$D92)</f>
        <v>0</v>
      </c>
      <c r="H596" s="38">
        <f>SUMPRODUCT($AA$540:$AC$540,$B92:$D92)</f>
        <v>0</v>
      </c>
      <c r="I596" s="38">
        <f>SUMPRODUCT($AE$540:$AG$540,$B92:$D92)</f>
        <v>0</v>
      </c>
      <c r="J596" s="38">
        <f>SUMPRODUCT($AI$540:$AK$540,$B92:$D92)</f>
        <v>0</v>
      </c>
      <c r="K596" s="17"/>
    </row>
    <row r="597" spans="1:11">
      <c r="A597" s="4" t="s">
        <v>181</v>
      </c>
      <c r="B597" s="38">
        <f>SUMPRODUCT($C$541:$E$541,$B93:$D93)</f>
        <v>0</v>
      </c>
      <c r="C597" s="38">
        <f>SUMPRODUCT($G$541:$I$541,$B93:$D93)</f>
        <v>0</v>
      </c>
      <c r="D597" s="38">
        <f>SUMPRODUCT($K$541:$M$541,$B93:$D93)</f>
        <v>0</v>
      </c>
      <c r="E597" s="38">
        <f>SUMPRODUCT($O$541:$Q$541,$B93:$D93)</f>
        <v>0</v>
      </c>
      <c r="F597" s="38">
        <f>SUMPRODUCT($S$541:$U$541,$B93:$D93)</f>
        <v>0</v>
      </c>
      <c r="G597" s="38">
        <f>SUMPRODUCT($W$541:$Y$541,$B93:$D93)</f>
        <v>0</v>
      </c>
      <c r="H597" s="38">
        <f>SUMPRODUCT($AA$541:$AC$541,$B93:$D93)</f>
        <v>0</v>
      </c>
      <c r="I597" s="38">
        <f>SUMPRODUCT($AE$541:$AG$541,$B93:$D93)</f>
        <v>0</v>
      </c>
      <c r="J597" s="38">
        <f>SUMPRODUCT($AI$541:$AK$541,$B93:$D93)</f>
        <v>0</v>
      </c>
      <c r="K597" s="17"/>
    </row>
    <row r="598" spans="1:11">
      <c r="A598" s="4" t="s">
        <v>193</v>
      </c>
      <c r="B598" s="38">
        <f>SUMPRODUCT($C$542:$E$542,$B94:$D94)</f>
        <v>0</v>
      </c>
      <c r="C598" s="38">
        <f>SUMPRODUCT($G$542:$I$542,$B94:$D94)</f>
        <v>0</v>
      </c>
      <c r="D598" s="38">
        <f>SUMPRODUCT($K$542:$M$542,$B94:$D94)</f>
        <v>0</v>
      </c>
      <c r="E598" s="38">
        <f>SUMPRODUCT($O$542:$Q$542,$B94:$D94)</f>
        <v>0</v>
      </c>
      <c r="F598" s="38">
        <f>SUMPRODUCT($S$542:$U$542,$B94:$D94)</f>
        <v>0</v>
      </c>
      <c r="G598" s="38">
        <f>SUMPRODUCT($W$542:$Y$542,$B94:$D94)</f>
        <v>0</v>
      </c>
      <c r="H598" s="38">
        <f>SUMPRODUCT($AA$542:$AC$542,$B94:$D94)</f>
        <v>0</v>
      </c>
      <c r="I598" s="38">
        <f>SUMPRODUCT($AE$542:$AG$542,$B94:$D94)</f>
        <v>0</v>
      </c>
      <c r="J598" s="38">
        <f>SUMPRODUCT($AI$542:$AK$542,$B94:$D94)</f>
        <v>0</v>
      </c>
      <c r="K598" s="17"/>
    </row>
    <row r="599" spans="1:11">
      <c r="A599" s="4" t="s">
        <v>185</v>
      </c>
      <c r="B599" s="38">
        <f>SUMPRODUCT($C$543:$E$543,$B95:$D95)</f>
        <v>0</v>
      </c>
      <c r="C599" s="38">
        <f>SUMPRODUCT($G$543:$I$543,$B95:$D95)</f>
        <v>0</v>
      </c>
      <c r="D599" s="38">
        <f>SUMPRODUCT($K$543:$M$543,$B95:$D95)</f>
        <v>0</v>
      </c>
      <c r="E599" s="38">
        <f>SUMPRODUCT($O$543:$Q$543,$B95:$D95)</f>
        <v>0</v>
      </c>
      <c r="F599" s="38">
        <f>SUMPRODUCT($S$543:$U$543,$B95:$D95)</f>
        <v>0</v>
      </c>
      <c r="G599" s="38">
        <f>SUMPRODUCT($W$543:$Y$543,$B95:$D95)</f>
        <v>0</v>
      </c>
      <c r="H599" s="38">
        <f>SUMPRODUCT($AA$543:$AC$543,$B95:$D95)</f>
        <v>0</v>
      </c>
      <c r="I599" s="38">
        <f>SUMPRODUCT($AE$543:$AG$543,$B95:$D95)</f>
        <v>0</v>
      </c>
      <c r="J599" s="38">
        <f>SUMPRODUCT($AI$543:$AK$543,$B95:$D95)</f>
        <v>0</v>
      </c>
      <c r="K599" s="17"/>
    </row>
    <row r="600" spans="1:11">
      <c r="A600" s="4" t="s">
        <v>187</v>
      </c>
      <c r="B600" s="38">
        <f>SUMPRODUCT($C$544:$E$544,$B96:$D96)</f>
        <v>0</v>
      </c>
      <c r="C600" s="38">
        <f>SUMPRODUCT($G$544:$I$544,$B96:$D96)</f>
        <v>0</v>
      </c>
      <c r="D600" s="38">
        <f>SUMPRODUCT($K$544:$M$544,$B96:$D96)</f>
        <v>0</v>
      </c>
      <c r="E600" s="38">
        <f>SUMPRODUCT($O$544:$Q$544,$B96:$D96)</f>
        <v>0</v>
      </c>
      <c r="F600" s="38">
        <f>SUMPRODUCT($S$544:$U$544,$B96:$D96)</f>
        <v>0</v>
      </c>
      <c r="G600" s="38">
        <f>SUMPRODUCT($W$544:$Y$544,$B96:$D96)</f>
        <v>0</v>
      </c>
      <c r="H600" s="38">
        <f>SUMPRODUCT($AA$544:$AC$544,$B96:$D96)</f>
        <v>0</v>
      </c>
      <c r="I600" s="38">
        <f>SUMPRODUCT($AE$544:$AG$544,$B96:$D96)</f>
        <v>0</v>
      </c>
      <c r="J600" s="38">
        <f>SUMPRODUCT($AI$544:$AK$544,$B96:$D96)</f>
        <v>0</v>
      </c>
      <c r="K600" s="17"/>
    </row>
    <row r="601" spans="1:11">
      <c r="A601" s="4" t="s">
        <v>195</v>
      </c>
      <c r="B601" s="38">
        <f>SUMPRODUCT($C$545:$E$545,$B97:$D97)</f>
        <v>0</v>
      </c>
      <c r="C601" s="38">
        <f>SUMPRODUCT($G$545:$I$545,$B97:$D97)</f>
        <v>0</v>
      </c>
      <c r="D601" s="38">
        <f>SUMPRODUCT($K$545:$M$545,$B97:$D97)</f>
        <v>0</v>
      </c>
      <c r="E601" s="38">
        <f>SUMPRODUCT($O$545:$Q$545,$B97:$D97)</f>
        <v>0</v>
      </c>
      <c r="F601" s="38">
        <f>SUMPRODUCT($S$545:$U$545,$B97:$D97)</f>
        <v>0</v>
      </c>
      <c r="G601" s="38">
        <f>SUMPRODUCT($W$545:$Y$545,$B97:$D97)</f>
        <v>0</v>
      </c>
      <c r="H601" s="38">
        <f>SUMPRODUCT($AA$545:$AC$545,$B97:$D97)</f>
        <v>0</v>
      </c>
      <c r="I601" s="38">
        <f>SUMPRODUCT($AE$545:$AG$545,$B97:$D97)</f>
        <v>0</v>
      </c>
      <c r="J601" s="38">
        <f>SUMPRODUCT($AI$545:$AK$545,$B97:$D97)</f>
        <v>0</v>
      </c>
      <c r="K601" s="17"/>
    </row>
    <row r="603" spans="1:11" ht="21" customHeight="1">
      <c r="A603" s="1" t="s">
        <v>708</v>
      </c>
    </row>
    <row r="604" spans="1:11">
      <c r="A604" s="2" t="s">
        <v>351</v>
      </c>
    </row>
    <row r="605" spans="1:11">
      <c r="A605" s="33" t="s">
        <v>709</v>
      </c>
    </row>
    <row r="606" spans="1:11">
      <c r="A606" s="33" t="s">
        <v>542</v>
      </c>
    </row>
    <row r="607" spans="1:11">
      <c r="A607" s="33" t="s">
        <v>710</v>
      </c>
    </row>
    <row r="608" spans="1:11">
      <c r="A608" s="34" t="s">
        <v>354</v>
      </c>
      <c r="B608" s="34" t="s">
        <v>485</v>
      </c>
      <c r="C608" s="34" t="s">
        <v>484</v>
      </c>
      <c r="D608" s="34"/>
      <c r="E608" s="34"/>
    </row>
    <row r="609" spans="1:6">
      <c r="A609" s="34" t="s">
        <v>357</v>
      </c>
      <c r="B609" s="34" t="s">
        <v>535</v>
      </c>
      <c r="C609" s="34" t="s">
        <v>544</v>
      </c>
      <c r="D609" s="34"/>
      <c r="E609" s="34"/>
    </row>
    <row r="611" spans="1:6">
      <c r="C611" s="31" t="s">
        <v>711</v>
      </c>
      <c r="D611" s="31"/>
      <c r="E611" s="31"/>
    </row>
    <row r="612" spans="1:6">
      <c r="B612" s="15" t="s">
        <v>545</v>
      </c>
      <c r="C612" s="15" t="s">
        <v>324</v>
      </c>
      <c r="D612" s="15" t="s">
        <v>325</v>
      </c>
      <c r="E612" s="15" t="s">
        <v>321</v>
      </c>
    </row>
    <row r="613" spans="1:6">
      <c r="A613" s="4" t="s">
        <v>712</v>
      </c>
      <c r="B613" s="43">
        <f>SUM('Input'!$B321:$D321)</f>
        <v>0</v>
      </c>
      <c r="C613" s="43">
        <f>'Input'!B321*24*'Input'!$F58/$B613</f>
        <v>0</v>
      </c>
      <c r="D613" s="43">
        <f>'Input'!C321*24*'Input'!$F58/$B613</f>
        <v>0</v>
      </c>
      <c r="E613" s="43">
        <f>'Input'!D321*24*'Input'!$F58/$B613</f>
        <v>0</v>
      </c>
      <c r="F613" s="17"/>
    </row>
    <row r="615" spans="1:6" ht="21" customHeight="1">
      <c r="A615" s="1" t="s">
        <v>713</v>
      </c>
    </row>
    <row r="616" spans="1:6">
      <c r="A616" s="2" t="s">
        <v>351</v>
      </c>
    </row>
    <row r="617" spans="1:6">
      <c r="A617" s="33" t="s">
        <v>714</v>
      </c>
    </row>
    <row r="618" spans="1:6">
      <c r="A618" s="33" t="s">
        <v>715</v>
      </c>
    </row>
    <row r="619" spans="1:6">
      <c r="A619" s="33" t="s">
        <v>716</v>
      </c>
    </row>
    <row r="620" spans="1:6">
      <c r="A620" s="33" t="s">
        <v>552</v>
      </c>
    </row>
    <row r="621" spans="1:6">
      <c r="A621" s="34" t="s">
        <v>354</v>
      </c>
      <c r="B621" s="34" t="s">
        <v>485</v>
      </c>
      <c r="C621" s="34" t="s">
        <v>484</v>
      </c>
      <c r="D621" s="34"/>
      <c r="E621" s="34"/>
    </row>
    <row r="622" spans="1:6">
      <c r="A622" s="34" t="s">
        <v>357</v>
      </c>
      <c r="B622" s="34" t="s">
        <v>535</v>
      </c>
      <c r="C622" s="34" t="s">
        <v>553</v>
      </c>
      <c r="D622" s="34"/>
      <c r="E622" s="34"/>
    </row>
    <row r="624" spans="1:6">
      <c r="C624" s="31" t="s">
        <v>717</v>
      </c>
      <c r="D624" s="31"/>
      <c r="E624" s="31"/>
    </row>
    <row r="625" spans="1:6">
      <c r="B625" s="15" t="s">
        <v>554</v>
      </c>
      <c r="C625" s="15" t="s">
        <v>324</v>
      </c>
      <c r="D625" s="15" t="s">
        <v>325</v>
      </c>
      <c r="E625" s="15" t="s">
        <v>321</v>
      </c>
    </row>
    <row r="626" spans="1:6">
      <c r="A626" s="4" t="s">
        <v>213</v>
      </c>
      <c r="B626" s="40">
        <f>SUM('Input'!$B311:$D311)</f>
        <v>0</v>
      </c>
      <c r="C626" s="40">
        <f>IF($B626,'Input'!B311/$B626,C$613/'Input'!$F$58/24)</f>
        <v>0</v>
      </c>
      <c r="D626" s="40">
        <f>IF($B626,'Input'!C311/$B626,D$613/'Input'!$F$58/24)</f>
        <v>0</v>
      </c>
      <c r="E626" s="40">
        <f>IF($B626,'Input'!D311/$B626,E$613/'Input'!$F$58/24)</f>
        <v>0</v>
      </c>
      <c r="F626" s="17"/>
    </row>
    <row r="627" spans="1:6">
      <c r="A627" s="4" t="s">
        <v>214</v>
      </c>
      <c r="B627" s="40">
        <f>SUM('Input'!$B312:$D312)</f>
        <v>0</v>
      </c>
      <c r="C627" s="40">
        <f>IF($B627,'Input'!B312/$B627,C$613/'Input'!$F$58/24)</f>
        <v>0</v>
      </c>
      <c r="D627" s="40">
        <f>IF($B627,'Input'!C312/$B627,D$613/'Input'!$F$58/24)</f>
        <v>0</v>
      </c>
      <c r="E627" s="40">
        <f>IF($B627,'Input'!D312/$B627,E$613/'Input'!$F$58/24)</f>
        <v>0</v>
      </c>
      <c r="F627" s="17"/>
    </row>
    <row r="628" spans="1:6">
      <c r="A628" s="4" t="s">
        <v>215</v>
      </c>
      <c r="B628" s="40">
        <f>SUM('Input'!$B313:$D313)</f>
        <v>0</v>
      </c>
      <c r="C628" s="40">
        <f>IF($B628,'Input'!B313/$B628,C$613/'Input'!$F$58/24)</f>
        <v>0</v>
      </c>
      <c r="D628" s="40">
        <f>IF($B628,'Input'!C313/$B628,D$613/'Input'!$F$58/24)</f>
        <v>0</v>
      </c>
      <c r="E628" s="40">
        <f>IF($B628,'Input'!D313/$B628,E$613/'Input'!$F$58/24)</f>
        <v>0</v>
      </c>
      <c r="F628" s="17"/>
    </row>
    <row r="629" spans="1:6">
      <c r="A629" s="4" t="s">
        <v>216</v>
      </c>
      <c r="B629" s="40">
        <f>SUM('Input'!$B314:$D314)</f>
        <v>0</v>
      </c>
      <c r="C629" s="40">
        <f>IF($B629,'Input'!B314/$B629,C$613/'Input'!$F$58/24)</f>
        <v>0</v>
      </c>
      <c r="D629" s="40">
        <f>IF($B629,'Input'!C314/$B629,D$613/'Input'!$F$58/24)</f>
        <v>0</v>
      </c>
      <c r="E629" s="40">
        <f>IF($B629,'Input'!D314/$B629,E$613/'Input'!$F$58/24)</f>
        <v>0</v>
      </c>
      <c r="F629" s="17"/>
    </row>
    <row r="631" spans="1:6" ht="21" customHeight="1">
      <c r="A631" s="1" t="s">
        <v>718</v>
      </c>
    </row>
    <row r="632" spans="1:6">
      <c r="A632" s="2" t="s">
        <v>351</v>
      </c>
    </row>
    <row r="633" spans="1:6">
      <c r="A633" s="33" t="s">
        <v>719</v>
      </c>
    </row>
    <row r="634" spans="1:6">
      <c r="A634" s="2" t="s">
        <v>720</v>
      </c>
    </row>
    <row r="635" spans="1:6">
      <c r="A635" s="2" t="s">
        <v>369</v>
      </c>
    </row>
    <row r="637" spans="1:6">
      <c r="B637" s="15" t="s">
        <v>324</v>
      </c>
      <c r="C637" s="15" t="s">
        <v>325</v>
      </c>
      <c r="D637" s="15" t="s">
        <v>321</v>
      </c>
    </row>
    <row r="638" spans="1:6">
      <c r="A638" s="4" t="s">
        <v>213</v>
      </c>
      <c r="B638" s="42">
        <f>C$626</f>
        <v>0</v>
      </c>
      <c r="C638" s="42">
        <f>D$626</f>
        <v>0</v>
      </c>
      <c r="D638" s="42">
        <f>E$626</f>
        <v>0</v>
      </c>
      <c r="E638" s="17"/>
    </row>
    <row r="639" spans="1:6">
      <c r="A639" s="4" t="s">
        <v>214</v>
      </c>
      <c r="B639" s="42">
        <f>C$627</f>
        <v>0</v>
      </c>
      <c r="C639" s="42">
        <f>D$627</f>
        <v>0</v>
      </c>
      <c r="D639" s="42">
        <f>E$627</f>
        <v>0</v>
      </c>
      <c r="E639" s="17"/>
    </row>
    <row r="640" spans="1:6">
      <c r="A640" s="4" t="s">
        <v>215</v>
      </c>
      <c r="B640" s="42">
        <f>C$628</f>
        <v>0</v>
      </c>
      <c r="C640" s="42">
        <f>D$628</f>
        <v>0</v>
      </c>
      <c r="D640" s="42">
        <f>E$628</f>
        <v>0</v>
      </c>
      <c r="E640" s="17"/>
    </row>
    <row r="641" spans="1:5">
      <c r="A641" s="4" t="s">
        <v>216</v>
      </c>
      <c r="B641" s="42">
        <f>C$629</f>
        <v>0</v>
      </c>
      <c r="C641" s="42">
        <f>D$629</f>
        <v>0</v>
      </c>
      <c r="D641" s="42">
        <f>E$629</f>
        <v>0</v>
      </c>
      <c r="E641" s="17"/>
    </row>
    <row r="642" spans="1:5">
      <c r="A642" s="4" t="s">
        <v>217</v>
      </c>
      <c r="B642" s="41">
        <v>1</v>
      </c>
      <c r="C642" s="41">
        <v>0</v>
      </c>
      <c r="D642" s="41">
        <v>0</v>
      </c>
      <c r="E642" s="17"/>
    </row>
    <row r="644" spans="1:5" ht="21" customHeight="1">
      <c r="A644" s="1" t="s">
        <v>721</v>
      </c>
    </row>
    <row r="646" spans="1:5">
      <c r="B646" s="15" t="s">
        <v>324</v>
      </c>
      <c r="C646" s="15" t="s">
        <v>325</v>
      </c>
      <c r="D646" s="15" t="s">
        <v>321</v>
      </c>
    </row>
    <row r="647" spans="1:5">
      <c r="A647" s="4" t="s">
        <v>217</v>
      </c>
      <c r="B647" s="41">
        <v>0</v>
      </c>
      <c r="C647" s="41">
        <v>1</v>
      </c>
      <c r="D647" s="41">
        <v>0</v>
      </c>
      <c r="E647" s="17"/>
    </row>
    <row r="649" spans="1:5" ht="21" customHeight="1">
      <c r="A649" s="1" t="s">
        <v>722</v>
      </c>
    </row>
    <row r="651" spans="1:5">
      <c r="B651" s="15" t="s">
        <v>324</v>
      </c>
      <c r="C651" s="15" t="s">
        <v>325</v>
      </c>
      <c r="D651" s="15" t="s">
        <v>321</v>
      </c>
    </row>
    <row r="652" spans="1:5">
      <c r="A652" s="4" t="s">
        <v>217</v>
      </c>
      <c r="B652" s="41">
        <v>0</v>
      </c>
      <c r="C652" s="41">
        <v>0</v>
      </c>
      <c r="D652" s="41">
        <v>1</v>
      </c>
      <c r="E652" s="17"/>
    </row>
    <row r="654" spans="1:5" ht="21" customHeight="1">
      <c r="A654" s="1" t="s">
        <v>723</v>
      </c>
    </row>
    <row r="655" spans="1:5">
      <c r="A655" s="2" t="s">
        <v>351</v>
      </c>
    </row>
    <row r="656" spans="1:5">
      <c r="A656" s="33" t="s">
        <v>574</v>
      </c>
    </row>
    <row r="657" spans="1:6">
      <c r="A657" s="33" t="s">
        <v>575</v>
      </c>
    </row>
    <row r="658" spans="1:6">
      <c r="A658" s="33" t="s">
        <v>724</v>
      </c>
    </row>
    <row r="659" spans="1:6">
      <c r="A659" s="33" t="s">
        <v>725</v>
      </c>
    </row>
    <row r="660" spans="1:6">
      <c r="A660" s="33" t="s">
        <v>726</v>
      </c>
    </row>
    <row r="661" spans="1:6">
      <c r="A661" s="33" t="s">
        <v>579</v>
      </c>
    </row>
    <row r="662" spans="1:6">
      <c r="A662" s="34" t="s">
        <v>354</v>
      </c>
      <c r="B662" s="34" t="s">
        <v>484</v>
      </c>
      <c r="C662" s="34"/>
      <c r="D662" s="34"/>
      <c r="E662" s="34" t="s">
        <v>484</v>
      </c>
    </row>
    <row r="663" spans="1:6">
      <c r="A663" s="34" t="s">
        <v>357</v>
      </c>
      <c r="B663" s="34" t="s">
        <v>580</v>
      </c>
      <c r="C663" s="34"/>
      <c r="D663" s="34"/>
      <c r="E663" s="34" t="s">
        <v>581</v>
      </c>
    </row>
    <row r="665" spans="1:6">
      <c r="B665" s="31" t="s">
        <v>727</v>
      </c>
      <c r="C665" s="31"/>
      <c r="D665" s="31"/>
    </row>
    <row r="666" spans="1:6">
      <c r="B666" s="15" t="s">
        <v>324</v>
      </c>
      <c r="C666" s="15" t="s">
        <v>325</v>
      </c>
      <c r="D666" s="15" t="s">
        <v>321</v>
      </c>
      <c r="E666" s="15" t="s">
        <v>728</v>
      </c>
    </row>
    <row r="667" spans="1:6">
      <c r="A667" s="4" t="s">
        <v>213</v>
      </c>
      <c r="B667" s="40">
        <f>IF($B$118&gt;0,('Loads'!$B$291*B$638)/$B$118,0)</f>
        <v>0</v>
      </c>
      <c r="C667" s="40">
        <f>IF($B$118&gt;0,('Loads'!$B$291*C$638)/$B$118,0)</f>
        <v>0</v>
      </c>
      <c r="D667" s="40">
        <f>IF($B$118&gt;0,('Loads'!$B$291*D$638)/$B$118,0)</f>
        <v>0</v>
      </c>
      <c r="E667" s="38">
        <f>IF($C$613&gt;0,$B667*'Input'!$F$58*24/$C$613,0)</f>
        <v>0</v>
      </c>
      <c r="F667" s="17"/>
    </row>
    <row r="668" spans="1:6">
      <c r="A668" s="4" t="s">
        <v>214</v>
      </c>
      <c r="B668" s="40">
        <f>IF($B$119&gt;0,('Loads'!$B$292*B$639)/$B$119,0)</f>
        <v>0</v>
      </c>
      <c r="C668" s="40">
        <f>IF($B$119&gt;0,('Loads'!$B$292*C$639)/$B$119,0)</f>
        <v>0</v>
      </c>
      <c r="D668" s="40">
        <f>IF($B$119&gt;0,('Loads'!$B$292*D$639)/$B$119,0)</f>
        <v>0</v>
      </c>
      <c r="E668" s="38">
        <f>IF($C$613&gt;0,$B668*'Input'!$F$58*24/$C$613,0)</f>
        <v>0</v>
      </c>
      <c r="F668" s="17"/>
    </row>
    <row r="669" spans="1:6">
      <c r="A669" s="4" t="s">
        <v>215</v>
      </c>
      <c r="B669" s="40">
        <f>IF($B$120&gt;0,('Loads'!$B$293*B$640)/$B$120,0)</f>
        <v>0</v>
      </c>
      <c r="C669" s="40">
        <f>IF($B$120&gt;0,('Loads'!$B$293*C$640)/$B$120,0)</f>
        <v>0</v>
      </c>
      <c r="D669" s="40">
        <f>IF($B$120&gt;0,('Loads'!$B$293*D$640)/$B$120,0)</f>
        <v>0</v>
      </c>
      <c r="E669" s="38">
        <f>IF($C$613&gt;0,$B669*'Input'!$F$58*24/$C$613,0)</f>
        <v>0</v>
      </c>
      <c r="F669" s="17"/>
    </row>
    <row r="670" spans="1:6">
      <c r="A670" s="4" t="s">
        <v>216</v>
      </c>
      <c r="B670" s="40">
        <f>IF($B$121&gt;0,('Loads'!$B$294*B$641)/$B$121,0)</f>
        <v>0</v>
      </c>
      <c r="C670" s="40">
        <f>IF($B$121&gt;0,('Loads'!$B$294*C$641)/$B$121,0)</f>
        <v>0</v>
      </c>
      <c r="D670" s="40">
        <f>IF($B$121&gt;0,('Loads'!$B$294*D$641)/$B$121,0)</f>
        <v>0</v>
      </c>
      <c r="E670" s="38">
        <f>IF($C$613&gt;0,$B670*'Input'!$F$58*24/$C$613,0)</f>
        <v>0</v>
      </c>
      <c r="F670" s="17"/>
    </row>
    <row r="672" spans="1:6" ht="21" customHeight="1">
      <c r="A672" s="1" t="s">
        <v>729</v>
      </c>
    </row>
    <row r="673" spans="1:5">
      <c r="A673" s="2" t="s">
        <v>351</v>
      </c>
    </row>
    <row r="674" spans="1:5">
      <c r="A674" s="33" t="s">
        <v>574</v>
      </c>
    </row>
    <row r="675" spans="1:5">
      <c r="A675" s="33" t="s">
        <v>575</v>
      </c>
    </row>
    <row r="676" spans="1:5">
      <c r="A676" s="33" t="s">
        <v>724</v>
      </c>
    </row>
    <row r="677" spans="1:5">
      <c r="A677" s="33" t="s">
        <v>585</v>
      </c>
    </row>
    <row r="678" spans="1:5">
      <c r="A678" s="33" t="s">
        <v>730</v>
      </c>
    </row>
    <row r="679" spans="1:5">
      <c r="A679" s="33" t="s">
        <v>595</v>
      </c>
    </row>
    <row r="680" spans="1:5">
      <c r="A680" s="33" t="s">
        <v>731</v>
      </c>
    </row>
    <row r="681" spans="1:5">
      <c r="A681" s="33" t="s">
        <v>732</v>
      </c>
    </row>
    <row r="682" spans="1:5">
      <c r="A682" s="33" t="s">
        <v>733</v>
      </c>
    </row>
    <row r="683" spans="1:5">
      <c r="A683" s="33" t="s">
        <v>599</v>
      </c>
    </row>
    <row r="684" spans="1:5">
      <c r="A684" s="34" t="s">
        <v>354</v>
      </c>
      <c r="B684" s="34" t="s">
        <v>484</v>
      </c>
      <c r="C684" s="34"/>
      <c r="D684" s="34"/>
      <c r="E684" s="34" t="s">
        <v>484</v>
      </c>
    </row>
    <row r="685" spans="1:5">
      <c r="A685" s="34" t="s">
        <v>357</v>
      </c>
      <c r="B685" s="34" t="s">
        <v>600</v>
      </c>
      <c r="C685" s="34"/>
      <c r="D685" s="34"/>
      <c r="E685" s="34" t="s">
        <v>601</v>
      </c>
    </row>
    <row r="687" spans="1:5">
      <c r="B687" s="31" t="s">
        <v>734</v>
      </c>
      <c r="C687" s="31"/>
      <c r="D687" s="31"/>
    </row>
    <row r="688" spans="1:5">
      <c r="B688" s="15" t="s">
        <v>324</v>
      </c>
      <c r="C688" s="15" t="s">
        <v>325</v>
      </c>
      <c r="D688" s="15" t="s">
        <v>321</v>
      </c>
      <c r="E688" s="15" t="s">
        <v>735</v>
      </c>
    </row>
    <row r="689" spans="1:6">
      <c r="A689" s="4" t="s">
        <v>217</v>
      </c>
      <c r="B689" s="40">
        <f>IF($B$122&gt;0,('Loads'!$B$295*B$642+'Loads'!$C$295*B$647+'Loads'!$D$295*B$652)/$B$122,0)</f>
        <v>0</v>
      </c>
      <c r="C689" s="40">
        <f>IF($B$122&gt;0,('Loads'!$B$295*C$642+'Loads'!$C$295*C$647+'Loads'!$D$295*C$652)/$B$122,0)</f>
        <v>0</v>
      </c>
      <c r="D689" s="40">
        <f>IF($B$122&gt;0,('Loads'!$B$295*D$642+'Loads'!$C$295*D$647+'Loads'!$D$295*D$652)/$B$122,0)</f>
        <v>0</v>
      </c>
      <c r="E689" s="38">
        <f>IF($C$613&gt;0,$B689*'Input'!$F$58*24/$C$613,0)</f>
        <v>0</v>
      </c>
      <c r="F689" s="17"/>
    </row>
    <row r="691" spans="1:6" ht="21" customHeight="1">
      <c r="A691" s="1" t="s">
        <v>736</v>
      </c>
    </row>
    <row r="692" spans="1:6">
      <c r="A692" s="2" t="s">
        <v>351</v>
      </c>
    </row>
    <row r="693" spans="1:6">
      <c r="A693" s="33" t="s">
        <v>737</v>
      </c>
    </row>
    <row r="694" spans="1:6">
      <c r="A694" s="33" t="s">
        <v>738</v>
      </c>
    </row>
    <row r="695" spans="1:6">
      <c r="A695" s="33" t="s">
        <v>739</v>
      </c>
    </row>
    <row r="696" spans="1:6">
      <c r="A696" s="33" t="s">
        <v>740</v>
      </c>
    </row>
    <row r="697" spans="1:6">
      <c r="A697" s="33" t="s">
        <v>741</v>
      </c>
    </row>
    <row r="698" spans="1:6">
      <c r="A698" s="33" t="s">
        <v>742</v>
      </c>
    </row>
    <row r="699" spans="1:6">
      <c r="A699" s="34" t="s">
        <v>354</v>
      </c>
      <c r="B699" s="34" t="s">
        <v>518</v>
      </c>
      <c r="C699" s="34" t="s">
        <v>484</v>
      </c>
      <c r="D699" s="34" t="s">
        <v>484</v>
      </c>
    </row>
    <row r="700" spans="1:6">
      <c r="A700" s="34" t="s">
        <v>357</v>
      </c>
      <c r="B700" s="34" t="s">
        <v>743</v>
      </c>
      <c r="C700" s="34" t="s">
        <v>744</v>
      </c>
      <c r="D700" s="34" t="s">
        <v>745</v>
      </c>
    </row>
    <row r="702" spans="1:6">
      <c r="B702" s="15" t="s">
        <v>746</v>
      </c>
      <c r="C702" s="15" t="s">
        <v>747</v>
      </c>
      <c r="D702" s="15" t="s">
        <v>748</v>
      </c>
    </row>
    <row r="703" spans="1:6">
      <c r="A703" s="4" t="s">
        <v>213</v>
      </c>
      <c r="B703" s="39">
        <f>E$667</f>
        <v>0</v>
      </c>
      <c r="C703" s="21">
        <f>B703*$B$118/24/'Input'!$F$58*1000</f>
        <v>0</v>
      </c>
      <c r="D703" s="21">
        <f>'Loads'!B$54*B$118/24/'Input'!F$58*1000</f>
        <v>0</v>
      </c>
      <c r="E703" s="17"/>
    </row>
    <row r="704" spans="1:6">
      <c r="A704" s="4" t="s">
        <v>214</v>
      </c>
      <c r="B704" s="39">
        <f>E$668</f>
        <v>0</v>
      </c>
      <c r="C704" s="21">
        <f>B704*$B$119/24/'Input'!$F$58*1000</f>
        <v>0</v>
      </c>
      <c r="D704" s="21">
        <f>'Loads'!B$55*B$119/24/'Input'!F$58*1000</f>
        <v>0</v>
      </c>
      <c r="E704" s="17"/>
    </row>
    <row r="705" spans="1:5">
      <c r="A705" s="4" t="s">
        <v>215</v>
      </c>
      <c r="B705" s="39">
        <f>E$669</f>
        <v>0</v>
      </c>
      <c r="C705" s="21">
        <f>B705*$B$120/24/'Input'!$F$58*1000</f>
        <v>0</v>
      </c>
      <c r="D705" s="21">
        <f>'Loads'!B$56*B$120/24/'Input'!F$58*1000</f>
        <v>0</v>
      </c>
      <c r="E705" s="17"/>
    </row>
    <row r="706" spans="1:5">
      <c r="A706" s="4" t="s">
        <v>216</v>
      </c>
      <c r="B706" s="39">
        <f>E$670</f>
        <v>0</v>
      </c>
      <c r="C706" s="21">
        <f>B706*$B$121/24/'Input'!$F$58*1000</f>
        <v>0</v>
      </c>
      <c r="D706" s="21">
        <f>'Loads'!B$57*B$121/24/'Input'!F$58*1000</f>
        <v>0</v>
      </c>
      <c r="E706" s="17"/>
    </row>
    <row r="707" spans="1:5">
      <c r="A707" s="4" t="s">
        <v>217</v>
      </c>
      <c r="B707" s="39">
        <f>E$689</f>
        <v>0</v>
      </c>
      <c r="C707" s="21">
        <f>B707*$B$122/24/'Input'!$F$58*1000</f>
        <v>0</v>
      </c>
      <c r="D707" s="21">
        <f>'Loads'!B$58*B$122/24/'Input'!F$58*1000</f>
        <v>0</v>
      </c>
      <c r="E707" s="17"/>
    </row>
    <row r="709" spans="1:5" ht="21" customHeight="1">
      <c r="A709" s="1" t="s">
        <v>749</v>
      </c>
    </row>
    <row r="710" spans="1:5">
      <c r="A710" s="2" t="s">
        <v>351</v>
      </c>
    </row>
    <row r="711" spans="1:5">
      <c r="A711" s="33" t="s">
        <v>750</v>
      </c>
    </row>
    <row r="712" spans="1:5">
      <c r="A712" s="33" t="s">
        <v>751</v>
      </c>
    </row>
    <row r="713" spans="1:5">
      <c r="A713" s="2" t="s">
        <v>752</v>
      </c>
    </row>
    <row r="715" spans="1:5">
      <c r="B715" s="15" t="s">
        <v>753</v>
      </c>
    </row>
    <row r="716" spans="1:5">
      <c r="A716" s="4" t="s">
        <v>753</v>
      </c>
      <c r="B716" s="38">
        <f>IF(SUM($C$703:$C$707),SUM($D$703:$D$707)/SUM($C$703:$C$707),0)</f>
        <v>0</v>
      </c>
      <c r="C716" s="17"/>
    </row>
    <row r="718" spans="1:5" ht="21" customHeight="1">
      <c r="A718" s="1" t="s">
        <v>754</v>
      </c>
    </row>
    <row r="719" spans="1:5">
      <c r="A719" s="2" t="s">
        <v>351</v>
      </c>
    </row>
    <row r="720" spans="1:5">
      <c r="A720" s="33" t="s">
        <v>623</v>
      </c>
    </row>
    <row r="721" spans="1:8">
      <c r="A721" s="33" t="s">
        <v>755</v>
      </c>
    </row>
    <row r="722" spans="1:8">
      <c r="A722" s="33" t="s">
        <v>404</v>
      </c>
    </row>
    <row r="723" spans="1:8">
      <c r="A723" s="33" t="s">
        <v>577</v>
      </c>
    </row>
    <row r="724" spans="1:8">
      <c r="A724" s="33" t="s">
        <v>756</v>
      </c>
    </row>
    <row r="725" spans="1:8">
      <c r="A725" s="33" t="s">
        <v>757</v>
      </c>
    </row>
    <row r="726" spans="1:8">
      <c r="A726" s="33" t="s">
        <v>758</v>
      </c>
    </row>
    <row r="727" spans="1:8">
      <c r="A727" s="33" t="s">
        <v>732</v>
      </c>
    </row>
    <row r="728" spans="1:8">
      <c r="A728" s="33" t="s">
        <v>759</v>
      </c>
    </row>
    <row r="729" spans="1:8">
      <c r="A729" s="33" t="s">
        <v>760</v>
      </c>
    </row>
    <row r="730" spans="1:8">
      <c r="A730" s="34" t="s">
        <v>354</v>
      </c>
      <c r="B730" s="34" t="s">
        <v>413</v>
      </c>
      <c r="C730" s="34" t="s">
        <v>413</v>
      </c>
      <c r="D730" s="34" t="s">
        <v>413</v>
      </c>
      <c r="E730" s="34" t="s">
        <v>484</v>
      </c>
      <c r="F730" s="34" t="s">
        <v>484</v>
      </c>
      <c r="G730" s="34" t="s">
        <v>484</v>
      </c>
    </row>
    <row r="731" spans="1:8">
      <c r="A731" s="34" t="s">
        <v>357</v>
      </c>
      <c r="B731" s="34" t="s">
        <v>415</v>
      </c>
      <c r="C731" s="34" t="s">
        <v>415</v>
      </c>
      <c r="D731" s="34" t="s">
        <v>415</v>
      </c>
      <c r="E731" s="34" t="s">
        <v>761</v>
      </c>
      <c r="F731" s="34" t="s">
        <v>762</v>
      </c>
      <c r="G731" s="34" t="s">
        <v>763</v>
      </c>
    </row>
    <row r="733" spans="1:8">
      <c r="B733" s="15" t="s">
        <v>764</v>
      </c>
      <c r="C733" s="15" t="s">
        <v>765</v>
      </c>
      <c r="D733" s="15" t="s">
        <v>766</v>
      </c>
      <c r="E733" s="15" t="s">
        <v>767</v>
      </c>
      <c r="F733" s="15" t="s">
        <v>768</v>
      </c>
      <c r="G733" s="15" t="s">
        <v>334</v>
      </c>
    </row>
    <row r="734" spans="1:8">
      <c r="A734" s="4" t="s">
        <v>142</v>
      </c>
      <c r="B734" s="42">
        <f>$C226</f>
        <v>0</v>
      </c>
      <c r="C734" s="42">
        <f>$D226</f>
        <v>0</v>
      </c>
      <c r="D734" s="42">
        <f>$E226</f>
        <v>0</v>
      </c>
      <c r="E734" s="38">
        <f>C734*24*'Input'!$F$58/$D$13</f>
        <v>0</v>
      </c>
      <c r="F734" s="40">
        <f>IF('Input'!$E335,MAX(0,$C734+$B734-'Input'!$E335),$E734*$D$613/'Input'!$F$58/24)</f>
        <v>0</v>
      </c>
      <c r="G734" s="40">
        <f>1-$F734-$D734</f>
        <v>0</v>
      </c>
      <c r="H734" s="17"/>
    </row>
    <row r="735" spans="1:8">
      <c r="A735" s="4" t="s">
        <v>143</v>
      </c>
      <c r="B735" s="42">
        <f>$C227</f>
        <v>0</v>
      </c>
      <c r="C735" s="42">
        <f>$D227</f>
        <v>0</v>
      </c>
      <c r="D735" s="42">
        <f>$E227</f>
        <v>0</v>
      </c>
      <c r="E735" s="38">
        <f>C735*24*'Input'!$F$58/$D$13</f>
        <v>0</v>
      </c>
      <c r="F735" s="40">
        <f>IF('Input'!$E336,MAX(0,$C735+$B735-'Input'!$E336),$E735*$D$613/'Input'!$F$58/24)</f>
        <v>0</v>
      </c>
      <c r="G735" s="40">
        <f>1-$F735-$D735</f>
        <v>0</v>
      </c>
      <c r="H735" s="17"/>
    </row>
    <row r="736" spans="1:8">
      <c r="A736" s="4" t="s">
        <v>144</v>
      </c>
      <c r="B736" s="42">
        <f>$C228</f>
        <v>0</v>
      </c>
      <c r="C736" s="42">
        <f>$D228</f>
        <v>0</v>
      </c>
      <c r="D736" s="42">
        <f>$E228</f>
        <v>0</v>
      </c>
      <c r="E736" s="38">
        <f>C736*24*'Input'!$F$58/$D$13</f>
        <v>0</v>
      </c>
      <c r="F736" s="40">
        <f>IF('Input'!$E337,MAX(0,$C736+$B736-'Input'!$E337),$E736*$D$613/'Input'!$F$58/24)</f>
        <v>0</v>
      </c>
      <c r="G736" s="40">
        <f>1-$F736-$D736</f>
        <v>0</v>
      </c>
      <c r="H736" s="17"/>
    </row>
    <row r="737" spans="1:8">
      <c r="A737" s="4" t="s">
        <v>145</v>
      </c>
      <c r="B737" s="42">
        <f>$C229</f>
        <v>0</v>
      </c>
      <c r="C737" s="42">
        <f>$D229</f>
        <v>0</v>
      </c>
      <c r="D737" s="42">
        <f>$E229</f>
        <v>0</v>
      </c>
      <c r="E737" s="38">
        <f>C737*24*'Input'!$F$58/$D$13</f>
        <v>0</v>
      </c>
      <c r="F737" s="40">
        <f>IF('Input'!$E338,MAX(0,$C737+$B737-'Input'!$E338),$E737*$D$613/'Input'!$F$58/24)</f>
        <v>0</v>
      </c>
      <c r="G737" s="40">
        <f>1-$F737-$D737</f>
        <v>0</v>
      </c>
      <c r="H737" s="17"/>
    </row>
    <row r="738" spans="1:8">
      <c r="A738" s="4" t="s">
        <v>146</v>
      </c>
      <c r="B738" s="42">
        <f>$C230</f>
        <v>0</v>
      </c>
      <c r="C738" s="42">
        <f>$D230</f>
        <v>0</v>
      </c>
      <c r="D738" s="42">
        <f>$E230</f>
        <v>0</v>
      </c>
      <c r="E738" s="38">
        <f>C738*24*'Input'!$F$58/$D$13</f>
        <v>0</v>
      </c>
      <c r="F738" s="40">
        <f>IF('Input'!$E339,MAX(0,$C738+$B738-'Input'!$E339),$E738*$D$613/'Input'!$F$58/24)</f>
        <v>0</v>
      </c>
      <c r="G738" s="40">
        <f>1-$F738-$D738</f>
        <v>0</v>
      </c>
      <c r="H738" s="17"/>
    </row>
    <row r="739" spans="1:8">
      <c r="A739" s="4" t="s">
        <v>151</v>
      </c>
      <c r="B739" s="42">
        <f>$C231</f>
        <v>0</v>
      </c>
      <c r="C739" s="42">
        <f>$D231</f>
        <v>0</v>
      </c>
      <c r="D739" s="42">
        <f>$E231</f>
        <v>0</v>
      </c>
      <c r="E739" s="38">
        <f>C739*24*'Input'!$F$58/$D$13</f>
        <v>0</v>
      </c>
      <c r="F739" s="40">
        <f>IF('Input'!$E340,MAX(0,$C739+$B739-'Input'!$E340),$E739*$D$613/'Input'!$F$58/24)</f>
        <v>0</v>
      </c>
      <c r="G739" s="40">
        <f>1-$F739-$D739</f>
        <v>0</v>
      </c>
      <c r="H739" s="17"/>
    </row>
    <row r="740" spans="1:8">
      <c r="A740" s="4" t="s">
        <v>147</v>
      </c>
      <c r="B740" s="42">
        <f>$C232</f>
        <v>0</v>
      </c>
      <c r="C740" s="42">
        <f>$D232</f>
        <v>0</v>
      </c>
      <c r="D740" s="42">
        <f>$E232</f>
        <v>0</v>
      </c>
      <c r="E740" s="38">
        <f>C740*24*'Input'!$F$58/$D$13</f>
        <v>0</v>
      </c>
      <c r="F740" s="40">
        <f>IF('Input'!$E341,MAX(0,$C740+$B740-'Input'!$E341),$E740*$D$613/'Input'!$F$58/24)</f>
        <v>0</v>
      </c>
      <c r="G740" s="40">
        <f>1-$F740-$D740</f>
        <v>0</v>
      </c>
      <c r="H740" s="17"/>
    </row>
    <row r="741" spans="1:8">
      <c r="A741" s="4" t="s">
        <v>148</v>
      </c>
      <c r="B741" s="42">
        <f>$C233</f>
        <v>0</v>
      </c>
      <c r="C741" s="42">
        <f>$D233</f>
        <v>0</v>
      </c>
      <c r="D741" s="42">
        <f>$E233</f>
        <v>0</v>
      </c>
      <c r="E741" s="38">
        <f>C741*24*'Input'!$F$58/$D$13</f>
        <v>0</v>
      </c>
      <c r="F741" s="40">
        <f>IF('Input'!$E342,MAX(0,$C741+$B741-'Input'!$E342),$E741*$D$613/'Input'!$F$58/24)</f>
        <v>0</v>
      </c>
      <c r="G741" s="40">
        <f>1-$F741-$D741</f>
        <v>0</v>
      </c>
      <c r="H741" s="17"/>
    </row>
    <row r="742" spans="1:8">
      <c r="A742" s="4" t="s">
        <v>149</v>
      </c>
      <c r="B742" s="42">
        <f>$C234</f>
        <v>0</v>
      </c>
      <c r="C742" s="42">
        <f>$D234</f>
        <v>0</v>
      </c>
      <c r="D742" s="42">
        <f>$E234</f>
        <v>0</v>
      </c>
      <c r="E742" s="38">
        <f>C742*24*'Input'!$F$58/$D$13</f>
        <v>0</v>
      </c>
      <c r="F742" s="40">
        <f>IF('Input'!$E343,MAX(0,$C742+$B742-'Input'!$E343),$E742*$D$613/'Input'!$F$58/24)</f>
        <v>0</v>
      </c>
      <c r="G742" s="40">
        <f>1-$F742-$D742</f>
        <v>0</v>
      </c>
      <c r="H742" s="17"/>
    </row>
    <row r="744" spans="1:8" ht="21" customHeight="1">
      <c r="A744" s="1" t="s">
        <v>769</v>
      </c>
    </row>
    <row r="745" spans="1:8">
      <c r="A745" s="2" t="s">
        <v>351</v>
      </c>
    </row>
    <row r="746" spans="1:8">
      <c r="A746" s="33" t="s">
        <v>770</v>
      </c>
    </row>
    <row r="747" spans="1:8">
      <c r="A747" s="33" t="s">
        <v>771</v>
      </c>
    </row>
    <row r="748" spans="1:8">
      <c r="A748" s="33" t="s">
        <v>772</v>
      </c>
    </row>
    <row r="749" spans="1:8">
      <c r="A749" s="2" t="s">
        <v>394</v>
      </c>
    </row>
    <row r="751" spans="1:8">
      <c r="B751" s="15" t="s">
        <v>324</v>
      </c>
      <c r="C751" s="15" t="s">
        <v>325</v>
      </c>
      <c r="D751" s="15" t="s">
        <v>321</v>
      </c>
    </row>
    <row r="752" spans="1:8">
      <c r="A752" s="4" t="s">
        <v>142</v>
      </c>
      <c r="B752" s="42">
        <f>$G$734</f>
        <v>0</v>
      </c>
      <c r="C752" s="42">
        <f>$F$734</f>
        <v>0</v>
      </c>
      <c r="D752" s="42">
        <f>$D$734</f>
        <v>0</v>
      </c>
      <c r="E752" s="17"/>
    </row>
    <row r="753" spans="1:38">
      <c r="A753" s="4" t="s">
        <v>143</v>
      </c>
      <c r="B753" s="42">
        <f>$G$735</f>
        <v>0</v>
      </c>
      <c r="C753" s="42">
        <f>$F$735</f>
        <v>0</v>
      </c>
      <c r="D753" s="42">
        <f>$D$735</f>
        <v>0</v>
      </c>
      <c r="E753" s="17"/>
    </row>
    <row r="754" spans="1:38">
      <c r="A754" s="4" t="s">
        <v>144</v>
      </c>
      <c r="B754" s="42">
        <f>$G$736</f>
        <v>0</v>
      </c>
      <c r="C754" s="42">
        <f>$F$736</f>
        <v>0</v>
      </c>
      <c r="D754" s="42">
        <f>$D$736</f>
        <v>0</v>
      </c>
      <c r="E754" s="17"/>
    </row>
    <row r="755" spans="1:38">
      <c r="A755" s="4" t="s">
        <v>145</v>
      </c>
      <c r="B755" s="42">
        <f>$G$737</f>
        <v>0</v>
      </c>
      <c r="C755" s="42">
        <f>$F$737</f>
        <v>0</v>
      </c>
      <c r="D755" s="42">
        <f>$D$737</f>
        <v>0</v>
      </c>
      <c r="E755" s="17"/>
    </row>
    <row r="756" spans="1:38">
      <c r="A756" s="4" t="s">
        <v>146</v>
      </c>
      <c r="B756" s="42">
        <f>$G$738</f>
        <v>0</v>
      </c>
      <c r="C756" s="42">
        <f>$F$738</f>
        <v>0</v>
      </c>
      <c r="D756" s="42">
        <f>$D$738</f>
        <v>0</v>
      </c>
      <c r="E756" s="17"/>
    </row>
    <row r="757" spans="1:38">
      <c r="A757" s="4" t="s">
        <v>151</v>
      </c>
      <c r="B757" s="42">
        <f>$G$739</f>
        <v>0</v>
      </c>
      <c r="C757" s="42">
        <f>$F$739</f>
        <v>0</v>
      </c>
      <c r="D757" s="42">
        <f>$D$739</f>
        <v>0</v>
      </c>
      <c r="E757" s="17"/>
    </row>
    <row r="758" spans="1:38">
      <c r="A758" s="4" t="s">
        <v>147</v>
      </c>
      <c r="B758" s="42">
        <f>$G$740</f>
        <v>0</v>
      </c>
      <c r="C758" s="42">
        <f>$F$740</f>
        <v>0</v>
      </c>
      <c r="D758" s="42">
        <f>$D$740</f>
        <v>0</v>
      </c>
      <c r="E758" s="17"/>
    </row>
    <row r="759" spans="1:38">
      <c r="A759" s="4" t="s">
        <v>148</v>
      </c>
      <c r="B759" s="42">
        <f>$G$741</f>
        <v>0</v>
      </c>
      <c r="C759" s="42">
        <f>$F$741</f>
        <v>0</v>
      </c>
      <c r="D759" s="42">
        <f>$D$741</f>
        <v>0</v>
      </c>
      <c r="E759" s="17"/>
    </row>
    <row r="760" spans="1:38">
      <c r="A760" s="4" t="s">
        <v>149</v>
      </c>
      <c r="B760" s="42">
        <f>$G$742</f>
        <v>0</v>
      </c>
      <c r="C760" s="42">
        <f>$F$742</f>
        <v>0</v>
      </c>
      <c r="D760" s="42">
        <f>$D$742</f>
        <v>0</v>
      </c>
      <c r="E760" s="17"/>
    </row>
    <row r="762" spans="1:38" ht="21" customHeight="1">
      <c r="A762" s="1" t="s">
        <v>773</v>
      </c>
    </row>
    <row r="763" spans="1:38">
      <c r="A763" s="2" t="s">
        <v>351</v>
      </c>
    </row>
    <row r="764" spans="1:38">
      <c r="A764" s="33" t="s">
        <v>774</v>
      </c>
    </row>
    <row r="765" spans="1:38">
      <c r="A765" s="2" t="s">
        <v>624</v>
      </c>
    </row>
    <row r="767" spans="1:38">
      <c r="B767" s="29" t="s">
        <v>142</v>
      </c>
      <c r="C767" s="15" t="s">
        <v>324</v>
      </c>
      <c r="D767" s="15" t="s">
        <v>325</v>
      </c>
      <c r="E767" s="15" t="s">
        <v>321</v>
      </c>
      <c r="F767" s="29" t="s">
        <v>143</v>
      </c>
      <c r="G767" s="15" t="s">
        <v>324</v>
      </c>
      <c r="H767" s="15" t="s">
        <v>325</v>
      </c>
      <c r="I767" s="15" t="s">
        <v>321</v>
      </c>
      <c r="J767" s="29" t="s">
        <v>144</v>
      </c>
      <c r="K767" s="15" t="s">
        <v>324</v>
      </c>
      <c r="L767" s="15" t="s">
        <v>325</v>
      </c>
      <c r="M767" s="15" t="s">
        <v>321</v>
      </c>
      <c r="N767" s="29" t="s">
        <v>145</v>
      </c>
      <c r="O767" s="15" t="s">
        <v>324</v>
      </c>
      <c r="P767" s="15" t="s">
        <v>325</v>
      </c>
      <c r="Q767" s="15" t="s">
        <v>321</v>
      </c>
      <c r="R767" s="29" t="s">
        <v>146</v>
      </c>
      <c r="S767" s="15" t="s">
        <v>324</v>
      </c>
      <c r="T767" s="15" t="s">
        <v>325</v>
      </c>
      <c r="U767" s="15" t="s">
        <v>321</v>
      </c>
      <c r="V767" s="29" t="s">
        <v>151</v>
      </c>
      <c r="W767" s="15" t="s">
        <v>324</v>
      </c>
      <c r="X767" s="15" t="s">
        <v>325</v>
      </c>
      <c r="Y767" s="15" t="s">
        <v>321</v>
      </c>
      <c r="Z767" s="29" t="s">
        <v>147</v>
      </c>
      <c r="AA767" s="15" t="s">
        <v>324</v>
      </c>
      <c r="AB767" s="15" t="s">
        <v>325</v>
      </c>
      <c r="AC767" s="15" t="s">
        <v>321</v>
      </c>
      <c r="AD767" s="29" t="s">
        <v>148</v>
      </c>
      <c r="AE767" s="15" t="s">
        <v>324</v>
      </c>
      <c r="AF767" s="15" t="s">
        <v>325</v>
      </c>
      <c r="AG767" s="15" t="s">
        <v>321</v>
      </c>
      <c r="AH767" s="29" t="s">
        <v>149</v>
      </c>
      <c r="AI767" s="15" t="s">
        <v>324</v>
      </c>
      <c r="AJ767" s="15" t="s">
        <v>325</v>
      </c>
      <c r="AK767" s="15" t="s">
        <v>321</v>
      </c>
    </row>
    <row r="768" spans="1:38">
      <c r="A768" s="4" t="s">
        <v>625</v>
      </c>
      <c r="C768" s="42">
        <f>B$752</f>
        <v>0</v>
      </c>
      <c r="D768" s="42">
        <f>C$752</f>
        <v>0</v>
      </c>
      <c r="E768" s="42">
        <f>D$752</f>
        <v>0</v>
      </c>
      <c r="G768" s="42">
        <f>B$753</f>
        <v>0</v>
      </c>
      <c r="H768" s="42">
        <f>C$753</f>
        <v>0</v>
      </c>
      <c r="I768" s="42">
        <f>D$753</f>
        <v>0</v>
      </c>
      <c r="K768" s="42">
        <f>B$754</f>
        <v>0</v>
      </c>
      <c r="L768" s="42">
        <f>C$754</f>
        <v>0</v>
      </c>
      <c r="M768" s="42">
        <f>D$754</f>
        <v>0</v>
      </c>
      <c r="O768" s="42">
        <f>B$755</f>
        <v>0</v>
      </c>
      <c r="P768" s="42">
        <f>C$755</f>
        <v>0</v>
      </c>
      <c r="Q768" s="42">
        <f>D$755</f>
        <v>0</v>
      </c>
      <c r="S768" s="42">
        <f>B$756</f>
        <v>0</v>
      </c>
      <c r="T768" s="42">
        <f>C$756</f>
        <v>0</v>
      </c>
      <c r="U768" s="42">
        <f>D$756</f>
        <v>0</v>
      </c>
      <c r="W768" s="42">
        <f>B$757</f>
        <v>0</v>
      </c>
      <c r="X768" s="42">
        <f>C$757</f>
        <v>0</v>
      </c>
      <c r="Y768" s="42">
        <f>D$757</f>
        <v>0</v>
      </c>
      <c r="AA768" s="42">
        <f>B$758</f>
        <v>0</v>
      </c>
      <c r="AB768" s="42">
        <f>C$758</f>
        <v>0</v>
      </c>
      <c r="AC768" s="42">
        <f>D$758</f>
        <v>0</v>
      </c>
      <c r="AE768" s="42">
        <f>B$759</f>
        <v>0</v>
      </c>
      <c r="AF768" s="42">
        <f>C$759</f>
        <v>0</v>
      </c>
      <c r="AG768" s="42">
        <f>D$759</f>
        <v>0</v>
      </c>
      <c r="AI768" s="42">
        <f>B$760</f>
        <v>0</v>
      </c>
      <c r="AJ768" s="42">
        <f>C$760</f>
        <v>0</v>
      </c>
      <c r="AK768" s="42">
        <f>D$760</f>
        <v>0</v>
      </c>
      <c r="AL768" s="17"/>
    </row>
    <row r="770" spans="1:38" ht="21" customHeight="1">
      <c r="A770" s="1" t="s">
        <v>775</v>
      </c>
    </row>
    <row r="771" spans="1:38">
      <c r="A771" s="2" t="s">
        <v>351</v>
      </c>
    </row>
    <row r="772" spans="1:38">
      <c r="A772" s="33" t="s">
        <v>776</v>
      </c>
    </row>
    <row r="773" spans="1:38">
      <c r="A773" s="33" t="s">
        <v>777</v>
      </c>
    </row>
    <row r="774" spans="1:38">
      <c r="A774" s="33" t="s">
        <v>778</v>
      </c>
    </row>
    <row r="775" spans="1:38">
      <c r="A775" s="33" t="s">
        <v>552</v>
      </c>
    </row>
    <row r="776" spans="1:38">
      <c r="A776" s="2" t="s">
        <v>630</v>
      </c>
    </row>
    <row r="778" spans="1:38">
      <c r="B778" s="29" t="s">
        <v>142</v>
      </c>
      <c r="C778" s="15" t="s">
        <v>324</v>
      </c>
      <c r="D778" s="15" t="s">
        <v>325</v>
      </c>
      <c r="E778" s="15" t="s">
        <v>321</v>
      </c>
      <c r="F778" s="29" t="s">
        <v>143</v>
      </c>
      <c r="G778" s="15" t="s">
        <v>324</v>
      </c>
      <c r="H778" s="15" t="s">
        <v>325</v>
      </c>
      <c r="I778" s="15" t="s">
        <v>321</v>
      </c>
      <c r="J778" s="29" t="s">
        <v>144</v>
      </c>
      <c r="K778" s="15" t="s">
        <v>324</v>
      </c>
      <c r="L778" s="15" t="s">
        <v>325</v>
      </c>
      <c r="M778" s="15" t="s">
        <v>321</v>
      </c>
      <c r="N778" s="29" t="s">
        <v>145</v>
      </c>
      <c r="O778" s="15" t="s">
        <v>324</v>
      </c>
      <c r="P778" s="15" t="s">
        <v>325</v>
      </c>
      <c r="Q778" s="15" t="s">
        <v>321</v>
      </c>
      <c r="R778" s="29" t="s">
        <v>146</v>
      </c>
      <c r="S778" s="15" t="s">
        <v>324</v>
      </c>
      <c r="T778" s="15" t="s">
        <v>325</v>
      </c>
      <c r="U778" s="15" t="s">
        <v>321</v>
      </c>
      <c r="V778" s="29" t="s">
        <v>151</v>
      </c>
      <c r="W778" s="15" t="s">
        <v>324</v>
      </c>
      <c r="X778" s="15" t="s">
        <v>325</v>
      </c>
      <c r="Y778" s="15" t="s">
        <v>321</v>
      </c>
      <c r="Z778" s="29" t="s">
        <v>147</v>
      </c>
      <c r="AA778" s="15" t="s">
        <v>324</v>
      </c>
      <c r="AB778" s="15" t="s">
        <v>325</v>
      </c>
      <c r="AC778" s="15" t="s">
        <v>321</v>
      </c>
      <c r="AD778" s="29" t="s">
        <v>148</v>
      </c>
      <c r="AE778" s="15" t="s">
        <v>324</v>
      </c>
      <c r="AF778" s="15" t="s">
        <v>325</v>
      </c>
      <c r="AG778" s="15" t="s">
        <v>321</v>
      </c>
      <c r="AH778" s="29" t="s">
        <v>149</v>
      </c>
      <c r="AI778" s="15" t="s">
        <v>324</v>
      </c>
      <c r="AJ778" s="15" t="s">
        <v>325</v>
      </c>
      <c r="AK778" s="15" t="s">
        <v>321</v>
      </c>
    </row>
    <row r="779" spans="1:38">
      <c r="A779" s="4" t="s">
        <v>779</v>
      </c>
      <c r="C779" s="38">
        <f>IF(C613&gt;0,$B716*C768*24*'Input'!$F58/C613,0)</f>
        <v>0</v>
      </c>
      <c r="D779" s="38">
        <f>IF(D613&gt;0,$B716*D768*24*'Input'!$F58/D613,0)</f>
        <v>0</v>
      </c>
      <c r="E779" s="38">
        <f>IF(E613&gt;0,$B716*E768*24*'Input'!$F58/E613,0)</f>
        <v>0</v>
      </c>
      <c r="G779" s="38">
        <f>IF(C613&gt;0,$B716*G768*24*'Input'!$F58/C613,0)</f>
        <v>0</v>
      </c>
      <c r="H779" s="38">
        <f>IF(D613&gt;0,$B716*H768*24*'Input'!$F58/D613,0)</f>
        <v>0</v>
      </c>
      <c r="I779" s="38">
        <f>IF(E613&gt;0,$B716*I768*24*'Input'!$F58/E613,0)</f>
        <v>0</v>
      </c>
      <c r="K779" s="38">
        <f>IF(C613&gt;0,$B716*K768*24*'Input'!$F58/C613,0)</f>
        <v>0</v>
      </c>
      <c r="L779" s="38">
        <f>IF(D613&gt;0,$B716*L768*24*'Input'!$F58/D613,0)</f>
        <v>0</v>
      </c>
      <c r="M779" s="38">
        <f>IF(E613&gt;0,$B716*M768*24*'Input'!$F58/E613,0)</f>
        <v>0</v>
      </c>
      <c r="O779" s="38">
        <f>IF(C613&gt;0,$B716*O768*24*'Input'!$F58/C613,0)</f>
        <v>0</v>
      </c>
      <c r="P779" s="38">
        <f>IF(D613&gt;0,$B716*P768*24*'Input'!$F58/D613,0)</f>
        <v>0</v>
      </c>
      <c r="Q779" s="38">
        <f>IF(E613&gt;0,$B716*Q768*24*'Input'!$F58/E613,0)</f>
        <v>0</v>
      </c>
      <c r="S779" s="38">
        <f>IF(C613&gt;0,$B716*S768*24*'Input'!$F58/C613,0)</f>
        <v>0</v>
      </c>
      <c r="T779" s="38">
        <f>IF(D613&gt;0,$B716*T768*24*'Input'!$F58/D613,0)</f>
        <v>0</v>
      </c>
      <c r="U779" s="38">
        <f>IF(E613&gt;0,$B716*U768*24*'Input'!$F58/E613,0)</f>
        <v>0</v>
      </c>
      <c r="W779" s="38">
        <f>IF(C613&gt;0,$B716*W768*24*'Input'!$F58/C613,0)</f>
        <v>0</v>
      </c>
      <c r="X779" s="38">
        <f>IF(D613&gt;0,$B716*X768*24*'Input'!$F58/D613,0)</f>
        <v>0</v>
      </c>
      <c r="Y779" s="38">
        <f>IF(E613&gt;0,$B716*Y768*24*'Input'!$F58/E613,0)</f>
        <v>0</v>
      </c>
      <c r="AA779" s="38">
        <f>IF(C613&gt;0,$B716*AA768*24*'Input'!$F58/C613,0)</f>
        <v>0</v>
      </c>
      <c r="AB779" s="38">
        <f>IF(D613&gt;0,$B716*AB768*24*'Input'!$F58/D613,0)</f>
        <v>0</v>
      </c>
      <c r="AC779" s="38">
        <f>IF(E613&gt;0,$B716*AC768*24*'Input'!$F58/E613,0)</f>
        <v>0</v>
      </c>
      <c r="AE779" s="38">
        <f>IF(C613&gt;0,$B716*AE768*24*'Input'!$F58/C613,0)</f>
        <v>0</v>
      </c>
      <c r="AF779" s="38">
        <f>IF(D613&gt;0,$B716*AF768*24*'Input'!$F58/D613,0)</f>
        <v>0</v>
      </c>
      <c r="AG779" s="38">
        <f>IF(E613&gt;0,$B716*AG768*24*'Input'!$F58/E613,0)</f>
        <v>0</v>
      </c>
      <c r="AI779" s="38">
        <f>IF(C613&gt;0,$B716*AI768*24*'Input'!$F58/C613,0)</f>
        <v>0</v>
      </c>
      <c r="AJ779" s="38">
        <f>IF(D613&gt;0,$B716*AJ768*24*'Input'!$F58/D613,0)</f>
        <v>0</v>
      </c>
      <c r="AK779" s="38">
        <f>IF(E613&gt;0,$B716*AK768*24*'Input'!$F58/E613,0)</f>
        <v>0</v>
      </c>
      <c r="AL779" s="17"/>
    </row>
    <row r="781" spans="1:38" ht="21" customHeight="1">
      <c r="A781" s="1" t="s">
        <v>780</v>
      </c>
    </row>
    <row r="782" spans="1:38">
      <c r="A782" s="2" t="s">
        <v>351</v>
      </c>
    </row>
    <row r="783" spans="1:38">
      <c r="A783" s="33" t="s">
        <v>781</v>
      </c>
    </row>
    <row r="784" spans="1:38">
      <c r="A784" s="33" t="s">
        <v>782</v>
      </c>
    </row>
    <row r="785" spans="1:11">
      <c r="A785" s="2" t="s">
        <v>364</v>
      </c>
    </row>
    <row r="787" spans="1:11">
      <c r="B787" s="15" t="s">
        <v>142</v>
      </c>
      <c r="C787" s="15" t="s">
        <v>143</v>
      </c>
      <c r="D787" s="15" t="s">
        <v>144</v>
      </c>
      <c r="E787" s="15" t="s">
        <v>145</v>
      </c>
      <c r="F787" s="15" t="s">
        <v>146</v>
      </c>
      <c r="G787" s="15" t="s">
        <v>151</v>
      </c>
      <c r="H787" s="15" t="s">
        <v>147</v>
      </c>
      <c r="I787" s="15" t="s">
        <v>148</v>
      </c>
      <c r="J787" s="15" t="s">
        <v>149</v>
      </c>
    </row>
    <row r="788" spans="1:11">
      <c r="A788" s="4" t="s">
        <v>213</v>
      </c>
      <c r="B788" s="38">
        <f>SUMPRODUCT($C$779:$E$779,$B638:$D638)</f>
        <v>0</v>
      </c>
      <c r="C788" s="38">
        <f>SUMPRODUCT($G$779:$I$779,$B638:$D638)</f>
        <v>0</v>
      </c>
      <c r="D788" s="38">
        <f>SUMPRODUCT($K$779:$M$779,$B638:$D638)</f>
        <v>0</v>
      </c>
      <c r="E788" s="38">
        <f>SUMPRODUCT($O$779:$Q$779,$B638:$D638)</f>
        <v>0</v>
      </c>
      <c r="F788" s="38">
        <f>SUMPRODUCT($S$779:$U$779,$B638:$D638)</f>
        <v>0</v>
      </c>
      <c r="G788" s="38">
        <f>SUMPRODUCT($W$779:$Y$779,$B638:$D638)</f>
        <v>0</v>
      </c>
      <c r="H788" s="38">
        <f>SUMPRODUCT($AA$779:$AC$779,$B638:$D638)</f>
        <v>0</v>
      </c>
      <c r="I788" s="38">
        <f>SUMPRODUCT($AE$779:$AG$779,$B638:$D638)</f>
        <v>0</v>
      </c>
      <c r="J788" s="38">
        <f>SUMPRODUCT($AI$779:$AK$779,$B638:$D638)</f>
        <v>0</v>
      </c>
      <c r="K788" s="17"/>
    </row>
    <row r="789" spans="1:11">
      <c r="A789" s="4" t="s">
        <v>214</v>
      </c>
      <c r="B789" s="38">
        <f>SUMPRODUCT($C$779:$E$779,$B639:$D639)</f>
        <v>0</v>
      </c>
      <c r="C789" s="38">
        <f>SUMPRODUCT($G$779:$I$779,$B639:$D639)</f>
        <v>0</v>
      </c>
      <c r="D789" s="38">
        <f>SUMPRODUCT($K$779:$M$779,$B639:$D639)</f>
        <v>0</v>
      </c>
      <c r="E789" s="38">
        <f>SUMPRODUCT($O$779:$Q$779,$B639:$D639)</f>
        <v>0</v>
      </c>
      <c r="F789" s="38">
        <f>SUMPRODUCT($S$779:$U$779,$B639:$D639)</f>
        <v>0</v>
      </c>
      <c r="G789" s="38">
        <f>SUMPRODUCT($W$779:$Y$779,$B639:$D639)</f>
        <v>0</v>
      </c>
      <c r="H789" s="38">
        <f>SUMPRODUCT($AA$779:$AC$779,$B639:$D639)</f>
        <v>0</v>
      </c>
      <c r="I789" s="38">
        <f>SUMPRODUCT($AE$779:$AG$779,$B639:$D639)</f>
        <v>0</v>
      </c>
      <c r="J789" s="38">
        <f>SUMPRODUCT($AI$779:$AK$779,$B639:$D639)</f>
        <v>0</v>
      </c>
      <c r="K789" s="17"/>
    </row>
    <row r="790" spans="1:11">
      <c r="A790" s="4" t="s">
        <v>215</v>
      </c>
      <c r="B790" s="38">
        <f>SUMPRODUCT($C$779:$E$779,$B640:$D640)</f>
        <v>0</v>
      </c>
      <c r="C790" s="38">
        <f>SUMPRODUCT($G$779:$I$779,$B640:$D640)</f>
        <v>0</v>
      </c>
      <c r="D790" s="38">
        <f>SUMPRODUCT($K$779:$M$779,$B640:$D640)</f>
        <v>0</v>
      </c>
      <c r="E790" s="38">
        <f>SUMPRODUCT($O$779:$Q$779,$B640:$D640)</f>
        <v>0</v>
      </c>
      <c r="F790" s="38">
        <f>SUMPRODUCT($S$779:$U$779,$B640:$D640)</f>
        <v>0</v>
      </c>
      <c r="G790" s="38">
        <f>SUMPRODUCT($W$779:$Y$779,$B640:$D640)</f>
        <v>0</v>
      </c>
      <c r="H790" s="38">
        <f>SUMPRODUCT($AA$779:$AC$779,$B640:$D640)</f>
        <v>0</v>
      </c>
      <c r="I790" s="38">
        <f>SUMPRODUCT($AE$779:$AG$779,$B640:$D640)</f>
        <v>0</v>
      </c>
      <c r="J790" s="38">
        <f>SUMPRODUCT($AI$779:$AK$779,$B640:$D640)</f>
        <v>0</v>
      </c>
      <c r="K790" s="17"/>
    </row>
    <row r="791" spans="1:11">
      <c r="A791" s="4" t="s">
        <v>216</v>
      </c>
      <c r="B791" s="38">
        <f>SUMPRODUCT($C$779:$E$779,$B641:$D641)</f>
        <v>0</v>
      </c>
      <c r="C791" s="38">
        <f>SUMPRODUCT($G$779:$I$779,$B641:$D641)</f>
        <v>0</v>
      </c>
      <c r="D791" s="38">
        <f>SUMPRODUCT($K$779:$M$779,$B641:$D641)</f>
        <v>0</v>
      </c>
      <c r="E791" s="38">
        <f>SUMPRODUCT($O$779:$Q$779,$B641:$D641)</f>
        <v>0</v>
      </c>
      <c r="F791" s="38">
        <f>SUMPRODUCT($S$779:$U$779,$B641:$D641)</f>
        <v>0</v>
      </c>
      <c r="G791" s="38">
        <f>SUMPRODUCT($W$779:$Y$779,$B641:$D641)</f>
        <v>0</v>
      </c>
      <c r="H791" s="38">
        <f>SUMPRODUCT($AA$779:$AC$779,$B641:$D641)</f>
        <v>0</v>
      </c>
      <c r="I791" s="38">
        <f>SUMPRODUCT($AE$779:$AG$779,$B641:$D641)</f>
        <v>0</v>
      </c>
      <c r="J791" s="38">
        <f>SUMPRODUCT($AI$779:$AK$779,$B641:$D641)</f>
        <v>0</v>
      </c>
      <c r="K791" s="17"/>
    </row>
    <row r="792" spans="1:11">
      <c r="A792" s="4" t="s">
        <v>217</v>
      </c>
      <c r="B792" s="38">
        <f>SUMPRODUCT($C$779:$E$779,$B642:$D642)</f>
        <v>0</v>
      </c>
      <c r="C792" s="38">
        <f>SUMPRODUCT($G$779:$I$779,$B642:$D642)</f>
        <v>0</v>
      </c>
      <c r="D792" s="38">
        <f>SUMPRODUCT($K$779:$M$779,$B642:$D642)</f>
        <v>0</v>
      </c>
      <c r="E792" s="38">
        <f>SUMPRODUCT($O$779:$Q$779,$B642:$D642)</f>
        <v>0</v>
      </c>
      <c r="F792" s="38">
        <f>SUMPRODUCT($S$779:$U$779,$B642:$D642)</f>
        <v>0</v>
      </c>
      <c r="G792" s="38">
        <f>SUMPRODUCT($W$779:$Y$779,$B642:$D642)</f>
        <v>0</v>
      </c>
      <c r="H792" s="38">
        <f>SUMPRODUCT($AA$779:$AC$779,$B642:$D642)</f>
        <v>0</v>
      </c>
      <c r="I792" s="38">
        <f>SUMPRODUCT($AE$779:$AG$779,$B642:$D642)</f>
        <v>0</v>
      </c>
      <c r="J792" s="38">
        <f>SUMPRODUCT($AI$779:$AK$779,$B642:$D642)</f>
        <v>0</v>
      </c>
      <c r="K792" s="17"/>
    </row>
    <row r="794" spans="1:11" ht="21" customHeight="1">
      <c r="A794" s="1" t="s">
        <v>783</v>
      </c>
    </row>
    <row r="795" spans="1:11">
      <c r="A795" s="2" t="s">
        <v>351</v>
      </c>
    </row>
    <row r="796" spans="1:11">
      <c r="A796" s="33" t="s">
        <v>781</v>
      </c>
    </row>
    <row r="797" spans="1:11">
      <c r="A797" s="33" t="s">
        <v>784</v>
      </c>
    </row>
    <row r="798" spans="1:11">
      <c r="A798" s="2" t="s">
        <v>364</v>
      </c>
    </row>
    <row r="800" spans="1:11">
      <c r="B800" s="15" t="s">
        <v>142</v>
      </c>
      <c r="C800" s="15" t="s">
        <v>143</v>
      </c>
      <c r="D800" s="15" t="s">
        <v>144</v>
      </c>
      <c r="E800" s="15" t="s">
        <v>145</v>
      </c>
      <c r="F800" s="15" t="s">
        <v>146</v>
      </c>
      <c r="G800" s="15" t="s">
        <v>151</v>
      </c>
      <c r="H800" s="15" t="s">
        <v>147</v>
      </c>
      <c r="I800" s="15" t="s">
        <v>148</v>
      </c>
      <c r="J800" s="15" t="s">
        <v>149</v>
      </c>
    </row>
    <row r="801" spans="1:11">
      <c r="A801" s="4" t="s">
        <v>217</v>
      </c>
      <c r="B801" s="38">
        <f>SUMPRODUCT($C$779:$E$779,$B647:$D647)</f>
        <v>0</v>
      </c>
      <c r="C801" s="38">
        <f>SUMPRODUCT($G$779:$I$779,$B647:$D647)</f>
        <v>0</v>
      </c>
      <c r="D801" s="38">
        <f>SUMPRODUCT($K$779:$M$779,$B647:$D647)</f>
        <v>0</v>
      </c>
      <c r="E801" s="38">
        <f>SUMPRODUCT($O$779:$Q$779,$B647:$D647)</f>
        <v>0</v>
      </c>
      <c r="F801" s="38">
        <f>SUMPRODUCT($S$779:$U$779,$B647:$D647)</f>
        <v>0</v>
      </c>
      <c r="G801" s="38">
        <f>SUMPRODUCT($W$779:$Y$779,$B647:$D647)</f>
        <v>0</v>
      </c>
      <c r="H801" s="38">
        <f>SUMPRODUCT($AA$779:$AC$779,$B647:$D647)</f>
        <v>0</v>
      </c>
      <c r="I801" s="38">
        <f>SUMPRODUCT($AE$779:$AG$779,$B647:$D647)</f>
        <v>0</v>
      </c>
      <c r="J801" s="38">
        <f>SUMPRODUCT($AI$779:$AK$779,$B647:$D647)</f>
        <v>0</v>
      </c>
      <c r="K801" s="17"/>
    </row>
    <row r="803" spans="1:11" ht="21" customHeight="1">
      <c r="A803" s="1" t="s">
        <v>785</v>
      </c>
    </row>
    <row r="804" spans="1:11">
      <c r="A804" s="2" t="s">
        <v>351</v>
      </c>
    </row>
    <row r="805" spans="1:11">
      <c r="A805" s="33" t="s">
        <v>781</v>
      </c>
    </row>
    <row r="806" spans="1:11">
      <c r="A806" s="33" t="s">
        <v>786</v>
      </c>
    </row>
    <row r="807" spans="1:11">
      <c r="A807" s="2" t="s">
        <v>364</v>
      </c>
    </row>
    <row r="809" spans="1:11">
      <c r="B809" s="15" t="s">
        <v>142</v>
      </c>
      <c r="C809" s="15" t="s">
        <v>143</v>
      </c>
      <c r="D809" s="15" t="s">
        <v>144</v>
      </c>
      <c r="E809" s="15" t="s">
        <v>145</v>
      </c>
      <c r="F809" s="15" t="s">
        <v>146</v>
      </c>
      <c r="G809" s="15" t="s">
        <v>151</v>
      </c>
      <c r="H809" s="15" t="s">
        <v>147</v>
      </c>
      <c r="I809" s="15" t="s">
        <v>148</v>
      </c>
      <c r="J809" s="15" t="s">
        <v>149</v>
      </c>
    </row>
    <row r="810" spans="1:11">
      <c r="A810" s="4" t="s">
        <v>217</v>
      </c>
      <c r="B810" s="38">
        <f>SUMPRODUCT($C$779:$E$779,$B652:$D652)</f>
        <v>0</v>
      </c>
      <c r="C810" s="38">
        <f>SUMPRODUCT($G$779:$I$779,$B652:$D652)</f>
        <v>0</v>
      </c>
      <c r="D810" s="38">
        <f>SUMPRODUCT($K$779:$M$779,$B652:$D652)</f>
        <v>0</v>
      </c>
      <c r="E810" s="38">
        <f>SUMPRODUCT($O$779:$Q$779,$B652:$D652)</f>
        <v>0</v>
      </c>
      <c r="F810" s="38">
        <f>SUMPRODUCT($S$779:$U$779,$B652:$D652)</f>
        <v>0</v>
      </c>
      <c r="G810" s="38">
        <f>SUMPRODUCT($W$779:$Y$779,$B652:$D652)</f>
        <v>0</v>
      </c>
      <c r="H810" s="38">
        <f>SUMPRODUCT($AA$779:$AC$779,$B652:$D652)</f>
        <v>0</v>
      </c>
      <c r="I810" s="38">
        <f>SUMPRODUCT($AE$779:$AG$779,$B652:$D652)</f>
        <v>0</v>
      </c>
      <c r="J810" s="38">
        <f>SUMPRODUCT($AI$779:$AK$779,$B652:$D652)</f>
        <v>0</v>
      </c>
      <c r="K810" s="17"/>
    </row>
    <row r="812" spans="1:11" ht="21" customHeight="1">
      <c r="A812" s="1" t="s">
        <v>787</v>
      </c>
    </row>
    <row r="813" spans="1:11">
      <c r="A813" s="2" t="s">
        <v>351</v>
      </c>
    </row>
    <row r="814" spans="1:11">
      <c r="A814" s="33" t="s">
        <v>788</v>
      </c>
    </row>
    <row r="815" spans="1:11">
      <c r="A815" s="33" t="s">
        <v>789</v>
      </c>
    </row>
    <row r="816" spans="1:11">
      <c r="A816" s="2" t="s">
        <v>369</v>
      </c>
    </row>
    <row r="818" spans="1:11">
      <c r="B818" s="15" t="s">
        <v>142</v>
      </c>
      <c r="C818" s="15" t="s">
        <v>143</v>
      </c>
      <c r="D818" s="15" t="s">
        <v>144</v>
      </c>
      <c r="E818" s="15" t="s">
        <v>145</v>
      </c>
      <c r="F818" s="15" t="s">
        <v>146</v>
      </c>
      <c r="G818" s="15" t="s">
        <v>151</v>
      </c>
      <c r="H818" s="15" t="s">
        <v>147</v>
      </c>
      <c r="I818" s="15" t="s">
        <v>148</v>
      </c>
      <c r="J818" s="15" t="s">
        <v>149</v>
      </c>
    </row>
    <row r="819" spans="1:11">
      <c r="A819" s="4" t="s">
        <v>174</v>
      </c>
      <c r="B819" s="39">
        <f>$B$554</f>
        <v>0</v>
      </c>
      <c r="C819" s="39">
        <f>$C$554</f>
        <v>0</v>
      </c>
      <c r="D819" s="39">
        <f>$D$554</f>
        <v>0</v>
      </c>
      <c r="E819" s="39">
        <f>$E$554</f>
        <v>0</v>
      </c>
      <c r="F819" s="39">
        <f>$F$554</f>
        <v>0</v>
      </c>
      <c r="G819" s="39">
        <f>$G$554</f>
        <v>0</v>
      </c>
      <c r="H819" s="39">
        <f>$H$554</f>
        <v>0</v>
      </c>
      <c r="I819" s="39">
        <f>$I$554</f>
        <v>0</v>
      </c>
      <c r="J819" s="39">
        <f>$J$554</f>
        <v>0</v>
      </c>
      <c r="K819" s="17"/>
    </row>
    <row r="820" spans="1:11">
      <c r="A820" s="4" t="s">
        <v>175</v>
      </c>
      <c r="B820" s="39">
        <f>$B$555</f>
        <v>0</v>
      </c>
      <c r="C820" s="39">
        <f>$C$555</f>
        <v>0</v>
      </c>
      <c r="D820" s="39">
        <f>$D$555</f>
        <v>0</v>
      </c>
      <c r="E820" s="39">
        <f>$E$555</f>
        <v>0</v>
      </c>
      <c r="F820" s="39">
        <f>$F$555</f>
        <v>0</v>
      </c>
      <c r="G820" s="39">
        <f>$G$555</f>
        <v>0</v>
      </c>
      <c r="H820" s="39">
        <f>$H$555</f>
        <v>0</v>
      </c>
      <c r="I820" s="39">
        <f>$I$555</f>
        <v>0</v>
      </c>
      <c r="J820" s="39">
        <f>$J$555</f>
        <v>0</v>
      </c>
      <c r="K820" s="17"/>
    </row>
    <row r="821" spans="1:11">
      <c r="A821" s="4" t="s">
        <v>211</v>
      </c>
      <c r="B821" s="39">
        <f>$B$556</f>
        <v>0</v>
      </c>
      <c r="C821" s="39">
        <f>$C$556</f>
        <v>0</v>
      </c>
      <c r="D821" s="39">
        <f>$D$556</f>
        <v>0</v>
      </c>
      <c r="E821" s="39">
        <f>$E$556</f>
        <v>0</v>
      </c>
      <c r="F821" s="39">
        <f>$F$556</f>
        <v>0</v>
      </c>
      <c r="G821" s="39">
        <f>$G$556</f>
        <v>0</v>
      </c>
      <c r="H821" s="39">
        <f>$H$556</f>
        <v>0</v>
      </c>
      <c r="I821" s="39">
        <f>$I$556</f>
        <v>0</v>
      </c>
      <c r="J821" s="39">
        <f>$J$556</f>
        <v>0</v>
      </c>
      <c r="K821" s="17"/>
    </row>
    <row r="822" spans="1:11">
      <c r="A822" s="4" t="s">
        <v>176</v>
      </c>
      <c r="B822" s="39">
        <f>$B$557</f>
        <v>0</v>
      </c>
      <c r="C822" s="39">
        <f>$C$557</f>
        <v>0</v>
      </c>
      <c r="D822" s="39">
        <f>$D$557</f>
        <v>0</v>
      </c>
      <c r="E822" s="39">
        <f>$E$557</f>
        <v>0</v>
      </c>
      <c r="F822" s="39">
        <f>$F$557</f>
        <v>0</v>
      </c>
      <c r="G822" s="39">
        <f>$G$557</f>
        <v>0</v>
      </c>
      <c r="H822" s="39">
        <f>$H$557</f>
        <v>0</v>
      </c>
      <c r="I822" s="39">
        <f>$I$557</f>
        <v>0</v>
      </c>
      <c r="J822" s="39">
        <f>$J$557</f>
        <v>0</v>
      </c>
      <c r="K822" s="17"/>
    </row>
    <row r="823" spans="1:11">
      <c r="A823" s="4" t="s">
        <v>177</v>
      </c>
      <c r="B823" s="39">
        <f>$B$558</f>
        <v>0</v>
      </c>
      <c r="C823" s="39">
        <f>$C$558</f>
        <v>0</v>
      </c>
      <c r="D823" s="39">
        <f>$D$558</f>
        <v>0</v>
      </c>
      <c r="E823" s="39">
        <f>$E$558</f>
        <v>0</v>
      </c>
      <c r="F823" s="39">
        <f>$F$558</f>
        <v>0</v>
      </c>
      <c r="G823" s="39">
        <f>$G$558</f>
        <v>0</v>
      </c>
      <c r="H823" s="39">
        <f>$H$558</f>
        <v>0</v>
      </c>
      <c r="I823" s="39">
        <f>$I$558</f>
        <v>0</v>
      </c>
      <c r="J823" s="39">
        <f>$J$558</f>
        <v>0</v>
      </c>
      <c r="K823" s="17"/>
    </row>
    <row r="824" spans="1:11">
      <c r="A824" s="4" t="s">
        <v>212</v>
      </c>
      <c r="B824" s="39">
        <f>$B$559</f>
        <v>0</v>
      </c>
      <c r="C824" s="39">
        <f>$C$559</f>
        <v>0</v>
      </c>
      <c r="D824" s="39">
        <f>$D$559</f>
        <v>0</v>
      </c>
      <c r="E824" s="39">
        <f>$E$559</f>
        <v>0</v>
      </c>
      <c r="F824" s="39">
        <f>$F$559</f>
        <v>0</v>
      </c>
      <c r="G824" s="39">
        <f>$G$559</f>
        <v>0</v>
      </c>
      <c r="H824" s="39">
        <f>$H$559</f>
        <v>0</v>
      </c>
      <c r="I824" s="39">
        <f>$I$559</f>
        <v>0</v>
      </c>
      <c r="J824" s="39">
        <f>$J$559</f>
        <v>0</v>
      </c>
      <c r="K824" s="17"/>
    </row>
    <row r="825" spans="1:11">
      <c r="A825" s="4" t="s">
        <v>178</v>
      </c>
      <c r="B825" s="39">
        <f>$B$560</f>
        <v>0</v>
      </c>
      <c r="C825" s="39">
        <f>$C$560</f>
        <v>0</v>
      </c>
      <c r="D825" s="39">
        <f>$D$560</f>
        <v>0</v>
      </c>
      <c r="E825" s="39">
        <f>$E$560</f>
        <v>0</v>
      </c>
      <c r="F825" s="39">
        <f>$F$560</f>
        <v>0</v>
      </c>
      <c r="G825" s="39">
        <f>$G$560</f>
        <v>0</v>
      </c>
      <c r="H825" s="39">
        <f>$H$560</f>
        <v>0</v>
      </c>
      <c r="I825" s="39">
        <f>$I$560</f>
        <v>0</v>
      </c>
      <c r="J825" s="39">
        <f>$J$560</f>
        <v>0</v>
      </c>
      <c r="K825" s="17"/>
    </row>
    <row r="826" spans="1:11">
      <c r="A826" s="4" t="s">
        <v>179</v>
      </c>
      <c r="B826" s="39">
        <f>$B$561</f>
        <v>0</v>
      </c>
      <c r="C826" s="39">
        <f>$C$561</f>
        <v>0</v>
      </c>
      <c r="D826" s="39">
        <f>$D$561</f>
        <v>0</v>
      </c>
      <c r="E826" s="39">
        <f>$E$561</f>
        <v>0</v>
      </c>
      <c r="F826" s="39">
        <f>$F$561</f>
        <v>0</v>
      </c>
      <c r="G826" s="39">
        <f>$G$561</f>
        <v>0</v>
      </c>
      <c r="H826" s="39">
        <f>$H$561</f>
        <v>0</v>
      </c>
      <c r="I826" s="39">
        <f>$I$561</f>
        <v>0</v>
      </c>
      <c r="J826" s="39">
        <f>$J$561</f>
        <v>0</v>
      </c>
      <c r="K826" s="17"/>
    </row>
    <row r="827" spans="1:11">
      <c r="A827" s="4" t="s">
        <v>180</v>
      </c>
      <c r="B827" s="39">
        <f>$B$562</f>
        <v>0</v>
      </c>
      <c r="C827" s="39">
        <f>$C$562</f>
        <v>0</v>
      </c>
      <c r="D827" s="39">
        <f>$D$562</f>
        <v>0</v>
      </c>
      <c r="E827" s="39">
        <f>$E$562</f>
        <v>0</v>
      </c>
      <c r="F827" s="39">
        <f>$F$562</f>
        <v>0</v>
      </c>
      <c r="G827" s="39">
        <f>$G$562</f>
        <v>0</v>
      </c>
      <c r="H827" s="39">
        <f>$H$562</f>
        <v>0</v>
      </c>
      <c r="I827" s="39">
        <f>$I$562</f>
        <v>0</v>
      </c>
      <c r="J827" s="39">
        <f>$J$562</f>
        <v>0</v>
      </c>
      <c r="K827" s="17"/>
    </row>
    <row r="828" spans="1:11">
      <c r="A828" s="4" t="s">
        <v>181</v>
      </c>
      <c r="B828" s="39">
        <f>$B$563</f>
        <v>0</v>
      </c>
      <c r="C828" s="39">
        <f>$C$563</f>
        <v>0</v>
      </c>
      <c r="D828" s="39">
        <f>$D$563</f>
        <v>0</v>
      </c>
      <c r="E828" s="39">
        <f>$E$563</f>
        <v>0</v>
      </c>
      <c r="F828" s="39">
        <f>$F$563</f>
        <v>0</v>
      </c>
      <c r="G828" s="39">
        <f>$G$563</f>
        <v>0</v>
      </c>
      <c r="H828" s="39">
        <f>$H$563</f>
        <v>0</v>
      </c>
      <c r="I828" s="39">
        <f>$I$563</f>
        <v>0</v>
      </c>
      <c r="J828" s="39">
        <f>$J$563</f>
        <v>0</v>
      </c>
      <c r="K828" s="17"/>
    </row>
    <row r="829" spans="1:11">
      <c r="A829" s="4" t="s">
        <v>193</v>
      </c>
      <c r="B829" s="39">
        <f>$B$564</f>
        <v>0</v>
      </c>
      <c r="C829" s="39">
        <f>$C$564</f>
        <v>0</v>
      </c>
      <c r="D829" s="39">
        <f>$D$564</f>
        <v>0</v>
      </c>
      <c r="E829" s="39">
        <f>$E$564</f>
        <v>0</v>
      </c>
      <c r="F829" s="39">
        <f>$F$564</f>
        <v>0</v>
      </c>
      <c r="G829" s="39">
        <f>$G$564</f>
        <v>0</v>
      </c>
      <c r="H829" s="39">
        <f>$H$564</f>
        <v>0</v>
      </c>
      <c r="I829" s="39">
        <f>$I$564</f>
        <v>0</v>
      </c>
      <c r="J829" s="39">
        <f>$J$564</f>
        <v>0</v>
      </c>
      <c r="K829" s="17"/>
    </row>
    <row r="830" spans="1:11">
      <c r="A830" s="4" t="s">
        <v>213</v>
      </c>
      <c r="B830" s="39">
        <f>$B$788</f>
        <v>0</v>
      </c>
      <c r="C830" s="39">
        <f>$C$788</f>
        <v>0</v>
      </c>
      <c r="D830" s="39">
        <f>$D$788</f>
        <v>0</v>
      </c>
      <c r="E830" s="39">
        <f>$E$788</f>
        <v>0</v>
      </c>
      <c r="F830" s="39">
        <f>$F$788</f>
        <v>0</v>
      </c>
      <c r="G830" s="39">
        <f>$G$788</f>
        <v>0</v>
      </c>
      <c r="H830" s="39">
        <f>$H$788</f>
        <v>0</v>
      </c>
      <c r="I830" s="39">
        <f>$I$788</f>
        <v>0</v>
      </c>
      <c r="J830" s="39">
        <f>$J$788</f>
        <v>0</v>
      </c>
      <c r="K830" s="17"/>
    </row>
    <row r="831" spans="1:11">
      <c r="A831" s="4" t="s">
        <v>214</v>
      </c>
      <c r="B831" s="39">
        <f>$B$789</f>
        <v>0</v>
      </c>
      <c r="C831" s="39">
        <f>$C$789</f>
        <v>0</v>
      </c>
      <c r="D831" s="39">
        <f>$D$789</f>
        <v>0</v>
      </c>
      <c r="E831" s="39">
        <f>$E$789</f>
        <v>0</v>
      </c>
      <c r="F831" s="39">
        <f>$F$789</f>
        <v>0</v>
      </c>
      <c r="G831" s="39">
        <f>$G$789</f>
        <v>0</v>
      </c>
      <c r="H831" s="39">
        <f>$H$789</f>
        <v>0</v>
      </c>
      <c r="I831" s="39">
        <f>$I$789</f>
        <v>0</v>
      </c>
      <c r="J831" s="39">
        <f>$J$789</f>
        <v>0</v>
      </c>
      <c r="K831" s="17"/>
    </row>
    <row r="832" spans="1:11">
      <c r="A832" s="4" t="s">
        <v>215</v>
      </c>
      <c r="B832" s="39">
        <f>$B$790</f>
        <v>0</v>
      </c>
      <c r="C832" s="39">
        <f>$C$790</f>
        <v>0</v>
      </c>
      <c r="D832" s="39">
        <f>$D$790</f>
        <v>0</v>
      </c>
      <c r="E832" s="39">
        <f>$E$790</f>
        <v>0</v>
      </c>
      <c r="F832" s="39">
        <f>$F$790</f>
        <v>0</v>
      </c>
      <c r="G832" s="39">
        <f>$G$790</f>
        <v>0</v>
      </c>
      <c r="H832" s="39">
        <f>$H$790</f>
        <v>0</v>
      </c>
      <c r="I832" s="39">
        <f>$I$790</f>
        <v>0</v>
      </c>
      <c r="J832" s="39">
        <f>$J$790</f>
        <v>0</v>
      </c>
      <c r="K832" s="17"/>
    </row>
    <row r="833" spans="1:11">
      <c r="A833" s="4" t="s">
        <v>216</v>
      </c>
      <c r="B833" s="39">
        <f>$B$791</f>
        <v>0</v>
      </c>
      <c r="C833" s="39">
        <f>$C$791</f>
        <v>0</v>
      </c>
      <c r="D833" s="39">
        <f>$D$791</f>
        <v>0</v>
      </c>
      <c r="E833" s="39">
        <f>$E$791</f>
        <v>0</v>
      </c>
      <c r="F833" s="39">
        <f>$F$791</f>
        <v>0</v>
      </c>
      <c r="G833" s="39">
        <f>$G$791</f>
        <v>0</v>
      </c>
      <c r="H833" s="39">
        <f>$H$791</f>
        <v>0</v>
      </c>
      <c r="I833" s="39">
        <f>$I$791</f>
        <v>0</v>
      </c>
      <c r="J833" s="39">
        <f>$J$791</f>
        <v>0</v>
      </c>
      <c r="K833" s="17"/>
    </row>
    <row r="834" spans="1:11">
      <c r="A834" s="4" t="s">
        <v>217</v>
      </c>
      <c r="B834" s="39">
        <f>$B$792</f>
        <v>0</v>
      </c>
      <c r="C834" s="39">
        <f>$C$792</f>
        <v>0</v>
      </c>
      <c r="D834" s="39">
        <f>$D$792</f>
        <v>0</v>
      </c>
      <c r="E834" s="39">
        <f>$E$792</f>
        <v>0</v>
      </c>
      <c r="F834" s="39">
        <f>$F$792</f>
        <v>0</v>
      </c>
      <c r="G834" s="39">
        <f>$G$792</f>
        <v>0</v>
      </c>
      <c r="H834" s="39">
        <f>$H$792</f>
        <v>0</v>
      </c>
      <c r="I834" s="39">
        <f>$I$792</f>
        <v>0</v>
      </c>
      <c r="J834" s="39">
        <f>$J$792</f>
        <v>0</v>
      </c>
      <c r="K834" s="17"/>
    </row>
    <row r="835" spans="1:11">
      <c r="A835" s="4" t="s">
        <v>185</v>
      </c>
      <c r="B835" s="39">
        <f>$B$565</f>
        <v>0</v>
      </c>
      <c r="C835" s="39">
        <f>$C$565</f>
        <v>0</v>
      </c>
      <c r="D835" s="39">
        <f>$D$565</f>
        <v>0</v>
      </c>
      <c r="E835" s="39">
        <f>$E$565</f>
        <v>0</v>
      </c>
      <c r="F835" s="39">
        <f>$F$565</f>
        <v>0</v>
      </c>
      <c r="G835" s="39">
        <f>$G$565</f>
        <v>0</v>
      </c>
      <c r="H835" s="39">
        <f>$H$565</f>
        <v>0</v>
      </c>
      <c r="I835" s="39">
        <f>$I$565</f>
        <v>0</v>
      </c>
      <c r="J835" s="39">
        <f>$J$565</f>
        <v>0</v>
      </c>
      <c r="K835" s="17"/>
    </row>
    <row r="836" spans="1:11">
      <c r="A836" s="4" t="s">
        <v>187</v>
      </c>
      <c r="B836" s="39">
        <f>$B$566</f>
        <v>0</v>
      </c>
      <c r="C836" s="39">
        <f>$C$566</f>
        <v>0</v>
      </c>
      <c r="D836" s="39">
        <f>$D$566</f>
        <v>0</v>
      </c>
      <c r="E836" s="39">
        <f>$E$566</f>
        <v>0</v>
      </c>
      <c r="F836" s="39">
        <f>$F$566</f>
        <v>0</v>
      </c>
      <c r="G836" s="39">
        <f>$G$566</f>
        <v>0</v>
      </c>
      <c r="H836" s="39">
        <f>$H$566</f>
        <v>0</v>
      </c>
      <c r="I836" s="39">
        <f>$I$566</f>
        <v>0</v>
      </c>
      <c r="J836" s="39">
        <f>$J$566</f>
        <v>0</v>
      </c>
      <c r="K836" s="17"/>
    </row>
    <row r="837" spans="1:11">
      <c r="A837" s="4" t="s">
        <v>195</v>
      </c>
      <c r="B837" s="39">
        <f>$B$567</f>
        <v>0</v>
      </c>
      <c r="C837" s="39">
        <f>$C$567</f>
        <v>0</v>
      </c>
      <c r="D837" s="39">
        <f>$D$567</f>
        <v>0</v>
      </c>
      <c r="E837" s="39">
        <f>$E$567</f>
        <v>0</v>
      </c>
      <c r="F837" s="39">
        <f>$F$567</f>
        <v>0</v>
      </c>
      <c r="G837" s="39">
        <f>$G$567</f>
        <v>0</v>
      </c>
      <c r="H837" s="39">
        <f>$H$567</f>
        <v>0</v>
      </c>
      <c r="I837" s="39">
        <f>$I$567</f>
        <v>0</v>
      </c>
      <c r="J837" s="39">
        <f>$J$567</f>
        <v>0</v>
      </c>
      <c r="K837" s="17"/>
    </row>
    <row r="839" spans="1:11" ht="21" customHeight="1">
      <c r="A839" s="1" t="s">
        <v>790</v>
      </c>
    </row>
    <row r="840" spans="1:11">
      <c r="A840" s="2" t="s">
        <v>351</v>
      </c>
    </row>
    <row r="841" spans="1:11">
      <c r="A841" s="33" t="s">
        <v>791</v>
      </c>
    </row>
    <row r="842" spans="1:11">
      <c r="A842" s="33" t="s">
        <v>792</v>
      </c>
    </row>
    <row r="843" spans="1:11">
      <c r="A843" s="2" t="s">
        <v>369</v>
      </c>
    </row>
    <row r="845" spans="1:11">
      <c r="B845" s="15" t="s">
        <v>142</v>
      </c>
      <c r="C845" s="15" t="s">
        <v>143</v>
      </c>
      <c r="D845" s="15" t="s">
        <v>144</v>
      </c>
      <c r="E845" s="15" t="s">
        <v>145</v>
      </c>
      <c r="F845" s="15" t="s">
        <v>146</v>
      </c>
      <c r="G845" s="15" t="s">
        <v>151</v>
      </c>
      <c r="H845" s="15" t="s">
        <v>147</v>
      </c>
      <c r="I845" s="15" t="s">
        <v>148</v>
      </c>
      <c r="J845" s="15" t="s">
        <v>149</v>
      </c>
    </row>
    <row r="846" spans="1:11">
      <c r="A846" s="4" t="s">
        <v>175</v>
      </c>
      <c r="B846" s="39">
        <f>$B$576</f>
        <v>0</v>
      </c>
      <c r="C846" s="39">
        <f>$C$576</f>
        <v>0</v>
      </c>
      <c r="D846" s="39">
        <f>$D$576</f>
        <v>0</v>
      </c>
      <c r="E846" s="39">
        <f>$E$576</f>
        <v>0</v>
      </c>
      <c r="F846" s="39">
        <f>$F$576</f>
        <v>0</v>
      </c>
      <c r="G846" s="39">
        <f>$G$576</f>
        <v>0</v>
      </c>
      <c r="H846" s="39">
        <f>$H$576</f>
        <v>0</v>
      </c>
      <c r="I846" s="39">
        <f>$I$576</f>
        <v>0</v>
      </c>
      <c r="J846" s="39">
        <f>$J$576</f>
        <v>0</v>
      </c>
      <c r="K846" s="17"/>
    </row>
    <row r="847" spans="1:11">
      <c r="A847" s="4" t="s">
        <v>177</v>
      </c>
      <c r="B847" s="39">
        <f>$B$577</f>
        <v>0</v>
      </c>
      <c r="C847" s="39">
        <f>$C$577</f>
        <v>0</v>
      </c>
      <c r="D847" s="39">
        <f>$D$577</f>
        <v>0</v>
      </c>
      <c r="E847" s="39">
        <f>$E$577</f>
        <v>0</v>
      </c>
      <c r="F847" s="39">
        <f>$F$577</f>
        <v>0</v>
      </c>
      <c r="G847" s="39">
        <f>$G$577</f>
        <v>0</v>
      </c>
      <c r="H847" s="39">
        <f>$H$577</f>
        <v>0</v>
      </c>
      <c r="I847" s="39">
        <f>$I$577</f>
        <v>0</v>
      </c>
      <c r="J847" s="39">
        <f>$J$577</f>
        <v>0</v>
      </c>
      <c r="K847" s="17"/>
    </row>
    <row r="848" spans="1:11">
      <c r="A848" s="4" t="s">
        <v>178</v>
      </c>
      <c r="B848" s="39">
        <f>$B$578</f>
        <v>0</v>
      </c>
      <c r="C848" s="39">
        <f>$C$578</f>
        <v>0</v>
      </c>
      <c r="D848" s="39">
        <f>$D$578</f>
        <v>0</v>
      </c>
      <c r="E848" s="39">
        <f>$E$578</f>
        <v>0</v>
      </c>
      <c r="F848" s="39">
        <f>$F$578</f>
        <v>0</v>
      </c>
      <c r="G848" s="39">
        <f>$G$578</f>
        <v>0</v>
      </c>
      <c r="H848" s="39">
        <f>$H$578</f>
        <v>0</v>
      </c>
      <c r="I848" s="39">
        <f>$I$578</f>
        <v>0</v>
      </c>
      <c r="J848" s="39">
        <f>$J$578</f>
        <v>0</v>
      </c>
      <c r="K848" s="17"/>
    </row>
    <row r="849" spans="1:11">
      <c r="A849" s="4" t="s">
        <v>179</v>
      </c>
      <c r="B849" s="39">
        <f>$B$579</f>
        <v>0</v>
      </c>
      <c r="C849" s="39">
        <f>$C$579</f>
        <v>0</v>
      </c>
      <c r="D849" s="39">
        <f>$D$579</f>
        <v>0</v>
      </c>
      <c r="E849" s="39">
        <f>$E$579</f>
        <v>0</v>
      </c>
      <c r="F849" s="39">
        <f>$F$579</f>
        <v>0</v>
      </c>
      <c r="G849" s="39">
        <f>$G$579</f>
        <v>0</v>
      </c>
      <c r="H849" s="39">
        <f>$H$579</f>
        <v>0</v>
      </c>
      <c r="I849" s="39">
        <f>$I$579</f>
        <v>0</v>
      </c>
      <c r="J849" s="39">
        <f>$J$579</f>
        <v>0</v>
      </c>
      <c r="K849" s="17"/>
    </row>
    <row r="850" spans="1:11">
      <c r="A850" s="4" t="s">
        <v>180</v>
      </c>
      <c r="B850" s="39">
        <f>$B$580</f>
        <v>0</v>
      </c>
      <c r="C850" s="39">
        <f>$C$580</f>
        <v>0</v>
      </c>
      <c r="D850" s="39">
        <f>$D$580</f>
        <v>0</v>
      </c>
      <c r="E850" s="39">
        <f>$E$580</f>
        <v>0</v>
      </c>
      <c r="F850" s="39">
        <f>$F$580</f>
        <v>0</v>
      </c>
      <c r="G850" s="39">
        <f>$G$580</f>
        <v>0</v>
      </c>
      <c r="H850" s="39">
        <f>$H$580</f>
        <v>0</v>
      </c>
      <c r="I850" s="39">
        <f>$I$580</f>
        <v>0</v>
      </c>
      <c r="J850" s="39">
        <f>$J$580</f>
        <v>0</v>
      </c>
      <c r="K850" s="17"/>
    </row>
    <row r="851" spans="1:11">
      <c r="A851" s="4" t="s">
        <v>181</v>
      </c>
      <c r="B851" s="39">
        <f>$B$581</f>
        <v>0</v>
      </c>
      <c r="C851" s="39">
        <f>$C$581</f>
        <v>0</v>
      </c>
      <c r="D851" s="39">
        <f>$D$581</f>
        <v>0</v>
      </c>
      <c r="E851" s="39">
        <f>$E$581</f>
        <v>0</v>
      </c>
      <c r="F851" s="39">
        <f>$F$581</f>
        <v>0</v>
      </c>
      <c r="G851" s="39">
        <f>$G$581</f>
        <v>0</v>
      </c>
      <c r="H851" s="39">
        <f>$H$581</f>
        <v>0</v>
      </c>
      <c r="I851" s="39">
        <f>$I$581</f>
        <v>0</v>
      </c>
      <c r="J851" s="39">
        <f>$J$581</f>
        <v>0</v>
      </c>
      <c r="K851" s="17"/>
    </row>
    <row r="852" spans="1:11">
      <c r="A852" s="4" t="s">
        <v>193</v>
      </c>
      <c r="B852" s="39">
        <f>$B$582</f>
        <v>0</v>
      </c>
      <c r="C852" s="39">
        <f>$C$582</f>
        <v>0</v>
      </c>
      <c r="D852" s="39">
        <f>$D$582</f>
        <v>0</v>
      </c>
      <c r="E852" s="39">
        <f>$E$582</f>
        <v>0</v>
      </c>
      <c r="F852" s="39">
        <f>$F$582</f>
        <v>0</v>
      </c>
      <c r="G852" s="39">
        <f>$G$582</f>
        <v>0</v>
      </c>
      <c r="H852" s="39">
        <f>$H$582</f>
        <v>0</v>
      </c>
      <c r="I852" s="39">
        <f>$I$582</f>
        <v>0</v>
      </c>
      <c r="J852" s="39">
        <f>$J$582</f>
        <v>0</v>
      </c>
      <c r="K852" s="17"/>
    </row>
    <row r="853" spans="1:11">
      <c r="A853" s="4" t="s">
        <v>217</v>
      </c>
      <c r="B853" s="39">
        <f>$B$801</f>
        <v>0</v>
      </c>
      <c r="C853" s="39">
        <f>$C$801</f>
        <v>0</v>
      </c>
      <c r="D853" s="39">
        <f>$D$801</f>
        <v>0</v>
      </c>
      <c r="E853" s="39">
        <f>$E$801</f>
        <v>0</v>
      </c>
      <c r="F853" s="39">
        <f>$F$801</f>
        <v>0</v>
      </c>
      <c r="G853" s="39">
        <f>$G$801</f>
        <v>0</v>
      </c>
      <c r="H853" s="39">
        <f>$H$801</f>
        <v>0</v>
      </c>
      <c r="I853" s="39">
        <f>$I$801</f>
        <v>0</v>
      </c>
      <c r="J853" s="39">
        <f>$J$801</f>
        <v>0</v>
      </c>
      <c r="K853" s="17"/>
    </row>
    <row r="854" spans="1:11">
      <c r="A854" s="4" t="s">
        <v>185</v>
      </c>
      <c r="B854" s="39">
        <f>$B$583</f>
        <v>0</v>
      </c>
      <c r="C854" s="39">
        <f>$C$583</f>
        <v>0</v>
      </c>
      <c r="D854" s="39">
        <f>$D$583</f>
        <v>0</v>
      </c>
      <c r="E854" s="39">
        <f>$E$583</f>
        <v>0</v>
      </c>
      <c r="F854" s="39">
        <f>$F$583</f>
        <v>0</v>
      </c>
      <c r="G854" s="39">
        <f>$G$583</f>
        <v>0</v>
      </c>
      <c r="H854" s="39">
        <f>$H$583</f>
        <v>0</v>
      </c>
      <c r="I854" s="39">
        <f>$I$583</f>
        <v>0</v>
      </c>
      <c r="J854" s="39">
        <f>$J$583</f>
        <v>0</v>
      </c>
      <c r="K854" s="17"/>
    </row>
    <row r="855" spans="1:11">
      <c r="A855" s="4" t="s">
        <v>187</v>
      </c>
      <c r="B855" s="39">
        <f>$B$584</f>
        <v>0</v>
      </c>
      <c r="C855" s="39">
        <f>$C$584</f>
        <v>0</v>
      </c>
      <c r="D855" s="39">
        <f>$D$584</f>
        <v>0</v>
      </c>
      <c r="E855" s="39">
        <f>$E$584</f>
        <v>0</v>
      </c>
      <c r="F855" s="39">
        <f>$F$584</f>
        <v>0</v>
      </c>
      <c r="G855" s="39">
        <f>$G$584</f>
        <v>0</v>
      </c>
      <c r="H855" s="39">
        <f>$H$584</f>
        <v>0</v>
      </c>
      <c r="I855" s="39">
        <f>$I$584</f>
        <v>0</v>
      </c>
      <c r="J855" s="39">
        <f>$J$584</f>
        <v>0</v>
      </c>
      <c r="K855" s="17"/>
    </row>
    <row r="856" spans="1:11">
      <c r="A856" s="4" t="s">
        <v>195</v>
      </c>
      <c r="B856" s="39">
        <f>$B$585</f>
        <v>0</v>
      </c>
      <c r="C856" s="39">
        <f>$C$585</f>
        <v>0</v>
      </c>
      <c r="D856" s="39">
        <f>$D$585</f>
        <v>0</v>
      </c>
      <c r="E856" s="39">
        <f>$E$585</f>
        <v>0</v>
      </c>
      <c r="F856" s="39">
        <f>$F$585</f>
        <v>0</v>
      </c>
      <c r="G856" s="39">
        <f>$G$585</f>
        <v>0</v>
      </c>
      <c r="H856" s="39">
        <f>$H$585</f>
        <v>0</v>
      </c>
      <c r="I856" s="39">
        <f>$I$585</f>
        <v>0</v>
      </c>
      <c r="J856" s="39">
        <f>$J$585</f>
        <v>0</v>
      </c>
      <c r="K856" s="17"/>
    </row>
    <row r="858" spans="1:11" ht="21" customHeight="1">
      <c r="A858" s="1" t="s">
        <v>793</v>
      </c>
    </row>
    <row r="859" spans="1:11">
      <c r="A859" s="2" t="s">
        <v>351</v>
      </c>
    </row>
    <row r="860" spans="1:11">
      <c r="A860" s="33" t="s">
        <v>794</v>
      </c>
    </row>
    <row r="861" spans="1:11">
      <c r="A861" s="33" t="s">
        <v>795</v>
      </c>
    </row>
    <row r="862" spans="1:11">
      <c r="A862" s="2" t="s">
        <v>369</v>
      </c>
    </row>
    <row r="864" spans="1:11">
      <c r="B864" s="15" t="s">
        <v>142</v>
      </c>
      <c r="C864" s="15" t="s">
        <v>143</v>
      </c>
      <c r="D864" s="15" t="s">
        <v>144</v>
      </c>
      <c r="E864" s="15" t="s">
        <v>145</v>
      </c>
      <c r="F864" s="15" t="s">
        <v>146</v>
      </c>
      <c r="G864" s="15" t="s">
        <v>151</v>
      </c>
      <c r="H864" s="15" t="s">
        <v>147</v>
      </c>
      <c r="I864" s="15" t="s">
        <v>148</v>
      </c>
      <c r="J864" s="15" t="s">
        <v>149</v>
      </c>
    </row>
    <row r="865" spans="1:11">
      <c r="A865" s="4" t="s">
        <v>178</v>
      </c>
      <c r="B865" s="39">
        <f>$B$594</f>
        <v>0</v>
      </c>
      <c r="C865" s="39">
        <f>$C$594</f>
        <v>0</v>
      </c>
      <c r="D865" s="39">
        <f>$D$594</f>
        <v>0</v>
      </c>
      <c r="E865" s="39">
        <f>$E$594</f>
        <v>0</v>
      </c>
      <c r="F865" s="39">
        <f>$F$594</f>
        <v>0</v>
      </c>
      <c r="G865" s="39">
        <f>$G$594</f>
        <v>0</v>
      </c>
      <c r="H865" s="39">
        <f>$H$594</f>
        <v>0</v>
      </c>
      <c r="I865" s="39">
        <f>$I$594</f>
        <v>0</v>
      </c>
      <c r="J865" s="39">
        <f>$J$594</f>
        <v>0</v>
      </c>
      <c r="K865" s="17"/>
    </row>
    <row r="866" spans="1:11">
      <c r="A866" s="4" t="s">
        <v>179</v>
      </c>
      <c r="B866" s="39">
        <f>$B$595</f>
        <v>0</v>
      </c>
      <c r="C866" s="39">
        <f>$C$595</f>
        <v>0</v>
      </c>
      <c r="D866" s="39">
        <f>$D$595</f>
        <v>0</v>
      </c>
      <c r="E866" s="39">
        <f>$E$595</f>
        <v>0</v>
      </c>
      <c r="F866" s="39">
        <f>$F$595</f>
        <v>0</v>
      </c>
      <c r="G866" s="39">
        <f>$G$595</f>
        <v>0</v>
      </c>
      <c r="H866" s="39">
        <f>$H$595</f>
        <v>0</v>
      </c>
      <c r="I866" s="39">
        <f>$I$595</f>
        <v>0</v>
      </c>
      <c r="J866" s="39">
        <f>$J$595</f>
        <v>0</v>
      </c>
      <c r="K866" s="17"/>
    </row>
    <row r="867" spans="1:11">
      <c r="A867" s="4" t="s">
        <v>180</v>
      </c>
      <c r="B867" s="39">
        <f>$B$596</f>
        <v>0</v>
      </c>
      <c r="C867" s="39">
        <f>$C$596</f>
        <v>0</v>
      </c>
      <c r="D867" s="39">
        <f>$D$596</f>
        <v>0</v>
      </c>
      <c r="E867" s="39">
        <f>$E$596</f>
        <v>0</v>
      </c>
      <c r="F867" s="39">
        <f>$F$596</f>
        <v>0</v>
      </c>
      <c r="G867" s="39">
        <f>$G$596</f>
        <v>0</v>
      </c>
      <c r="H867" s="39">
        <f>$H$596</f>
        <v>0</v>
      </c>
      <c r="I867" s="39">
        <f>$I$596</f>
        <v>0</v>
      </c>
      <c r="J867" s="39">
        <f>$J$596</f>
        <v>0</v>
      </c>
      <c r="K867" s="17"/>
    </row>
    <row r="868" spans="1:11">
      <c r="A868" s="4" t="s">
        <v>181</v>
      </c>
      <c r="B868" s="39">
        <f>$B$597</f>
        <v>0</v>
      </c>
      <c r="C868" s="39">
        <f>$C$597</f>
        <v>0</v>
      </c>
      <c r="D868" s="39">
        <f>$D$597</f>
        <v>0</v>
      </c>
      <c r="E868" s="39">
        <f>$E$597</f>
        <v>0</v>
      </c>
      <c r="F868" s="39">
        <f>$F$597</f>
        <v>0</v>
      </c>
      <c r="G868" s="39">
        <f>$G$597</f>
        <v>0</v>
      </c>
      <c r="H868" s="39">
        <f>$H$597</f>
        <v>0</v>
      </c>
      <c r="I868" s="39">
        <f>$I$597</f>
        <v>0</v>
      </c>
      <c r="J868" s="39">
        <f>$J$597</f>
        <v>0</v>
      </c>
      <c r="K868" s="17"/>
    </row>
    <row r="869" spans="1:11">
      <c r="A869" s="4" t="s">
        <v>193</v>
      </c>
      <c r="B869" s="39">
        <f>$B$598</f>
        <v>0</v>
      </c>
      <c r="C869" s="39">
        <f>$C$598</f>
        <v>0</v>
      </c>
      <c r="D869" s="39">
        <f>$D$598</f>
        <v>0</v>
      </c>
      <c r="E869" s="39">
        <f>$E$598</f>
        <v>0</v>
      </c>
      <c r="F869" s="39">
        <f>$F$598</f>
        <v>0</v>
      </c>
      <c r="G869" s="39">
        <f>$G$598</f>
        <v>0</v>
      </c>
      <c r="H869" s="39">
        <f>$H$598</f>
        <v>0</v>
      </c>
      <c r="I869" s="39">
        <f>$I$598</f>
        <v>0</v>
      </c>
      <c r="J869" s="39">
        <f>$J$598</f>
        <v>0</v>
      </c>
      <c r="K869" s="17"/>
    </row>
    <row r="870" spans="1:11">
      <c r="A870" s="4" t="s">
        <v>217</v>
      </c>
      <c r="B870" s="39">
        <f>$B$810</f>
        <v>0</v>
      </c>
      <c r="C870" s="39">
        <f>$C$810</f>
        <v>0</v>
      </c>
      <c r="D870" s="39">
        <f>$D$810</f>
        <v>0</v>
      </c>
      <c r="E870" s="39">
        <f>$E$810</f>
        <v>0</v>
      </c>
      <c r="F870" s="39">
        <f>$F$810</f>
        <v>0</v>
      </c>
      <c r="G870" s="39">
        <f>$G$810</f>
        <v>0</v>
      </c>
      <c r="H870" s="39">
        <f>$H$810</f>
        <v>0</v>
      </c>
      <c r="I870" s="39">
        <f>$I$810</f>
        <v>0</v>
      </c>
      <c r="J870" s="39">
        <f>$J$810</f>
        <v>0</v>
      </c>
      <c r="K870" s="17"/>
    </row>
    <row r="871" spans="1:11">
      <c r="A871" s="4" t="s">
        <v>185</v>
      </c>
      <c r="B871" s="39">
        <f>$B$599</f>
        <v>0</v>
      </c>
      <c r="C871" s="39">
        <f>$C$599</f>
        <v>0</v>
      </c>
      <c r="D871" s="39">
        <f>$D$599</f>
        <v>0</v>
      </c>
      <c r="E871" s="39">
        <f>$E$599</f>
        <v>0</v>
      </c>
      <c r="F871" s="39">
        <f>$F$599</f>
        <v>0</v>
      </c>
      <c r="G871" s="39">
        <f>$G$599</f>
        <v>0</v>
      </c>
      <c r="H871" s="39">
        <f>$H$599</f>
        <v>0</v>
      </c>
      <c r="I871" s="39">
        <f>$I$599</f>
        <v>0</v>
      </c>
      <c r="J871" s="39">
        <f>$J$599</f>
        <v>0</v>
      </c>
      <c r="K871" s="17"/>
    </row>
    <row r="872" spans="1:11">
      <c r="A872" s="4" t="s">
        <v>187</v>
      </c>
      <c r="B872" s="39">
        <f>$B$600</f>
        <v>0</v>
      </c>
      <c r="C872" s="39">
        <f>$C$600</f>
        <v>0</v>
      </c>
      <c r="D872" s="39">
        <f>$D$600</f>
        <v>0</v>
      </c>
      <c r="E872" s="39">
        <f>$E$600</f>
        <v>0</v>
      </c>
      <c r="F872" s="39">
        <f>$F$600</f>
        <v>0</v>
      </c>
      <c r="G872" s="39">
        <f>$G$600</f>
        <v>0</v>
      </c>
      <c r="H872" s="39">
        <f>$H$600</f>
        <v>0</v>
      </c>
      <c r="I872" s="39">
        <f>$I$600</f>
        <v>0</v>
      </c>
      <c r="J872" s="39">
        <f>$J$600</f>
        <v>0</v>
      </c>
      <c r="K872" s="17"/>
    </row>
    <row r="873" spans="1:11">
      <c r="A873" s="4" t="s">
        <v>195</v>
      </c>
      <c r="B873" s="39">
        <f>$B$601</f>
        <v>0</v>
      </c>
      <c r="C873" s="39">
        <f>$C$601</f>
        <v>0</v>
      </c>
      <c r="D873" s="39">
        <f>$D$601</f>
        <v>0</v>
      </c>
      <c r="E873" s="39">
        <f>$E$601</f>
        <v>0</v>
      </c>
      <c r="F873" s="39">
        <f>$F$601</f>
        <v>0</v>
      </c>
      <c r="G873" s="39">
        <f>$G$601</f>
        <v>0</v>
      </c>
      <c r="H873" s="39">
        <f>$H$601</f>
        <v>0</v>
      </c>
      <c r="I873" s="39">
        <f>$I$601</f>
        <v>0</v>
      </c>
      <c r="J873" s="39">
        <f>$J$601</f>
        <v>0</v>
      </c>
      <c r="K873" s="17"/>
    </row>
  </sheetData>
  <sheetProtection sheet="1" objects="1" scenarios="1"/>
  <hyperlinks>
    <hyperlink ref="A5" location="'Input'!B327" display="x1 = 1068. Typical annual hours by distribution time band"/>
    <hyperlink ref="A6" location="'Input'!F57" display="x2 = 1010. Days in the charging year (in Financial and general assumptions)"/>
    <hyperlink ref="A7" location="'Multi'!B12" display="x3 = Total hours in the year according to time band hours input data (in Adjust annual hours by distribution time band to match days in year)"/>
    <hyperlink ref="A17" location="'Input'!B294" display="x1 = 1061. Average split of rate 1 units by distribution time band"/>
    <hyperlink ref="A18" location="'Multi'!B25" display="x2 = Total split (in Normalisation of split of rate 1 units by time band)"/>
    <hyperlink ref="A19" location="'Multi'!C12" display="x3 = 2401. Annual hours by distribution time band (reconciled to days in year) (in Adjust annual hours by distribution time band to match days in year)"/>
    <hyperlink ref="A20" location="'Input'!F57" display="x4 = 1010. Days in the charging year (in Financial and general assumptions)"/>
    <hyperlink ref="A35" location="'Multi'!C25" display="x1 = 2402. Normalised split of rate 1 units by distribution time band (in Normalisation of split of rate 1 units by time band)"/>
    <hyperlink ref="A57" location="'Input'!B304" display="x1 = 1062. Average split of rate 2 units by distribution time band"/>
    <hyperlink ref="A58" location="'Multi'!B65" display="x2 = Total split (in Normalisation of split of rate 2 units by time band)"/>
    <hyperlink ref="A59" location="'Multi'!C12" display="x3 = 2401. Annual hours by distribution time band (reconciled to days in year) (in Adjust annual hours by distribution time band to match days in year)"/>
    <hyperlink ref="A60" location="'Input'!F57" display="x4 = 1010. Days in the charging year (in Financial and general assumptions)"/>
    <hyperlink ref="A71" location="'Multi'!C65" display="x1 = 2404. Normalised split of rate 2 units by distribution time band (in Normalisation of split of rate 2 units by time band)"/>
    <hyperlink ref="A101" location="'Loads'!B279" display="x1 = 2305. Rate 1 units (MWh) (in Equivalent volume for each end user)"/>
    <hyperlink ref="A102" location="'Loads'!C279" display="x2 = 2305. Rate 2 units (MWh) (in Equivalent volume for each end user)"/>
    <hyperlink ref="A103" location="'Loads'!D279" display="x3 = 2305. Rate 3 units (MWh) (in Equivalent volume for each end user)"/>
    <hyperlink ref="A134" location="'Multi'!B106" display="x1 = 2407. All units (MWh)"/>
    <hyperlink ref="A135" location="'Loads'!B279" display="x2 = 2305. Rate 1 units (MWh) (in Equivalent volume for each end user)"/>
    <hyperlink ref="A136" location="'Multi'!B39" display="x3 = 2403. Split of rate 1 units between distribution time bands"/>
    <hyperlink ref="A137" location="'Multi'!C12" display="x4 = 2401. Annual hours by distribution time band (reconciled to days in year) (in Adjust annual hours by distribution time band to match days in year)"/>
    <hyperlink ref="A138" location="'Multi'!B144" display="x5 = Use of distribution time bands by units in demand forecast for one-rate tariffs (in Calculation of implied load coefficients for one-rate users)"/>
    <hyperlink ref="A139" location="'Input'!F57" display="x6 = 1010. Days in the charging year (in Financial and general assumptions)"/>
    <hyperlink ref="A150" location="'Multi'!B106" display="x1 = 2407. All units (MWh)"/>
    <hyperlink ref="A151" location="'Loads'!B279" display="x2 = 2305. Rate 1 units (MWh) (in Equivalent volume for each end user)"/>
    <hyperlink ref="A152" location="'Multi'!B39" display="x3 = 2403. Split of rate 1 units between distribution time bands"/>
    <hyperlink ref="A153" location="'Loads'!C279" display="x4 = 2305. Rate 2 units (MWh) (in Equivalent volume for each end user)"/>
    <hyperlink ref="A154" location="'Multi'!B75" display="x5 = 2405. Split of rate 2 units between distribution time bands"/>
    <hyperlink ref="A155" location="'Multi'!C12" display="x6 = 2401. Annual hours by distribution time band (reconciled to days in year) (in Adjust annual hours by distribution time band to match days in year)"/>
    <hyperlink ref="A156" location="'Multi'!B162" display="x7 = Use of distribution time bands by units in demand forecast for two-rate tariffs (in Calculation of implied load coefficients for two-rate users)"/>
    <hyperlink ref="A157" location="'Input'!F57" display="x8 = 1010. Days in the charging year (in Financial and general assumptions)"/>
    <hyperlink ref="A168" location="'Multi'!B106" display="x1 = 2407. All units (MWh)"/>
    <hyperlink ref="A169" location="'Loads'!B279" display="x2 = 2305. Rate 1 units (MWh) (in Equivalent volume for each end user)"/>
    <hyperlink ref="A170" location="'Multi'!B39" display="x3 = 2403. Split of rate 1 units between distribution time bands"/>
    <hyperlink ref="A171" location="'Loads'!C279" display="x4 = 2305. Rate 2 units (MWh) (in Equivalent volume for each end user)"/>
    <hyperlink ref="A172" location="'Multi'!B75" display="x5 = 2405. Split of rate 2 units between distribution time bands"/>
    <hyperlink ref="A173" location="'Loads'!D279" display="x6 = 2305. Rate 3 units (MWh) (in Equivalent volume for each end user)"/>
    <hyperlink ref="A174" location="'Multi'!B89" display="x7 = 2406. Split of rate 3 units between distribution time bands (default)"/>
    <hyperlink ref="A175" location="'Multi'!C12" display="x8 = 2401. Annual hours by distribution time band (reconciled to days in year) (in Adjust annual hours by distribution time band to match days in year)"/>
    <hyperlink ref="A176" location="'Multi'!B182" display="x9 = Use of distribution time bands by units in demand forecast for three-rate tariffs (in Calculation of implied load coefficients for three-rate users)"/>
    <hyperlink ref="A177" location="'Input'!F57" display="x10 = 1010. Days in the charging year (in Financial and general assumptions)"/>
    <hyperlink ref="A191" location="'Multi'!E144" display="x1 = 2408. Peak band load coefficient for one-rate tariffs (in Calculation of implied load coefficients for one-rate users)"/>
    <hyperlink ref="A192" location="'Multi'!E162" display="x2 = 2409. Peak band load coefficient for two-rate tariffs (in Calculation of implied load coefficients for two-rate users)"/>
    <hyperlink ref="A193" location="'Multi'!E182" display="x3 = 2410. Peak band load coefficient for three-rate tariffs (in Calculation of implied load coefficients for three-rate users)"/>
    <hyperlink ref="A194" location="'Multi'!B199" display="x4 = Peak band load coefficient (in Calculation of adjusted time band load coefficients)"/>
    <hyperlink ref="A195" location="'Loads'!B42" display="x5 = 2302. Load coefficient"/>
    <hyperlink ref="A217" location="'Input'!B334" display="x1 = 1069. Red, amber and green peaking probabilities (in Peaking probabilities by network level)"/>
    <hyperlink ref="A218" location="'Multi'!B225" display="x2 = Total probability (should be 100%) (in Normalisation of peaking probabilities)"/>
    <hyperlink ref="A219" location="'Input'!B327" display="x3 = 1068. Typical annual hours by distribution time band"/>
    <hyperlink ref="A220" location="'Multi'!B12" display="x4 = 2401. Total hours in the year according to time band hours input data (in Adjust annual hours by distribution time band to match days in year)"/>
    <hyperlink ref="A238" location="'Multi'!C225" display="x1 = 2412. Normalised peaking probabilities (in Normalisation of peaking probabilities)"/>
    <hyperlink ref="A246" location="'Multi'!C12" display="x1 = 2401. Annual hours by distribution time band (reconciled to days in year) (in Adjust annual hours by distribution time band to match days in year)"/>
    <hyperlink ref="A247" location="'Multi'!C199" display="x2 = 2411. Load coefficient correction factor (kW at peak in band / band average kW) (in Calculation of adjusted time band load coefficients)"/>
    <hyperlink ref="A248" location="'Multi'!B241" display="x3 = 2413. Peaking probabilities by network level (reshaped)"/>
    <hyperlink ref="A249" location="'Input'!F57" display="x4 = 1010. Days in the charging year (in Financial and general assumptions)"/>
    <hyperlink ref="A270" location="'Multi'!B252" display="x1 = 2414. Pseudo load coefficient by time band and network level"/>
    <hyperlink ref="A279" location="'Multi'!B106" display="x1 = 2407. All units (MWh)"/>
    <hyperlink ref="A288" location="'Multi'!B39" display="x1 = 2403. Split of rate 1 units between distribution time bands"/>
    <hyperlink ref="A297" location="'Multi'!B273" display="x1 = 2415. Single rate non half hourly pseudo timeband load coefficients"/>
    <hyperlink ref="A298" location="'Multi'!B291" display="x2 = 2417. Single rate non half hourly timeband use"/>
    <hyperlink ref="A307" location="'Multi'!B106" display="x1 = 2407. All units (MWh)"/>
    <hyperlink ref="A316" location="'Multi'!B252" display="x1 = 2414. Pseudo load coefficient by time band and network level"/>
    <hyperlink ref="A325" location="'Multi'!B162" display="x1 = 2409. Use of distribution time bands by units in demand forecast for two-rate tariffs (in Calculation of implied load coefficients for two-rate users)"/>
    <hyperlink ref="A334" location="'Multi'!B319" display="x1 = 2420. Multi rate non half hourly pseudo timeband load coefficients"/>
    <hyperlink ref="A335" location="'Multi'!B328" display="x2 = 2421. Multi rate non half hourly timeband use"/>
    <hyperlink ref="A344" location="'Multi'!B106" display="x1 = 2407. All units (MWh)"/>
    <hyperlink ref="A353" location="'Multi'!B252" display="x1 = 2414. Pseudo load coefficient by time band and network level"/>
    <hyperlink ref="A362" location="'Multi'!B39" display="x1 = 2403. Split of rate 1 units between distribution time bands"/>
    <hyperlink ref="A371" location="'Multi'!B356" display="x1 = 2424. Off-peak non half hourly pseudo timeband load coefficients"/>
    <hyperlink ref="A372" location="'Multi'!B365" display="x2 = 2425. Off-peak non half hourly timeband use"/>
    <hyperlink ref="A381" location="'Multi'!B106" display="x1 = 2407. All units (MWh)"/>
    <hyperlink ref="A390" location="'Multi'!B252" display="x1 = 2414. Pseudo load coefficient by time band and network level"/>
    <hyperlink ref="A399" location="'Multi'!B182" display="x1 = 2410. Use of distribution time bands by units in demand forecast for three-rate tariffs (in Calculation of implied load coefficients for three-rate users)"/>
    <hyperlink ref="A408" location="'Multi'!B393" display="x1 = 2428. Aggregated half hourly pseudo timeband load coefficients"/>
    <hyperlink ref="A409" location="'Multi'!B402" display="x2 = 2429. Aggregated half hourly timeband use"/>
    <hyperlink ref="A418" location="'Multi'!B282" display="x1 = 2416. Single rate non half hourly units (MWh)"/>
    <hyperlink ref="A419" location="'Multi'!B301" display="x2 = 2418. Single rate non half hourly tariff pseudo load coefficient"/>
    <hyperlink ref="A420" location="'Multi'!B310" display="x3 = 2419. Multi rate non half hourly units (MWh)"/>
    <hyperlink ref="A421" location="'Multi'!B338" display="x4 = 2422. Multi rate non half hourly tariff pseudo load coefficient"/>
    <hyperlink ref="A422" location="'Multi'!B347" display="x5 = 2423. Off-peak non half hourly units (MWh)"/>
    <hyperlink ref="A423" location="'Multi'!B375" display="x6 = 2426. Off-peak non half hourly tariff pseudo load coefficient"/>
    <hyperlink ref="A432" location="'Multi'!B282" display="x1 = 2416. Single rate non half hourly units (MWh)"/>
    <hyperlink ref="A433" location="'Multi'!B291" display="x2 = 2417. Single rate non half hourly timeband use"/>
    <hyperlink ref="A434" location="'Multi'!B310" display="x3 = 2419. Multi rate non half hourly units (MWh)"/>
    <hyperlink ref="A435" location="'Multi'!B328" display="x4 = 2421. Multi rate non half hourly timeband use"/>
    <hyperlink ref="A436" location="'Multi'!B347" display="x5 = 2423. Off-peak non half hourly units (MWh)"/>
    <hyperlink ref="A437" location="'Multi'!B365" display="x6 = 2425. Off-peak non half hourly timeband use"/>
    <hyperlink ref="A446" location="'Multi'!B393" display="x1 = 2428. Aggregated half hourly pseudo timeband load coefficients"/>
    <hyperlink ref="A447" location="'Multi'!B440" display="x2 = 2432. Average non half hourly timeband use"/>
    <hyperlink ref="A456" location="'Multi'!B426" display="x1 = 2431. Average non half hourly tariff pseudo load coefficient"/>
    <hyperlink ref="A457" location="'Multi'!B450" display="x2 = 2433. Aggregated half hourly tariff pseudo load coefficient using average non half hourly unit mix"/>
    <hyperlink ref="A466" location="'Multi'!B282" display="x1 = 2416. Single rate non half hourly units (MWh)"/>
    <hyperlink ref="A467" location="'Multi'!B301" display="x2 = 2418. Single rate non half hourly tariff pseudo load coefficient"/>
    <hyperlink ref="A468" location="'Multi'!B310" display="x3 = 2419. Multi rate non half hourly units (MWh)"/>
    <hyperlink ref="A469" location="'Multi'!B338" display="x4 = 2422. Multi rate non half hourly tariff pseudo load coefficient"/>
    <hyperlink ref="A470" location="'Multi'!B347" display="x5 = 2423. Off-peak non half hourly units (MWh)"/>
    <hyperlink ref="A471" location="'Multi'!B375" display="x6 = 2426. Off-peak non half hourly tariff pseudo load coefficient"/>
    <hyperlink ref="A472" location="'Multi'!B384" display="x7 = 2427. Aggregated half hourly units (MWh)"/>
    <hyperlink ref="A473" location="'Multi'!B412" display="x8 = 2430. Aggregated half hourly tariff pseudo load coefficient"/>
    <hyperlink ref="A474" location="'Multi'!B460" display="x9 = 2434. Relative correction factor for aggregated half hourly tariff"/>
    <hyperlink ref="A483" location="'Multi'!B273" display="x1 = 2415. Single rate non half hourly pseudo timeband load coefficients"/>
    <hyperlink ref="A484" location="'Multi'!B477" display="x2 = 2435. Correction factor for non half hourly tariffs"/>
    <hyperlink ref="A493" location="'Multi'!B319" display="x1 = 2420. Multi rate non half hourly pseudo timeband load coefficients"/>
    <hyperlink ref="A494" location="'Multi'!B477" display="x2 = 2435. Correction factor for non half hourly tariffs"/>
    <hyperlink ref="A503" location="'Multi'!B356" display="x1 = 2424. Off-peak non half hourly pseudo timeband load coefficients"/>
    <hyperlink ref="A504" location="'Multi'!B477" display="x2 = 2435. Correction factor for non half hourly tariffs"/>
    <hyperlink ref="A513" location="'Multi'!B393" display="x1 = 2428. Aggregated half hourly pseudo timeband load coefficients"/>
    <hyperlink ref="A514" location="'Multi'!B477" display="x2 = 2435. Correction factor for non half hourly tariffs"/>
    <hyperlink ref="A515" location="'Multi'!B460" display="x3 = 2434. Relative correction factor for aggregated half hourly tariff"/>
    <hyperlink ref="A524" location="'Multi'!B487" display="x1 = 2436. Single rate non half hourly corrected pseudo timeband load coefficient"/>
    <hyperlink ref="A525" location="'Multi'!B497" display="x2 = 2437. Multi rate non half hourly corrected pseudo timeband load coefficient"/>
    <hyperlink ref="A526" location="'Multi'!B507" display="x3 = 2438. Off-peak non half hourly corrected pseudo timeband load coefficient"/>
    <hyperlink ref="A527" location="'Multi'!B518" display="x4 = 2439. Aggregated half hourly corrected pseudo timeband load coefficient"/>
    <hyperlink ref="A528" location="'Multi'!B252" display="x5 = 2414. Pseudo load coefficient by time band and network level"/>
    <hyperlink ref="A549" location="'Multi'!B531" display="x1 = 2440. Pseudo load coefficient by time band and network level (equalised)"/>
    <hyperlink ref="A550" location="'Multi'!B39" display="x2 = 2403. Split of rate 1 units between distribution time bands"/>
    <hyperlink ref="A571" location="'Multi'!B531" display="x1 = 2440. Pseudo load coefficient by time band and network level (equalised)"/>
    <hyperlink ref="A572" location="'Multi'!B75" display="x2 = 2405. Split of rate 2 units between distribution time bands"/>
    <hyperlink ref="A589" location="'Multi'!B531" display="x1 = 2440. Pseudo load coefficient by time band and network level (equalised)"/>
    <hyperlink ref="A590" location="'Multi'!B89" display="x2 = 2406. Split of rate 3 units between distribution time bands (default)"/>
    <hyperlink ref="A605" location="'Input'!B320" display="x1 = 1066. Typical annual hours by special distribution time band"/>
    <hyperlink ref="A606" location="'Input'!F57" display="x2 = 1010. Days in the charging year (in Financial and general assumptions)"/>
    <hyperlink ref="A607" location="'Multi'!B612" display="x3 = Total hours in the year according to special time band hours input data (in Adjust annual hours by special distribution time band to match days in year)"/>
    <hyperlink ref="A617" location="'Input'!B310" display="x1 = 1064. Average split of rate 1 units by special distribution time band"/>
    <hyperlink ref="A618" location="'Multi'!B625" display="x2 = Total split (in Normalisation of split of rate 1 units by special time band)"/>
    <hyperlink ref="A619" location="'Multi'!C612" display="x3 = 2444. Annual hours by special distribution time band (reconciled to days in year) (in Adjust annual hours by special distribution time band to match days in year)"/>
    <hyperlink ref="A620" location="'Input'!F57" display="x4 = 1010. Days in the charging year (in Financial and general assumptions)"/>
    <hyperlink ref="A633" location="'Multi'!C625" display="x1 = 2445. Normalised split of rate 1 units by special distribution time band (in Normalisation of split of rate 1 units by special time band)"/>
    <hyperlink ref="A656" location="'Multi'!B106" display="x1 = 2407. All units (MWh)"/>
    <hyperlink ref="A657" location="'Loads'!B279" display="x2 = 2305. Rate 1 units (MWh) (in Equivalent volume for each end user)"/>
    <hyperlink ref="A658" location="'Multi'!B637" display="x3 = 2446. Split of rate 1 units between special distribution time bands"/>
    <hyperlink ref="A659" location="'Multi'!C612" display="x4 = 2444. Annual hours by special distribution time band (reconciled to days in year) (in Adjust annual hours by special distribution time band to match days in year)"/>
    <hyperlink ref="A660" location="'Multi'!B666" display="x5 = Use of special distribution time bands by units in demand forecast for one-rate tariffs (in Calculation of implied special load coefficients for one-rate users)"/>
    <hyperlink ref="A661" location="'Input'!F57" display="x6 = 1010. Days in the charging year (in Financial and general assumptions)"/>
    <hyperlink ref="A674" location="'Multi'!B106" display="x1 = 2407. All units (MWh)"/>
    <hyperlink ref="A675" location="'Loads'!B279" display="x2 = 2305. Rate 1 units (MWh) (in Equivalent volume for each end user)"/>
    <hyperlink ref="A676" location="'Multi'!B637" display="x3 = 2446. Split of rate 1 units between special distribution time bands"/>
    <hyperlink ref="A677" location="'Loads'!C279" display="x4 = 2305. Rate 2 units (MWh) (in Equivalent volume for each end user)"/>
    <hyperlink ref="A678" location="'Multi'!B646" display="x5 = 2447. Split of rate 2 units between special distribution time bands (default)"/>
    <hyperlink ref="A679" location="'Loads'!D279" display="x6 = 2305. Rate 3 units (MWh) (in Equivalent volume for each end user)"/>
    <hyperlink ref="A680" location="'Multi'!B651" display="x7 = 2448. Split of rate 3 units between special distribution time bands (default)"/>
    <hyperlink ref="A681" location="'Multi'!C612" display="x8 = 2444. Annual hours by special distribution time band (reconciled to days in year) (in Adjust annual hours by special distribution time band to match days in year)"/>
    <hyperlink ref="A682" location="'Multi'!B688" display="x9 = Use of special distribution time bands by units in demand forecast for three-rate tariffs (in Calculation of implied special load coefficients for three-rate users)"/>
    <hyperlink ref="A683" location="'Input'!F57" display="x10 = 1010. Days in the charging year (in Financial and general assumptions)"/>
    <hyperlink ref="A693" location="'Multi'!E666" display="x1 = 2449. Peak band special load coefficient for one-rate tariffs (in Calculation of implied special load coefficients for one-rate users)"/>
    <hyperlink ref="A694" location="'Multi'!E688" display="x2 = 2450. Peak band special load coefficient for three-rate tariffs (in Calculation of implied special load coefficients for three-rate users)"/>
    <hyperlink ref="A695" location="'Multi'!B702" display="x3 = Peak band special load coefficient (in Estimated contributions to peak demand)"/>
    <hyperlink ref="A696" location="'Multi'!B106" display="x4 = 2407. All units (MWh)"/>
    <hyperlink ref="A697" location="'Input'!F57" display="x5 = 1010. Days in the charging year (in Financial and general assumptions)"/>
    <hyperlink ref="A698" location="'Loads'!B42" display="x6 = 2302. Load coefficient"/>
    <hyperlink ref="A711" location="'Multi'!C702" display="x1 = 2451. Contribution to peak band kW (in Estimated contributions to peak demand)"/>
    <hyperlink ref="A712" location="'Multi'!D702" display="x2 = 2451. Contribution to system-peak-time kW (in Estimated contributions to peak demand)"/>
    <hyperlink ref="A720" location="'Multi'!C225" display="x1 = 2412. Normalised peaking probabilities (in Normalisation of peaking probabilities)"/>
    <hyperlink ref="A721" location="'Multi'!C733" display="x2 = Amber peaking probabilities (in Calculation of special peaking probabilities)"/>
    <hyperlink ref="A722" location="'Input'!F57" display="x3 = 1010. Days in the charging year (in Financial and general assumptions)"/>
    <hyperlink ref="A723" location="'Multi'!C12" display="x4 = 2401. Annual hours by distribution time band (reconciled to days in year) (in Adjust annual hours by distribution time band to match days in year)"/>
    <hyperlink ref="A724" location="'Input'!E334" display="x5 = 1069. Black peaking probabilities (in Peaking probabilities by network level)"/>
    <hyperlink ref="A725" location="'Multi'!B733" display="x6 = Red peaking probabilities (in Calculation of special peaking probabilities)"/>
    <hyperlink ref="A726" location="'Multi'!E733" display="x7 = Amber peaking rates (in Calculation of special peaking probabilities)"/>
    <hyperlink ref="A727" location="'Multi'!C612" display="x8 = 2444. Annual hours by special distribution time band (reconciled to days in year) (in Adjust annual hours by special distribution time band to match days in year)"/>
    <hyperlink ref="A728" location="'Multi'!F733" display="x9 = Yellow peaking probabilities (in Calculation of special peaking probabilities)"/>
    <hyperlink ref="A729" location="'Multi'!D733" display="x10 = Green peaking probabilities (in Calculation of special peaking probabilities)"/>
    <hyperlink ref="A746" location="'Multi'!D733" display="x1 = 2453. Green peaking probabilities (in Calculation of special peaking probabilities)"/>
    <hyperlink ref="A747" location="'Multi'!F733" display="x2 = 2453. Yellow peaking probabilities (in Calculation of special peaking probabilities)"/>
    <hyperlink ref="A748" location="'Multi'!G733" display="x3 = 2453. Black peaking probabilities (in Calculation of special peaking probabilities)"/>
    <hyperlink ref="A764" location="'Multi'!B751" display="x1 = 2454. Special peaking probabilities by network level"/>
    <hyperlink ref="A772" location="'Multi'!C612" display="x1 = 2444. Annual hours by special distribution time band (reconciled to days in year) (in Adjust annual hours by special distribution time band to match days in year)"/>
    <hyperlink ref="A773" location="'Multi'!B715" display="x2 = 2452. Load coefficient correction factor for the group"/>
    <hyperlink ref="A774" location="'Multi'!B767" display="x3 = 2455. Special peaking probabilities by network level (reshaped)"/>
    <hyperlink ref="A775" location="'Input'!F57" display="x4 = 1010. Days in the charging year (in Financial and general assumptions)"/>
    <hyperlink ref="A783" location="'Multi'!B778" display="x1 = 2456. Pseudo load coefficient by special time band and network level"/>
    <hyperlink ref="A784" location="'Multi'!B637" display="x2 = 2446. Split of rate 1 units between special distribution time bands"/>
    <hyperlink ref="A796" location="'Multi'!B778" display="x1 = 2456. Pseudo load coefficient by special time band and network level"/>
    <hyperlink ref="A797" location="'Multi'!B646" display="x2 = 2447. Split of rate 2 units between special distribution time bands (default)"/>
    <hyperlink ref="A805" location="'Multi'!B778" display="x1 = 2456. Pseudo load coefficient by special time band and network level"/>
    <hyperlink ref="A806" location="'Multi'!B651" display="x2 = 2448. Split of rate 3 units between special distribution time bands (default)"/>
    <hyperlink ref="A814" location="'Multi'!B553" display="x1 = 2441. Unit rate 1 pseudo load coefficient by network level"/>
    <hyperlink ref="A815" location="'Multi'!B787" display="x2 = 2457. Unit rate 1 pseudo load coefficient by network level (special)"/>
    <hyperlink ref="A841" location="'Multi'!B575" display="x1 = 2442. Unit rate 2 pseudo load coefficient by network level"/>
    <hyperlink ref="A842" location="'Multi'!B800" display="x2 = 2458. Unit rate 2 pseudo load coefficient by network level (special)"/>
    <hyperlink ref="A860" location="'Multi'!B593" display="x1 = 2443. Unit rate 3 pseudo load coefficient by network level"/>
    <hyperlink ref="A861" location="'Multi'!B809" display="x2 = 2459. Unit rate 3 pseudo load coefficient by network level (special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"Forecast simultaneous maximum load for "&amp;'Input'!B7&amp;" in "&amp;'Input'!C7&amp;" ("&amp;'Input'!D7&amp;")"</f>
        <v>0</v>
      </c>
    </row>
    <row r="3" spans="1:11" ht="21" customHeight="1">
      <c r="A3" s="1" t="s">
        <v>796</v>
      </c>
    </row>
    <row r="4" spans="1:11">
      <c r="A4" s="2" t="s">
        <v>351</v>
      </c>
    </row>
    <row r="5" spans="1:11">
      <c r="A5" s="33" t="s">
        <v>568</v>
      </c>
    </row>
    <row r="6" spans="1:11">
      <c r="A6" s="33" t="s">
        <v>797</v>
      </c>
    </row>
    <row r="7" spans="1:11">
      <c r="A7" s="33" t="s">
        <v>798</v>
      </c>
    </row>
    <row r="8" spans="1:11">
      <c r="A8" s="33" t="s">
        <v>552</v>
      </c>
    </row>
    <row r="9" spans="1:11">
      <c r="A9" s="2" t="s">
        <v>799</v>
      </c>
    </row>
    <row r="11" spans="1:11">
      <c r="B11" s="15" t="s">
        <v>142</v>
      </c>
      <c r="C11" s="15" t="s">
        <v>143</v>
      </c>
      <c r="D11" s="15" t="s">
        <v>144</v>
      </c>
      <c r="E11" s="15" t="s">
        <v>145</v>
      </c>
      <c r="F11" s="15" t="s">
        <v>146</v>
      </c>
      <c r="G11" s="15" t="s">
        <v>151</v>
      </c>
      <c r="H11" s="15" t="s">
        <v>147</v>
      </c>
      <c r="I11" s="15" t="s">
        <v>148</v>
      </c>
      <c r="J11" s="15" t="s">
        <v>149</v>
      </c>
    </row>
    <row r="12" spans="1:11">
      <c r="A12" s="4" t="s">
        <v>174</v>
      </c>
      <c r="B12" s="21">
        <f>('Loads'!$B$280*'Multi'!B$819)*'LAFs'!B$225/(24*'Input'!$F$58)*1000</f>
        <v>0</v>
      </c>
      <c r="C12" s="21">
        <f>('Loads'!$B$280*'Multi'!C$819)*'LAFs'!C$225/(24*'Input'!$F$58)*1000</f>
        <v>0</v>
      </c>
      <c r="D12" s="21">
        <f>('Loads'!$B$280*'Multi'!D$819)*'LAFs'!D$225/(24*'Input'!$F$58)*1000</f>
        <v>0</v>
      </c>
      <c r="E12" s="21">
        <f>('Loads'!$B$280*'Multi'!E$819)*'LAFs'!E$225/(24*'Input'!$F$58)*1000</f>
        <v>0</v>
      </c>
      <c r="F12" s="21">
        <f>('Loads'!$B$280*'Multi'!F$819)*'LAFs'!F$225/(24*'Input'!$F$58)*1000</f>
        <v>0</v>
      </c>
      <c r="G12" s="21">
        <f>('Loads'!$B$280*'Multi'!G$819)*'LAFs'!G$225/(24*'Input'!$F$58)*1000</f>
        <v>0</v>
      </c>
      <c r="H12" s="21">
        <f>('Loads'!$B$280*'Multi'!H$819)*'LAFs'!H$225/(24*'Input'!$F$58)*1000</f>
        <v>0</v>
      </c>
      <c r="I12" s="21">
        <f>('Loads'!$B$280*'Multi'!I$819)*'LAFs'!I$225/(24*'Input'!$F$58)*1000</f>
        <v>0</v>
      </c>
      <c r="J12" s="21">
        <f>('Loads'!$B$280*'Multi'!J$819)*'LAFs'!J$225/(24*'Input'!$F$58)*1000</f>
        <v>0</v>
      </c>
      <c r="K12" s="17"/>
    </row>
    <row r="13" spans="1:11">
      <c r="A13" s="4" t="s">
        <v>211</v>
      </c>
      <c r="B13" s="21">
        <f>('Loads'!$B$282*'Multi'!B$821)*'LAFs'!B$227/(24*'Input'!$F$58)*1000</f>
        <v>0</v>
      </c>
      <c r="C13" s="21">
        <f>('Loads'!$B$282*'Multi'!C$821)*'LAFs'!C$227/(24*'Input'!$F$58)*1000</f>
        <v>0</v>
      </c>
      <c r="D13" s="21">
        <f>('Loads'!$B$282*'Multi'!D$821)*'LAFs'!D$227/(24*'Input'!$F$58)*1000</f>
        <v>0</v>
      </c>
      <c r="E13" s="21">
        <f>('Loads'!$B$282*'Multi'!E$821)*'LAFs'!E$227/(24*'Input'!$F$58)*1000</f>
        <v>0</v>
      </c>
      <c r="F13" s="21">
        <f>('Loads'!$B$282*'Multi'!F$821)*'LAFs'!F$227/(24*'Input'!$F$58)*1000</f>
        <v>0</v>
      </c>
      <c r="G13" s="21">
        <f>('Loads'!$B$282*'Multi'!G$821)*'LAFs'!G$227/(24*'Input'!$F$58)*1000</f>
        <v>0</v>
      </c>
      <c r="H13" s="21">
        <f>('Loads'!$B$282*'Multi'!H$821)*'LAFs'!H$227/(24*'Input'!$F$58)*1000</f>
        <v>0</v>
      </c>
      <c r="I13" s="21">
        <f>('Loads'!$B$282*'Multi'!I$821)*'LAFs'!I$227/(24*'Input'!$F$58)*1000</f>
        <v>0</v>
      </c>
      <c r="J13" s="21">
        <f>('Loads'!$B$282*'Multi'!J$821)*'LAFs'!J$227/(24*'Input'!$F$58)*1000</f>
        <v>0</v>
      </c>
      <c r="K13" s="17"/>
    </row>
    <row r="14" spans="1:11">
      <c r="A14" s="4" t="s">
        <v>176</v>
      </c>
      <c r="B14" s="21">
        <f>('Loads'!$B$283*'Multi'!B$822)*'LAFs'!B$228/(24*'Input'!$F$58)*1000</f>
        <v>0</v>
      </c>
      <c r="C14" s="21">
        <f>('Loads'!$B$283*'Multi'!C$822)*'LAFs'!C$228/(24*'Input'!$F$58)*1000</f>
        <v>0</v>
      </c>
      <c r="D14" s="21">
        <f>('Loads'!$B$283*'Multi'!D$822)*'LAFs'!D$228/(24*'Input'!$F$58)*1000</f>
        <v>0</v>
      </c>
      <c r="E14" s="21">
        <f>('Loads'!$B$283*'Multi'!E$822)*'LAFs'!E$228/(24*'Input'!$F$58)*1000</f>
        <v>0</v>
      </c>
      <c r="F14" s="21">
        <f>('Loads'!$B$283*'Multi'!F$822)*'LAFs'!F$228/(24*'Input'!$F$58)*1000</f>
        <v>0</v>
      </c>
      <c r="G14" s="21">
        <f>('Loads'!$B$283*'Multi'!G$822)*'LAFs'!G$228/(24*'Input'!$F$58)*1000</f>
        <v>0</v>
      </c>
      <c r="H14" s="21">
        <f>('Loads'!$B$283*'Multi'!H$822)*'LAFs'!H$228/(24*'Input'!$F$58)*1000</f>
        <v>0</v>
      </c>
      <c r="I14" s="21">
        <f>('Loads'!$B$283*'Multi'!I$822)*'LAFs'!I$228/(24*'Input'!$F$58)*1000</f>
        <v>0</v>
      </c>
      <c r="J14" s="21">
        <f>('Loads'!$B$283*'Multi'!J$822)*'LAFs'!J$228/(24*'Input'!$F$58)*1000</f>
        <v>0</v>
      </c>
      <c r="K14" s="17"/>
    </row>
    <row r="15" spans="1:11">
      <c r="A15" s="4" t="s">
        <v>212</v>
      </c>
      <c r="B15" s="21">
        <f>('Loads'!$B$285*'Multi'!B$824)*'LAFs'!B$230/(24*'Input'!$F$58)*1000</f>
        <v>0</v>
      </c>
      <c r="C15" s="21">
        <f>('Loads'!$B$285*'Multi'!C$824)*'LAFs'!C$230/(24*'Input'!$F$58)*1000</f>
        <v>0</v>
      </c>
      <c r="D15" s="21">
        <f>('Loads'!$B$285*'Multi'!D$824)*'LAFs'!D$230/(24*'Input'!$F$58)*1000</f>
        <v>0</v>
      </c>
      <c r="E15" s="21">
        <f>('Loads'!$B$285*'Multi'!E$824)*'LAFs'!E$230/(24*'Input'!$F$58)*1000</f>
        <v>0</v>
      </c>
      <c r="F15" s="21">
        <f>('Loads'!$B$285*'Multi'!F$824)*'LAFs'!F$230/(24*'Input'!$F$58)*1000</f>
        <v>0</v>
      </c>
      <c r="G15" s="21">
        <f>('Loads'!$B$285*'Multi'!G$824)*'LAFs'!G$230/(24*'Input'!$F$58)*1000</f>
        <v>0</v>
      </c>
      <c r="H15" s="21">
        <f>('Loads'!$B$285*'Multi'!H$824)*'LAFs'!H$230/(24*'Input'!$F$58)*1000</f>
        <v>0</v>
      </c>
      <c r="I15" s="21">
        <f>('Loads'!$B$285*'Multi'!I$824)*'LAFs'!I$230/(24*'Input'!$F$58)*1000</f>
        <v>0</v>
      </c>
      <c r="J15" s="21">
        <f>('Loads'!$B$285*'Multi'!J$824)*'LAFs'!J$230/(24*'Input'!$F$58)*1000</f>
        <v>0</v>
      </c>
      <c r="K15" s="17"/>
    </row>
    <row r="16" spans="1:11">
      <c r="A16" s="4" t="s">
        <v>213</v>
      </c>
      <c r="B16" s="21">
        <f>('Loads'!$B$291*'Multi'!B$830)*'LAFs'!B$236/(24*'Input'!$F$58)*1000</f>
        <v>0</v>
      </c>
      <c r="C16" s="21">
        <f>('Loads'!$B$291*'Multi'!C$830)*'LAFs'!C$236/(24*'Input'!$F$58)*1000</f>
        <v>0</v>
      </c>
      <c r="D16" s="21">
        <f>('Loads'!$B$291*'Multi'!D$830)*'LAFs'!D$236/(24*'Input'!$F$58)*1000</f>
        <v>0</v>
      </c>
      <c r="E16" s="21">
        <f>('Loads'!$B$291*'Multi'!E$830)*'LAFs'!E$236/(24*'Input'!$F$58)*1000</f>
        <v>0</v>
      </c>
      <c r="F16" s="21">
        <f>('Loads'!$B$291*'Multi'!F$830)*'LAFs'!F$236/(24*'Input'!$F$58)*1000</f>
        <v>0</v>
      </c>
      <c r="G16" s="21">
        <f>('Loads'!$B$291*'Multi'!G$830)*'LAFs'!G$236/(24*'Input'!$F$58)*1000</f>
        <v>0</v>
      </c>
      <c r="H16" s="21">
        <f>('Loads'!$B$291*'Multi'!H$830)*'LAFs'!H$236/(24*'Input'!$F$58)*1000</f>
        <v>0</v>
      </c>
      <c r="I16" s="21">
        <f>('Loads'!$B$291*'Multi'!I$830)*'LAFs'!I$236/(24*'Input'!$F$58)*1000</f>
        <v>0</v>
      </c>
      <c r="J16" s="21">
        <f>('Loads'!$B$291*'Multi'!J$830)*'LAFs'!J$236/(24*'Input'!$F$58)*1000</f>
        <v>0</v>
      </c>
      <c r="K16" s="17"/>
    </row>
    <row r="17" spans="1:11">
      <c r="A17" s="4" t="s">
        <v>214</v>
      </c>
      <c r="B17" s="21">
        <f>('Loads'!$B$292*'Multi'!B$831)*'LAFs'!B$237/(24*'Input'!$F$58)*1000</f>
        <v>0</v>
      </c>
      <c r="C17" s="21">
        <f>('Loads'!$B$292*'Multi'!C$831)*'LAFs'!C$237/(24*'Input'!$F$58)*1000</f>
        <v>0</v>
      </c>
      <c r="D17" s="21">
        <f>('Loads'!$B$292*'Multi'!D$831)*'LAFs'!D$237/(24*'Input'!$F$58)*1000</f>
        <v>0</v>
      </c>
      <c r="E17" s="21">
        <f>('Loads'!$B$292*'Multi'!E$831)*'LAFs'!E$237/(24*'Input'!$F$58)*1000</f>
        <v>0</v>
      </c>
      <c r="F17" s="21">
        <f>('Loads'!$B$292*'Multi'!F$831)*'LAFs'!F$237/(24*'Input'!$F$58)*1000</f>
        <v>0</v>
      </c>
      <c r="G17" s="21">
        <f>('Loads'!$B$292*'Multi'!G$831)*'LAFs'!G$237/(24*'Input'!$F$58)*1000</f>
        <v>0</v>
      </c>
      <c r="H17" s="21">
        <f>('Loads'!$B$292*'Multi'!H$831)*'LAFs'!H$237/(24*'Input'!$F$58)*1000</f>
        <v>0</v>
      </c>
      <c r="I17" s="21">
        <f>('Loads'!$B$292*'Multi'!I$831)*'LAFs'!I$237/(24*'Input'!$F$58)*1000</f>
        <v>0</v>
      </c>
      <c r="J17" s="21">
        <f>('Loads'!$B$292*'Multi'!J$831)*'LAFs'!J$237/(24*'Input'!$F$58)*1000</f>
        <v>0</v>
      </c>
      <c r="K17" s="17"/>
    </row>
    <row r="18" spans="1:11">
      <c r="A18" s="4" t="s">
        <v>215</v>
      </c>
      <c r="B18" s="21">
        <f>('Loads'!$B$293*'Multi'!B$832)*'LAFs'!B$238/(24*'Input'!$F$58)*1000</f>
        <v>0</v>
      </c>
      <c r="C18" s="21">
        <f>('Loads'!$B$293*'Multi'!C$832)*'LAFs'!C$238/(24*'Input'!$F$58)*1000</f>
        <v>0</v>
      </c>
      <c r="D18" s="21">
        <f>('Loads'!$B$293*'Multi'!D$832)*'LAFs'!D$238/(24*'Input'!$F$58)*1000</f>
        <v>0</v>
      </c>
      <c r="E18" s="21">
        <f>('Loads'!$B$293*'Multi'!E$832)*'LAFs'!E$238/(24*'Input'!$F$58)*1000</f>
        <v>0</v>
      </c>
      <c r="F18" s="21">
        <f>('Loads'!$B$293*'Multi'!F$832)*'LAFs'!F$238/(24*'Input'!$F$58)*1000</f>
        <v>0</v>
      </c>
      <c r="G18" s="21">
        <f>('Loads'!$B$293*'Multi'!G$832)*'LAFs'!G$238/(24*'Input'!$F$58)*1000</f>
        <v>0</v>
      </c>
      <c r="H18" s="21">
        <f>('Loads'!$B$293*'Multi'!H$832)*'LAFs'!H$238/(24*'Input'!$F$58)*1000</f>
        <v>0</v>
      </c>
      <c r="I18" s="21">
        <f>('Loads'!$B$293*'Multi'!I$832)*'LAFs'!I$238/(24*'Input'!$F$58)*1000</f>
        <v>0</v>
      </c>
      <c r="J18" s="21">
        <f>('Loads'!$B$293*'Multi'!J$832)*'LAFs'!J$238/(24*'Input'!$F$58)*1000</f>
        <v>0</v>
      </c>
      <c r="K18" s="17"/>
    </row>
    <row r="19" spans="1:11">
      <c r="A19" s="4" t="s">
        <v>216</v>
      </c>
      <c r="B19" s="21">
        <f>('Loads'!$B$294*'Multi'!B$833)*'LAFs'!B$239/(24*'Input'!$F$58)*1000</f>
        <v>0</v>
      </c>
      <c r="C19" s="21">
        <f>('Loads'!$B$294*'Multi'!C$833)*'LAFs'!C$239/(24*'Input'!$F$58)*1000</f>
        <v>0</v>
      </c>
      <c r="D19" s="21">
        <f>('Loads'!$B$294*'Multi'!D$833)*'LAFs'!D$239/(24*'Input'!$F$58)*1000</f>
        <v>0</v>
      </c>
      <c r="E19" s="21">
        <f>('Loads'!$B$294*'Multi'!E$833)*'LAFs'!E$239/(24*'Input'!$F$58)*1000</f>
        <v>0</v>
      </c>
      <c r="F19" s="21">
        <f>('Loads'!$B$294*'Multi'!F$833)*'LAFs'!F$239/(24*'Input'!$F$58)*1000</f>
        <v>0</v>
      </c>
      <c r="G19" s="21">
        <f>('Loads'!$B$294*'Multi'!G$833)*'LAFs'!G$239/(24*'Input'!$F$58)*1000</f>
        <v>0</v>
      </c>
      <c r="H19" s="21">
        <f>('Loads'!$B$294*'Multi'!H$833)*'LAFs'!H$239/(24*'Input'!$F$58)*1000</f>
        <v>0</v>
      </c>
      <c r="I19" s="21">
        <f>('Loads'!$B$294*'Multi'!I$833)*'LAFs'!I$239/(24*'Input'!$F$58)*1000</f>
        <v>0</v>
      </c>
      <c r="J19" s="21">
        <f>('Loads'!$B$294*'Multi'!J$833)*'LAFs'!J$239/(24*'Input'!$F$58)*1000</f>
        <v>0</v>
      </c>
      <c r="K19" s="17"/>
    </row>
    <row r="21" spans="1:11" ht="21" customHeight="1">
      <c r="A21" s="1" t="s">
        <v>800</v>
      </c>
    </row>
    <row r="22" spans="1:11">
      <c r="A22" s="2" t="s">
        <v>351</v>
      </c>
    </row>
    <row r="23" spans="1:11">
      <c r="A23" s="33" t="s">
        <v>568</v>
      </c>
    </row>
    <row r="24" spans="1:11">
      <c r="A24" s="33" t="s">
        <v>797</v>
      </c>
    </row>
    <row r="25" spans="1:11">
      <c r="A25" s="33" t="s">
        <v>801</v>
      </c>
    </row>
    <row r="26" spans="1:11">
      <c r="A26" s="33" t="s">
        <v>802</v>
      </c>
    </row>
    <row r="27" spans="1:11">
      <c r="A27" s="33" t="s">
        <v>803</v>
      </c>
    </row>
    <row r="28" spans="1:11">
      <c r="A28" s="33" t="s">
        <v>579</v>
      </c>
    </row>
    <row r="29" spans="1:11">
      <c r="A29" s="2" t="s">
        <v>804</v>
      </c>
    </row>
    <row r="31" spans="1:11">
      <c r="B31" s="15" t="s">
        <v>142</v>
      </c>
      <c r="C31" s="15" t="s">
        <v>143</v>
      </c>
      <c r="D31" s="15" t="s">
        <v>144</v>
      </c>
      <c r="E31" s="15" t="s">
        <v>145</v>
      </c>
      <c r="F31" s="15" t="s">
        <v>146</v>
      </c>
      <c r="G31" s="15" t="s">
        <v>151</v>
      </c>
      <c r="H31" s="15" t="s">
        <v>147</v>
      </c>
      <c r="I31" s="15" t="s">
        <v>148</v>
      </c>
      <c r="J31" s="15" t="s">
        <v>149</v>
      </c>
    </row>
    <row r="32" spans="1:11">
      <c r="A32" s="4" t="s">
        <v>175</v>
      </c>
      <c r="B32" s="21">
        <f>('Loads'!$B$281*'Multi'!B$820+'Loads'!$C$281*'Multi'!B$846)*'LAFs'!B$226/(24*'Input'!$F$58)*1000</f>
        <v>0</v>
      </c>
      <c r="C32" s="21">
        <f>('Loads'!$B$281*'Multi'!C$820+'Loads'!$C$281*'Multi'!C$846)*'LAFs'!C$226/(24*'Input'!$F$58)*1000</f>
        <v>0</v>
      </c>
      <c r="D32" s="21">
        <f>('Loads'!$B$281*'Multi'!D$820+'Loads'!$C$281*'Multi'!D$846)*'LAFs'!D$226/(24*'Input'!$F$58)*1000</f>
        <v>0</v>
      </c>
      <c r="E32" s="21">
        <f>('Loads'!$B$281*'Multi'!E$820+'Loads'!$C$281*'Multi'!E$846)*'LAFs'!E$226/(24*'Input'!$F$58)*1000</f>
        <v>0</v>
      </c>
      <c r="F32" s="21">
        <f>('Loads'!$B$281*'Multi'!F$820+'Loads'!$C$281*'Multi'!F$846)*'LAFs'!F$226/(24*'Input'!$F$58)*1000</f>
        <v>0</v>
      </c>
      <c r="G32" s="21">
        <f>('Loads'!$B$281*'Multi'!G$820+'Loads'!$C$281*'Multi'!G$846)*'LAFs'!G$226/(24*'Input'!$F$58)*1000</f>
        <v>0</v>
      </c>
      <c r="H32" s="21">
        <f>('Loads'!$B$281*'Multi'!H$820+'Loads'!$C$281*'Multi'!H$846)*'LAFs'!H$226/(24*'Input'!$F$58)*1000</f>
        <v>0</v>
      </c>
      <c r="I32" s="21">
        <f>('Loads'!$B$281*'Multi'!I$820+'Loads'!$C$281*'Multi'!I$846)*'LAFs'!I$226/(24*'Input'!$F$58)*1000</f>
        <v>0</v>
      </c>
      <c r="J32" s="21">
        <f>('Loads'!$B$281*'Multi'!J$820+'Loads'!$C$281*'Multi'!J$846)*'LAFs'!J$226/(24*'Input'!$F$58)*1000</f>
        <v>0</v>
      </c>
      <c r="K32" s="17"/>
    </row>
    <row r="33" spans="1:11">
      <c r="A33" s="4" t="s">
        <v>177</v>
      </c>
      <c r="B33" s="21">
        <f>('Loads'!$B$284*'Multi'!B$823+'Loads'!$C$284*'Multi'!B$847)*'LAFs'!B$229/(24*'Input'!$F$58)*1000</f>
        <v>0</v>
      </c>
      <c r="C33" s="21">
        <f>('Loads'!$B$284*'Multi'!C$823+'Loads'!$C$284*'Multi'!C$847)*'LAFs'!C$229/(24*'Input'!$F$58)*1000</f>
        <v>0</v>
      </c>
      <c r="D33" s="21">
        <f>('Loads'!$B$284*'Multi'!D$823+'Loads'!$C$284*'Multi'!D$847)*'LAFs'!D$229/(24*'Input'!$F$58)*1000</f>
        <v>0</v>
      </c>
      <c r="E33" s="21">
        <f>('Loads'!$B$284*'Multi'!E$823+'Loads'!$C$284*'Multi'!E$847)*'LAFs'!E$229/(24*'Input'!$F$58)*1000</f>
        <v>0</v>
      </c>
      <c r="F33" s="21">
        <f>('Loads'!$B$284*'Multi'!F$823+'Loads'!$C$284*'Multi'!F$847)*'LAFs'!F$229/(24*'Input'!$F$58)*1000</f>
        <v>0</v>
      </c>
      <c r="G33" s="21">
        <f>('Loads'!$B$284*'Multi'!G$823+'Loads'!$C$284*'Multi'!G$847)*'LAFs'!G$229/(24*'Input'!$F$58)*1000</f>
        <v>0</v>
      </c>
      <c r="H33" s="21">
        <f>('Loads'!$B$284*'Multi'!H$823+'Loads'!$C$284*'Multi'!H$847)*'LAFs'!H$229/(24*'Input'!$F$58)*1000</f>
        <v>0</v>
      </c>
      <c r="I33" s="21">
        <f>('Loads'!$B$284*'Multi'!I$823+'Loads'!$C$284*'Multi'!I$847)*'LAFs'!I$229/(24*'Input'!$F$58)*1000</f>
        <v>0</v>
      </c>
      <c r="J33" s="21">
        <f>('Loads'!$B$284*'Multi'!J$823+'Loads'!$C$284*'Multi'!J$847)*'LAFs'!J$229/(24*'Input'!$F$58)*1000</f>
        <v>0</v>
      </c>
      <c r="K33" s="17"/>
    </row>
    <row r="35" spans="1:11" ht="21" customHeight="1">
      <c r="A35" s="1" t="s">
        <v>805</v>
      </c>
    </row>
    <row r="36" spans="1:11">
      <c r="A36" s="2" t="s">
        <v>351</v>
      </c>
    </row>
    <row r="37" spans="1:11">
      <c r="A37" s="33" t="s">
        <v>568</v>
      </c>
    </row>
    <row r="38" spans="1:11">
      <c r="A38" s="33" t="s">
        <v>797</v>
      </c>
    </row>
    <row r="39" spans="1:11">
      <c r="A39" s="33" t="s">
        <v>801</v>
      </c>
    </row>
    <row r="40" spans="1:11">
      <c r="A40" s="33" t="s">
        <v>802</v>
      </c>
    </row>
    <row r="41" spans="1:11">
      <c r="A41" s="33" t="s">
        <v>806</v>
      </c>
    </row>
    <row r="42" spans="1:11">
      <c r="A42" s="33" t="s">
        <v>807</v>
      </c>
    </row>
    <row r="43" spans="1:11">
      <c r="A43" s="33" t="s">
        <v>808</v>
      </c>
    </row>
    <row r="44" spans="1:11">
      <c r="A44" s="33" t="s">
        <v>589</v>
      </c>
    </row>
    <row r="45" spans="1:11">
      <c r="A45" s="2" t="s">
        <v>809</v>
      </c>
    </row>
    <row r="47" spans="1:11">
      <c r="B47" s="15" t="s">
        <v>142</v>
      </c>
      <c r="C47" s="15" t="s">
        <v>143</v>
      </c>
      <c r="D47" s="15" t="s">
        <v>144</v>
      </c>
      <c r="E47" s="15" t="s">
        <v>145</v>
      </c>
      <c r="F47" s="15" t="s">
        <v>146</v>
      </c>
      <c r="G47" s="15" t="s">
        <v>151</v>
      </c>
      <c r="H47" s="15" t="s">
        <v>147</v>
      </c>
      <c r="I47" s="15" t="s">
        <v>148</v>
      </c>
      <c r="J47" s="15" t="s">
        <v>149</v>
      </c>
    </row>
    <row r="48" spans="1:11">
      <c r="A48" s="4" t="s">
        <v>178</v>
      </c>
      <c r="B48" s="21">
        <f>('Loads'!$B$286*'Multi'!B$825+'Loads'!$C$286*'Multi'!B$848+'Loads'!$D$286*'Multi'!B$865)*'LAFs'!B$231/(24*'Input'!$F$58)*1000</f>
        <v>0</v>
      </c>
      <c r="C48" s="21">
        <f>('Loads'!$B$286*'Multi'!C$825+'Loads'!$C$286*'Multi'!C$848+'Loads'!$D$286*'Multi'!C$865)*'LAFs'!C$231/(24*'Input'!$F$58)*1000</f>
        <v>0</v>
      </c>
      <c r="D48" s="21">
        <f>('Loads'!$B$286*'Multi'!D$825+'Loads'!$C$286*'Multi'!D$848+'Loads'!$D$286*'Multi'!D$865)*'LAFs'!D$231/(24*'Input'!$F$58)*1000</f>
        <v>0</v>
      </c>
      <c r="E48" s="21">
        <f>('Loads'!$B$286*'Multi'!E$825+'Loads'!$C$286*'Multi'!E$848+'Loads'!$D$286*'Multi'!E$865)*'LAFs'!E$231/(24*'Input'!$F$58)*1000</f>
        <v>0</v>
      </c>
      <c r="F48" s="21">
        <f>('Loads'!$B$286*'Multi'!F$825+'Loads'!$C$286*'Multi'!F$848+'Loads'!$D$286*'Multi'!F$865)*'LAFs'!F$231/(24*'Input'!$F$58)*1000</f>
        <v>0</v>
      </c>
      <c r="G48" s="21">
        <f>('Loads'!$B$286*'Multi'!G$825+'Loads'!$C$286*'Multi'!G$848+'Loads'!$D$286*'Multi'!G$865)*'LAFs'!G$231/(24*'Input'!$F$58)*1000</f>
        <v>0</v>
      </c>
      <c r="H48" s="21">
        <f>('Loads'!$B$286*'Multi'!H$825+'Loads'!$C$286*'Multi'!H$848+'Loads'!$D$286*'Multi'!H$865)*'LAFs'!H$231/(24*'Input'!$F$58)*1000</f>
        <v>0</v>
      </c>
      <c r="I48" s="21">
        <f>('Loads'!$B$286*'Multi'!I$825+'Loads'!$C$286*'Multi'!I$848+'Loads'!$D$286*'Multi'!I$865)*'LAFs'!I$231/(24*'Input'!$F$58)*1000</f>
        <v>0</v>
      </c>
      <c r="J48" s="21">
        <f>('Loads'!$B$286*'Multi'!J$825+'Loads'!$C$286*'Multi'!J$848+'Loads'!$D$286*'Multi'!J$865)*'LAFs'!J$231/(24*'Input'!$F$58)*1000</f>
        <v>0</v>
      </c>
      <c r="K48" s="17"/>
    </row>
    <row r="49" spans="1:11">
      <c r="A49" s="4" t="s">
        <v>179</v>
      </c>
      <c r="B49" s="21">
        <f>('Loads'!$B$287*'Multi'!B$826+'Loads'!$C$287*'Multi'!B$849+'Loads'!$D$287*'Multi'!B$866)*'LAFs'!B$232/(24*'Input'!$F$58)*1000</f>
        <v>0</v>
      </c>
      <c r="C49" s="21">
        <f>('Loads'!$B$287*'Multi'!C$826+'Loads'!$C$287*'Multi'!C$849+'Loads'!$D$287*'Multi'!C$866)*'LAFs'!C$232/(24*'Input'!$F$58)*1000</f>
        <v>0</v>
      </c>
      <c r="D49" s="21">
        <f>('Loads'!$B$287*'Multi'!D$826+'Loads'!$C$287*'Multi'!D$849+'Loads'!$D$287*'Multi'!D$866)*'LAFs'!D$232/(24*'Input'!$F$58)*1000</f>
        <v>0</v>
      </c>
      <c r="E49" s="21">
        <f>('Loads'!$B$287*'Multi'!E$826+'Loads'!$C$287*'Multi'!E$849+'Loads'!$D$287*'Multi'!E$866)*'LAFs'!E$232/(24*'Input'!$F$58)*1000</f>
        <v>0</v>
      </c>
      <c r="F49" s="21">
        <f>('Loads'!$B$287*'Multi'!F$826+'Loads'!$C$287*'Multi'!F$849+'Loads'!$D$287*'Multi'!F$866)*'LAFs'!F$232/(24*'Input'!$F$58)*1000</f>
        <v>0</v>
      </c>
      <c r="G49" s="21">
        <f>('Loads'!$B$287*'Multi'!G$826+'Loads'!$C$287*'Multi'!G$849+'Loads'!$D$287*'Multi'!G$866)*'LAFs'!G$232/(24*'Input'!$F$58)*1000</f>
        <v>0</v>
      </c>
      <c r="H49" s="21">
        <f>('Loads'!$B$287*'Multi'!H$826+'Loads'!$C$287*'Multi'!H$849+'Loads'!$D$287*'Multi'!H$866)*'LAFs'!H$232/(24*'Input'!$F$58)*1000</f>
        <v>0</v>
      </c>
      <c r="I49" s="21">
        <f>('Loads'!$B$287*'Multi'!I$826+'Loads'!$C$287*'Multi'!I$849+'Loads'!$D$287*'Multi'!I$866)*'LAFs'!I$232/(24*'Input'!$F$58)*1000</f>
        <v>0</v>
      </c>
      <c r="J49" s="21">
        <f>('Loads'!$B$287*'Multi'!J$826+'Loads'!$C$287*'Multi'!J$849+'Loads'!$D$287*'Multi'!J$866)*'LAFs'!J$232/(24*'Input'!$F$58)*1000</f>
        <v>0</v>
      </c>
      <c r="K49" s="17"/>
    </row>
    <row r="50" spans="1:11">
      <c r="A50" s="4" t="s">
        <v>180</v>
      </c>
      <c r="B50" s="21">
        <f>('Loads'!$B$288*'Multi'!B$827+'Loads'!$C$288*'Multi'!B$850+'Loads'!$D$288*'Multi'!B$867)*'LAFs'!B$233/(24*'Input'!$F$58)*1000</f>
        <v>0</v>
      </c>
      <c r="C50" s="21">
        <f>('Loads'!$B$288*'Multi'!C$827+'Loads'!$C$288*'Multi'!C$850+'Loads'!$D$288*'Multi'!C$867)*'LAFs'!C$233/(24*'Input'!$F$58)*1000</f>
        <v>0</v>
      </c>
      <c r="D50" s="21">
        <f>('Loads'!$B$288*'Multi'!D$827+'Loads'!$C$288*'Multi'!D$850+'Loads'!$D$288*'Multi'!D$867)*'LAFs'!D$233/(24*'Input'!$F$58)*1000</f>
        <v>0</v>
      </c>
      <c r="E50" s="21">
        <f>('Loads'!$B$288*'Multi'!E$827+'Loads'!$C$288*'Multi'!E$850+'Loads'!$D$288*'Multi'!E$867)*'LAFs'!E$233/(24*'Input'!$F$58)*1000</f>
        <v>0</v>
      </c>
      <c r="F50" s="21">
        <f>('Loads'!$B$288*'Multi'!F$827+'Loads'!$C$288*'Multi'!F$850+'Loads'!$D$288*'Multi'!F$867)*'LAFs'!F$233/(24*'Input'!$F$58)*1000</f>
        <v>0</v>
      </c>
      <c r="G50" s="21">
        <f>('Loads'!$B$288*'Multi'!G$827+'Loads'!$C$288*'Multi'!G$850+'Loads'!$D$288*'Multi'!G$867)*'LAFs'!G$233/(24*'Input'!$F$58)*1000</f>
        <v>0</v>
      </c>
      <c r="H50" s="21">
        <f>('Loads'!$B$288*'Multi'!H$827+'Loads'!$C$288*'Multi'!H$850+'Loads'!$D$288*'Multi'!H$867)*'LAFs'!H$233/(24*'Input'!$F$58)*1000</f>
        <v>0</v>
      </c>
      <c r="I50" s="21">
        <f>('Loads'!$B$288*'Multi'!I$827+'Loads'!$C$288*'Multi'!I$850+'Loads'!$D$288*'Multi'!I$867)*'LAFs'!I$233/(24*'Input'!$F$58)*1000</f>
        <v>0</v>
      </c>
      <c r="J50" s="21">
        <f>('Loads'!$B$288*'Multi'!J$827+'Loads'!$C$288*'Multi'!J$850+'Loads'!$D$288*'Multi'!J$867)*'LAFs'!J$233/(24*'Input'!$F$58)*1000</f>
        <v>0</v>
      </c>
      <c r="K50" s="17"/>
    </row>
    <row r="51" spans="1:11">
      <c r="A51" s="4" t="s">
        <v>181</v>
      </c>
      <c r="B51" s="21">
        <f>('Loads'!$B$289*'Multi'!B$828+'Loads'!$C$289*'Multi'!B$851+'Loads'!$D$289*'Multi'!B$868)*'LAFs'!B$234/(24*'Input'!$F$58)*1000</f>
        <v>0</v>
      </c>
      <c r="C51" s="21">
        <f>('Loads'!$B$289*'Multi'!C$828+'Loads'!$C$289*'Multi'!C$851+'Loads'!$D$289*'Multi'!C$868)*'LAFs'!C$234/(24*'Input'!$F$58)*1000</f>
        <v>0</v>
      </c>
      <c r="D51" s="21">
        <f>('Loads'!$B$289*'Multi'!D$828+'Loads'!$C$289*'Multi'!D$851+'Loads'!$D$289*'Multi'!D$868)*'LAFs'!D$234/(24*'Input'!$F$58)*1000</f>
        <v>0</v>
      </c>
      <c r="E51" s="21">
        <f>('Loads'!$B$289*'Multi'!E$828+'Loads'!$C$289*'Multi'!E$851+'Loads'!$D$289*'Multi'!E$868)*'LAFs'!E$234/(24*'Input'!$F$58)*1000</f>
        <v>0</v>
      </c>
      <c r="F51" s="21">
        <f>('Loads'!$B$289*'Multi'!F$828+'Loads'!$C$289*'Multi'!F$851+'Loads'!$D$289*'Multi'!F$868)*'LAFs'!F$234/(24*'Input'!$F$58)*1000</f>
        <v>0</v>
      </c>
      <c r="G51" s="21">
        <f>('Loads'!$B$289*'Multi'!G$828+'Loads'!$C$289*'Multi'!G$851+'Loads'!$D$289*'Multi'!G$868)*'LAFs'!G$234/(24*'Input'!$F$58)*1000</f>
        <v>0</v>
      </c>
      <c r="H51" s="21">
        <f>('Loads'!$B$289*'Multi'!H$828+'Loads'!$C$289*'Multi'!H$851+'Loads'!$D$289*'Multi'!H$868)*'LAFs'!H$234/(24*'Input'!$F$58)*1000</f>
        <v>0</v>
      </c>
      <c r="I51" s="21">
        <f>('Loads'!$B$289*'Multi'!I$828+'Loads'!$C$289*'Multi'!I$851+'Loads'!$D$289*'Multi'!I$868)*'LAFs'!I$234/(24*'Input'!$F$58)*1000</f>
        <v>0</v>
      </c>
      <c r="J51" s="21">
        <f>('Loads'!$B$289*'Multi'!J$828+'Loads'!$C$289*'Multi'!J$851+'Loads'!$D$289*'Multi'!J$868)*'LAFs'!J$234/(24*'Input'!$F$58)*1000</f>
        <v>0</v>
      </c>
      <c r="K51" s="17"/>
    </row>
    <row r="52" spans="1:11">
      <c r="A52" s="4" t="s">
        <v>193</v>
      </c>
      <c r="B52" s="21">
        <f>('Loads'!$B$290*'Multi'!B$829+'Loads'!$C$290*'Multi'!B$852+'Loads'!$D$290*'Multi'!B$869)*'LAFs'!B$235/(24*'Input'!$F$58)*1000</f>
        <v>0</v>
      </c>
      <c r="C52" s="21">
        <f>('Loads'!$B$290*'Multi'!C$829+'Loads'!$C$290*'Multi'!C$852+'Loads'!$D$290*'Multi'!C$869)*'LAFs'!C$235/(24*'Input'!$F$58)*1000</f>
        <v>0</v>
      </c>
      <c r="D52" s="21">
        <f>('Loads'!$B$290*'Multi'!D$829+'Loads'!$C$290*'Multi'!D$852+'Loads'!$D$290*'Multi'!D$869)*'LAFs'!D$235/(24*'Input'!$F$58)*1000</f>
        <v>0</v>
      </c>
      <c r="E52" s="21">
        <f>('Loads'!$B$290*'Multi'!E$829+'Loads'!$C$290*'Multi'!E$852+'Loads'!$D$290*'Multi'!E$869)*'LAFs'!E$235/(24*'Input'!$F$58)*1000</f>
        <v>0</v>
      </c>
      <c r="F52" s="21">
        <f>('Loads'!$B$290*'Multi'!F$829+'Loads'!$C$290*'Multi'!F$852+'Loads'!$D$290*'Multi'!F$869)*'LAFs'!F$235/(24*'Input'!$F$58)*1000</f>
        <v>0</v>
      </c>
      <c r="G52" s="21">
        <f>('Loads'!$B$290*'Multi'!G$829+'Loads'!$C$290*'Multi'!G$852+'Loads'!$D$290*'Multi'!G$869)*'LAFs'!G$235/(24*'Input'!$F$58)*1000</f>
        <v>0</v>
      </c>
      <c r="H52" s="21">
        <f>('Loads'!$B$290*'Multi'!H$829+'Loads'!$C$290*'Multi'!H$852+'Loads'!$D$290*'Multi'!H$869)*'LAFs'!H$235/(24*'Input'!$F$58)*1000</f>
        <v>0</v>
      </c>
      <c r="I52" s="21">
        <f>('Loads'!$B$290*'Multi'!I$829+'Loads'!$C$290*'Multi'!I$852+'Loads'!$D$290*'Multi'!I$869)*'LAFs'!I$235/(24*'Input'!$F$58)*1000</f>
        <v>0</v>
      </c>
      <c r="J52" s="21">
        <f>('Loads'!$B$290*'Multi'!J$829+'Loads'!$C$290*'Multi'!J$852+'Loads'!$D$290*'Multi'!J$869)*'LAFs'!J$235/(24*'Input'!$F$58)*1000</f>
        <v>0</v>
      </c>
      <c r="K52" s="17"/>
    </row>
    <row r="53" spans="1:11">
      <c r="A53" s="4" t="s">
        <v>217</v>
      </c>
      <c r="B53" s="21">
        <f>('Loads'!$B$295*'Multi'!B$834+'Loads'!$C$295*'Multi'!B$853+'Loads'!$D$295*'Multi'!B$870)*'LAFs'!B$240/(24*'Input'!$F$58)*1000</f>
        <v>0</v>
      </c>
      <c r="C53" s="21">
        <f>('Loads'!$B$295*'Multi'!C$834+'Loads'!$C$295*'Multi'!C$853+'Loads'!$D$295*'Multi'!C$870)*'LAFs'!C$240/(24*'Input'!$F$58)*1000</f>
        <v>0</v>
      </c>
      <c r="D53" s="21">
        <f>('Loads'!$B$295*'Multi'!D$834+'Loads'!$C$295*'Multi'!D$853+'Loads'!$D$295*'Multi'!D$870)*'LAFs'!D$240/(24*'Input'!$F$58)*1000</f>
        <v>0</v>
      </c>
      <c r="E53" s="21">
        <f>('Loads'!$B$295*'Multi'!E$834+'Loads'!$C$295*'Multi'!E$853+'Loads'!$D$295*'Multi'!E$870)*'LAFs'!E$240/(24*'Input'!$F$58)*1000</f>
        <v>0</v>
      </c>
      <c r="F53" s="21">
        <f>('Loads'!$B$295*'Multi'!F$834+'Loads'!$C$295*'Multi'!F$853+'Loads'!$D$295*'Multi'!F$870)*'LAFs'!F$240/(24*'Input'!$F$58)*1000</f>
        <v>0</v>
      </c>
      <c r="G53" s="21">
        <f>('Loads'!$B$295*'Multi'!G$834+'Loads'!$C$295*'Multi'!G$853+'Loads'!$D$295*'Multi'!G$870)*'LAFs'!G$240/(24*'Input'!$F$58)*1000</f>
        <v>0</v>
      </c>
      <c r="H53" s="21">
        <f>('Loads'!$B$295*'Multi'!H$834+'Loads'!$C$295*'Multi'!H$853+'Loads'!$D$295*'Multi'!H$870)*'LAFs'!H$240/(24*'Input'!$F$58)*1000</f>
        <v>0</v>
      </c>
      <c r="I53" s="21">
        <f>('Loads'!$B$295*'Multi'!I$834+'Loads'!$C$295*'Multi'!I$853+'Loads'!$D$295*'Multi'!I$870)*'LAFs'!I$240/(24*'Input'!$F$58)*1000</f>
        <v>0</v>
      </c>
      <c r="J53" s="21">
        <f>('Loads'!$B$295*'Multi'!J$834+'Loads'!$C$295*'Multi'!J$853+'Loads'!$D$295*'Multi'!J$870)*'LAFs'!J$240/(24*'Input'!$F$58)*1000</f>
        <v>0</v>
      </c>
      <c r="K53" s="17"/>
    </row>
    <row r="54" spans="1:11">
      <c r="A54" s="4" t="s">
        <v>185</v>
      </c>
      <c r="B54" s="21">
        <f>('Loads'!$B$299*'Multi'!B$835+'Loads'!$C$299*'Multi'!B$854+'Loads'!$D$299*'Multi'!B$871)*'LAFs'!B$244/(24*'Input'!$F$58)*1000</f>
        <v>0</v>
      </c>
      <c r="C54" s="21">
        <f>('Loads'!$B$299*'Multi'!C$835+'Loads'!$C$299*'Multi'!C$854+'Loads'!$D$299*'Multi'!C$871)*'LAFs'!C$244/(24*'Input'!$F$58)*1000</f>
        <v>0</v>
      </c>
      <c r="D54" s="21">
        <f>('Loads'!$B$299*'Multi'!D$835+'Loads'!$C$299*'Multi'!D$854+'Loads'!$D$299*'Multi'!D$871)*'LAFs'!D$244/(24*'Input'!$F$58)*1000</f>
        <v>0</v>
      </c>
      <c r="E54" s="21">
        <f>('Loads'!$B$299*'Multi'!E$835+'Loads'!$C$299*'Multi'!E$854+'Loads'!$D$299*'Multi'!E$871)*'LAFs'!E$244/(24*'Input'!$F$58)*1000</f>
        <v>0</v>
      </c>
      <c r="F54" s="21">
        <f>('Loads'!$B$299*'Multi'!F$835+'Loads'!$C$299*'Multi'!F$854+'Loads'!$D$299*'Multi'!F$871)*'LAFs'!F$244/(24*'Input'!$F$58)*1000</f>
        <v>0</v>
      </c>
      <c r="G54" s="21">
        <f>('Loads'!$B$299*'Multi'!G$835+'Loads'!$C$299*'Multi'!G$854+'Loads'!$D$299*'Multi'!G$871)*'LAFs'!G$244/(24*'Input'!$F$58)*1000</f>
        <v>0</v>
      </c>
      <c r="H54" s="21">
        <f>('Loads'!$B$299*'Multi'!H$835+'Loads'!$C$299*'Multi'!H$854+'Loads'!$D$299*'Multi'!H$871)*'LAFs'!H$244/(24*'Input'!$F$58)*1000</f>
        <v>0</v>
      </c>
      <c r="I54" s="21">
        <f>('Loads'!$B$299*'Multi'!I$835+'Loads'!$C$299*'Multi'!I$854+'Loads'!$D$299*'Multi'!I$871)*'LAFs'!I$244/(24*'Input'!$F$58)*1000</f>
        <v>0</v>
      </c>
      <c r="J54" s="21">
        <f>('Loads'!$B$299*'Multi'!J$835+'Loads'!$C$299*'Multi'!J$854+'Loads'!$D$299*'Multi'!J$871)*'LAFs'!J$244/(24*'Input'!$F$58)*1000</f>
        <v>0</v>
      </c>
      <c r="K54" s="17"/>
    </row>
    <row r="55" spans="1:11">
      <c r="A55" s="4" t="s">
        <v>187</v>
      </c>
      <c r="B55" s="21">
        <f>('Loads'!$B$301*'Multi'!B$836+'Loads'!$C$301*'Multi'!B$855+'Loads'!$D$301*'Multi'!B$872)*'LAFs'!B$246/(24*'Input'!$F$58)*1000</f>
        <v>0</v>
      </c>
      <c r="C55" s="21">
        <f>('Loads'!$B$301*'Multi'!C$836+'Loads'!$C$301*'Multi'!C$855+'Loads'!$D$301*'Multi'!C$872)*'LAFs'!C$246/(24*'Input'!$F$58)*1000</f>
        <v>0</v>
      </c>
      <c r="D55" s="21">
        <f>('Loads'!$B$301*'Multi'!D$836+'Loads'!$C$301*'Multi'!D$855+'Loads'!$D$301*'Multi'!D$872)*'LAFs'!D$246/(24*'Input'!$F$58)*1000</f>
        <v>0</v>
      </c>
      <c r="E55" s="21">
        <f>('Loads'!$B$301*'Multi'!E$836+'Loads'!$C$301*'Multi'!E$855+'Loads'!$D$301*'Multi'!E$872)*'LAFs'!E$246/(24*'Input'!$F$58)*1000</f>
        <v>0</v>
      </c>
      <c r="F55" s="21">
        <f>('Loads'!$B$301*'Multi'!F$836+'Loads'!$C$301*'Multi'!F$855+'Loads'!$D$301*'Multi'!F$872)*'LAFs'!F$246/(24*'Input'!$F$58)*1000</f>
        <v>0</v>
      </c>
      <c r="G55" s="21">
        <f>('Loads'!$B$301*'Multi'!G$836+'Loads'!$C$301*'Multi'!G$855+'Loads'!$D$301*'Multi'!G$872)*'LAFs'!G$246/(24*'Input'!$F$58)*1000</f>
        <v>0</v>
      </c>
      <c r="H55" s="21">
        <f>('Loads'!$B$301*'Multi'!H$836+'Loads'!$C$301*'Multi'!H$855+'Loads'!$D$301*'Multi'!H$872)*'LAFs'!H$246/(24*'Input'!$F$58)*1000</f>
        <v>0</v>
      </c>
      <c r="I55" s="21">
        <f>('Loads'!$B$301*'Multi'!I$836+'Loads'!$C$301*'Multi'!I$855+'Loads'!$D$301*'Multi'!I$872)*'LAFs'!I$246/(24*'Input'!$F$58)*1000</f>
        <v>0</v>
      </c>
      <c r="J55" s="21">
        <f>('Loads'!$B$301*'Multi'!J$836+'Loads'!$C$301*'Multi'!J$855+'Loads'!$D$301*'Multi'!J$872)*'LAFs'!J$246/(24*'Input'!$F$58)*1000</f>
        <v>0</v>
      </c>
      <c r="K55" s="17"/>
    </row>
    <row r="56" spans="1:11">
      <c r="A56" s="4" t="s">
        <v>195</v>
      </c>
      <c r="B56" s="21">
        <f>('Loads'!$B$303*'Multi'!B$837+'Loads'!$C$303*'Multi'!B$856+'Loads'!$D$303*'Multi'!B$873)*'LAFs'!B$248/(24*'Input'!$F$58)*1000</f>
        <v>0</v>
      </c>
      <c r="C56" s="21">
        <f>('Loads'!$B$303*'Multi'!C$837+'Loads'!$C$303*'Multi'!C$856+'Loads'!$D$303*'Multi'!C$873)*'LAFs'!C$248/(24*'Input'!$F$58)*1000</f>
        <v>0</v>
      </c>
      <c r="D56" s="21">
        <f>('Loads'!$B$303*'Multi'!D$837+'Loads'!$C$303*'Multi'!D$856+'Loads'!$D$303*'Multi'!D$873)*'LAFs'!D$248/(24*'Input'!$F$58)*1000</f>
        <v>0</v>
      </c>
      <c r="E56" s="21">
        <f>('Loads'!$B$303*'Multi'!E$837+'Loads'!$C$303*'Multi'!E$856+'Loads'!$D$303*'Multi'!E$873)*'LAFs'!E$248/(24*'Input'!$F$58)*1000</f>
        <v>0</v>
      </c>
      <c r="F56" s="21">
        <f>('Loads'!$B$303*'Multi'!F$837+'Loads'!$C$303*'Multi'!F$856+'Loads'!$D$303*'Multi'!F$873)*'LAFs'!F$248/(24*'Input'!$F$58)*1000</f>
        <v>0</v>
      </c>
      <c r="G56" s="21">
        <f>('Loads'!$B$303*'Multi'!G$837+'Loads'!$C$303*'Multi'!G$856+'Loads'!$D$303*'Multi'!G$873)*'LAFs'!G$248/(24*'Input'!$F$58)*1000</f>
        <v>0</v>
      </c>
      <c r="H56" s="21">
        <f>('Loads'!$B$303*'Multi'!H$837+'Loads'!$C$303*'Multi'!H$856+'Loads'!$D$303*'Multi'!H$873)*'LAFs'!H$248/(24*'Input'!$F$58)*1000</f>
        <v>0</v>
      </c>
      <c r="I56" s="21">
        <f>('Loads'!$B$303*'Multi'!I$837+'Loads'!$C$303*'Multi'!I$856+'Loads'!$D$303*'Multi'!I$873)*'LAFs'!I$248/(24*'Input'!$F$58)*1000</f>
        <v>0</v>
      </c>
      <c r="J56" s="21">
        <f>('Loads'!$B$303*'Multi'!J$837+'Loads'!$C$303*'Multi'!J$856+'Loads'!$D$303*'Multi'!J$873)*'LAFs'!J$248/(24*'Input'!$F$58)*1000</f>
        <v>0</v>
      </c>
      <c r="K56" s="17"/>
    </row>
    <row r="58" spans="1:11" ht="21" customHeight="1">
      <c r="A58" s="1" t="s">
        <v>810</v>
      </c>
    </row>
    <row r="59" spans="1:11">
      <c r="A59" s="2" t="s">
        <v>351</v>
      </c>
    </row>
    <row r="60" spans="1:11">
      <c r="A60" s="33" t="s">
        <v>574</v>
      </c>
    </row>
    <row r="61" spans="1:11">
      <c r="A61" s="33" t="s">
        <v>811</v>
      </c>
    </row>
    <row r="62" spans="1:11">
      <c r="A62" s="33" t="s">
        <v>798</v>
      </c>
    </row>
    <row r="63" spans="1:11">
      <c r="A63" s="33" t="s">
        <v>552</v>
      </c>
    </row>
    <row r="64" spans="1:11">
      <c r="A64" s="2" t="s">
        <v>812</v>
      </c>
    </row>
    <row r="66" spans="1:11">
      <c r="B66" s="15" t="s">
        <v>142</v>
      </c>
      <c r="C66" s="15" t="s">
        <v>143</v>
      </c>
      <c r="D66" s="15" t="s">
        <v>144</v>
      </c>
      <c r="E66" s="15" t="s">
        <v>145</v>
      </c>
      <c r="F66" s="15" t="s">
        <v>146</v>
      </c>
      <c r="G66" s="15" t="s">
        <v>151</v>
      </c>
      <c r="H66" s="15" t="s">
        <v>147</v>
      </c>
      <c r="I66" s="15" t="s">
        <v>148</v>
      </c>
      <c r="J66" s="15" t="s">
        <v>149</v>
      </c>
    </row>
    <row r="67" spans="1:11">
      <c r="A67" s="4" t="s">
        <v>174</v>
      </c>
      <c r="B67" s="21">
        <f>'Multi'!$B107*'Loads'!$B43*'LAFs'!B225/(24*'Input'!$F$58)*1000</f>
        <v>0</v>
      </c>
      <c r="C67" s="21">
        <f>'Multi'!$B107*'Loads'!$B43*'LAFs'!C225/(24*'Input'!$F$58)*1000</f>
        <v>0</v>
      </c>
      <c r="D67" s="21">
        <f>'Multi'!$B107*'Loads'!$B43*'LAFs'!D225/(24*'Input'!$F$58)*1000</f>
        <v>0</v>
      </c>
      <c r="E67" s="21">
        <f>'Multi'!$B107*'Loads'!$B43*'LAFs'!E225/(24*'Input'!$F$58)*1000</f>
        <v>0</v>
      </c>
      <c r="F67" s="21">
        <f>'Multi'!$B107*'Loads'!$B43*'LAFs'!F225/(24*'Input'!$F$58)*1000</f>
        <v>0</v>
      </c>
      <c r="G67" s="21">
        <f>'Multi'!$B107*'Loads'!$B43*'LAFs'!G225/(24*'Input'!$F$58)*1000</f>
        <v>0</v>
      </c>
      <c r="H67" s="21">
        <f>'Multi'!$B107*'Loads'!$B43*'LAFs'!H225/(24*'Input'!$F$58)*1000</f>
        <v>0</v>
      </c>
      <c r="I67" s="21">
        <f>'Multi'!$B107*'Loads'!$B43*'LAFs'!I225/(24*'Input'!$F$58)*1000</f>
        <v>0</v>
      </c>
      <c r="J67" s="21">
        <f>'Multi'!$B107*'Loads'!$B43*'LAFs'!J225/(24*'Input'!$F$58)*1000</f>
        <v>0</v>
      </c>
      <c r="K67" s="17"/>
    </row>
    <row r="68" spans="1:11">
      <c r="A68" s="4" t="s">
        <v>175</v>
      </c>
      <c r="B68" s="21">
        <f>'Multi'!$B108*'Loads'!$B44*'LAFs'!B226/(24*'Input'!$F$58)*1000</f>
        <v>0</v>
      </c>
      <c r="C68" s="21">
        <f>'Multi'!$B108*'Loads'!$B44*'LAFs'!C226/(24*'Input'!$F$58)*1000</f>
        <v>0</v>
      </c>
      <c r="D68" s="21">
        <f>'Multi'!$B108*'Loads'!$B44*'LAFs'!D226/(24*'Input'!$F$58)*1000</f>
        <v>0</v>
      </c>
      <c r="E68" s="21">
        <f>'Multi'!$B108*'Loads'!$B44*'LAFs'!E226/(24*'Input'!$F$58)*1000</f>
        <v>0</v>
      </c>
      <c r="F68" s="21">
        <f>'Multi'!$B108*'Loads'!$B44*'LAFs'!F226/(24*'Input'!$F$58)*1000</f>
        <v>0</v>
      </c>
      <c r="G68" s="21">
        <f>'Multi'!$B108*'Loads'!$B44*'LAFs'!G226/(24*'Input'!$F$58)*1000</f>
        <v>0</v>
      </c>
      <c r="H68" s="21">
        <f>'Multi'!$B108*'Loads'!$B44*'LAFs'!H226/(24*'Input'!$F$58)*1000</f>
        <v>0</v>
      </c>
      <c r="I68" s="21">
        <f>'Multi'!$B108*'Loads'!$B44*'LAFs'!I226/(24*'Input'!$F$58)*1000</f>
        <v>0</v>
      </c>
      <c r="J68" s="21">
        <f>'Multi'!$B108*'Loads'!$B44*'LAFs'!J226/(24*'Input'!$F$58)*1000</f>
        <v>0</v>
      </c>
      <c r="K68" s="17"/>
    </row>
    <row r="69" spans="1:11">
      <c r="A69" s="4" t="s">
        <v>211</v>
      </c>
      <c r="B69" s="21">
        <f>'Multi'!$B109*'Loads'!$B45*'LAFs'!B227/(24*'Input'!$F$58)*1000</f>
        <v>0</v>
      </c>
      <c r="C69" s="21">
        <f>'Multi'!$B109*'Loads'!$B45*'LAFs'!C227/(24*'Input'!$F$58)*1000</f>
        <v>0</v>
      </c>
      <c r="D69" s="21">
        <f>'Multi'!$B109*'Loads'!$B45*'LAFs'!D227/(24*'Input'!$F$58)*1000</f>
        <v>0</v>
      </c>
      <c r="E69" s="21">
        <f>'Multi'!$B109*'Loads'!$B45*'LAFs'!E227/(24*'Input'!$F$58)*1000</f>
        <v>0</v>
      </c>
      <c r="F69" s="21">
        <f>'Multi'!$B109*'Loads'!$B45*'LAFs'!F227/(24*'Input'!$F$58)*1000</f>
        <v>0</v>
      </c>
      <c r="G69" s="21">
        <f>'Multi'!$B109*'Loads'!$B45*'LAFs'!G227/(24*'Input'!$F$58)*1000</f>
        <v>0</v>
      </c>
      <c r="H69" s="21">
        <f>'Multi'!$B109*'Loads'!$B45*'LAFs'!H227/(24*'Input'!$F$58)*1000</f>
        <v>0</v>
      </c>
      <c r="I69" s="21">
        <f>'Multi'!$B109*'Loads'!$B45*'LAFs'!I227/(24*'Input'!$F$58)*1000</f>
        <v>0</v>
      </c>
      <c r="J69" s="21">
        <f>'Multi'!$B109*'Loads'!$B45*'LAFs'!J227/(24*'Input'!$F$58)*1000</f>
        <v>0</v>
      </c>
      <c r="K69" s="17"/>
    </row>
    <row r="70" spans="1:11">
      <c r="A70" s="4" t="s">
        <v>176</v>
      </c>
      <c r="B70" s="21">
        <f>'Multi'!$B110*'Loads'!$B46*'LAFs'!B228/(24*'Input'!$F$58)*1000</f>
        <v>0</v>
      </c>
      <c r="C70" s="21">
        <f>'Multi'!$B110*'Loads'!$B46*'LAFs'!C228/(24*'Input'!$F$58)*1000</f>
        <v>0</v>
      </c>
      <c r="D70" s="21">
        <f>'Multi'!$B110*'Loads'!$B46*'LAFs'!D228/(24*'Input'!$F$58)*1000</f>
        <v>0</v>
      </c>
      <c r="E70" s="21">
        <f>'Multi'!$B110*'Loads'!$B46*'LAFs'!E228/(24*'Input'!$F$58)*1000</f>
        <v>0</v>
      </c>
      <c r="F70" s="21">
        <f>'Multi'!$B110*'Loads'!$B46*'LAFs'!F228/(24*'Input'!$F$58)*1000</f>
        <v>0</v>
      </c>
      <c r="G70" s="21">
        <f>'Multi'!$B110*'Loads'!$B46*'LAFs'!G228/(24*'Input'!$F$58)*1000</f>
        <v>0</v>
      </c>
      <c r="H70" s="21">
        <f>'Multi'!$B110*'Loads'!$B46*'LAFs'!H228/(24*'Input'!$F$58)*1000</f>
        <v>0</v>
      </c>
      <c r="I70" s="21">
        <f>'Multi'!$B110*'Loads'!$B46*'LAFs'!I228/(24*'Input'!$F$58)*1000</f>
        <v>0</v>
      </c>
      <c r="J70" s="21">
        <f>'Multi'!$B110*'Loads'!$B46*'LAFs'!J228/(24*'Input'!$F$58)*1000</f>
        <v>0</v>
      </c>
      <c r="K70" s="17"/>
    </row>
    <row r="71" spans="1:11">
      <c r="A71" s="4" t="s">
        <v>177</v>
      </c>
      <c r="B71" s="21">
        <f>'Multi'!$B111*'Loads'!$B47*'LAFs'!B229/(24*'Input'!$F$58)*1000</f>
        <v>0</v>
      </c>
      <c r="C71" s="21">
        <f>'Multi'!$B111*'Loads'!$B47*'LAFs'!C229/(24*'Input'!$F$58)*1000</f>
        <v>0</v>
      </c>
      <c r="D71" s="21">
        <f>'Multi'!$B111*'Loads'!$B47*'LAFs'!D229/(24*'Input'!$F$58)*1000</f>
        <v>0</v>
      </c>
      <c r="E71" s="21">
        <f>'Multi'!$B111*'Loads'!$B47*'LAFs'!E229/(24*'Input'!$F$58)*1000</f>
        <v>0</v>
      </c>
      <c r="F71" s="21">
        <f>'Multi'!$B111*'Loads'!$B47*'LAFs'!F229/(24*'Input'!$F$58)*1000</f>
        <v>0</v>
      </c>
      <c r="G71" s="21">
        <f>'Multi'!$B111*'Loads'!$B47*'LAFs'!G229/(24*'Input'!$F$58)*1000</f>
        <v>0</v>
      </c>
      <c r="H71" s="21">
        <f>'Multi'!$B111*'Loads'!$B47*'LAFs'!H229/(24*'Input'!$F$58)*1000</f>
        <v>0</v>
      </c>
      <c r="I71" s="21">
        <f>'Multi'!$B111*'Loads'!$B47*'LAFs'!I229/(24*'Input'!$F$58)*1000</f>
        <v>0</v>
      </c>
      <c r="J71" s="21">
        <f>'Multi'!$B111*'Loads'!$B47*'LAFs'!J229/(24*'Input'!$F$58)*1000</f>
        <v>0</v>
      </c>
      <c r="K71" s="17"/>
    </row>
    <row r="72" spans="1:11">
      <c r="A72" s="4" t="s">
        <v>212</v>
      </c>
      <c r="B72" s="21">
        <f>'Multi'!$B112*'Loads'!$B48*'LAFs'!B230/(24*'Input'!$F$58)*1000</f>
        <v>0</v>
      </c>
      <c r="C72" s="21">
        <f>'Multi'!$B112*'Loads'!$B48*'LAFs'!C230/(24*'Input'!$F$58)*1000</f>
        <v>0</v>
      </c>
      <c r="D72" s="21">
        <f>'Multi'!$B112*'Loads'!$B48*'LAFs'!D230/(24*'Input'!$F$58)*1000</f>
        <v>0</v>
      </c>
      <c r="E72" s="21">
        <f>'Multi'!$B112*'Loads'!$B48*'LAFs'!E230/(24*'Input'!$F$58)*1000</f>
        <v>0</v>
      </c>
      <c r="F72" s="21">
        <f>'Multi'!$B112*'Loads'!$B48*'LAFs'!F230/(24*'Input'!$F$58)*1000</f>
        <v>0</v>
      </c>
      <c r="G72" s="21">
        <f>'Multi'!$B112*'Loads'!$B48*'LAFs'!G230/(24*'Input'!$F$58)*1000</f>
        <v>0</v>
      </c>
      <c r="H72" s="21">
        <f>'Multi'!$B112*'Loads'!$B48*'LAFs'!H230/(24*'Input'!$F$58)*1000</f>
        <v>0</v>
      </c>
      <c r="I72" s="21">
        <f>'Multi'!$B112*'Loads'!$B48*'LAFs'!I230/(24*'Input'!$F$58)*1000</f>
        <v>0</v>
      </c>
      <c r="J72" s="21">
        <f>'Multi'!$B112*'Loads'!$B48*'LAFs'!J230/(24*'Input'!$F$58)*1000</f>
        <v>0</v>
      </c>
      <c r="K72" s="17"/>
    </row>
    <row r="73" spans="1:11">
      <c r="A73" s="4" t="s">
        <v>178</v>
      </c>
      <c r="B73" s="21">
        <f>'Multi'!$B113*'Loads'!$B49*'LAFs'!B231/(24*'Input'!$F$58)*1000</f>
        <v>0</v>
      </c>
      <c r="C73" s="21">
        <f>'Multi'!$B113*'Loads'!$B49*'LAFs'!C231/(24*'Input'!$F$58)*1000</f>
        <v>0</v>
      </c>
      <c r="D73" s="21">
        <f>'Multi'!$B113*'Loads'!$B49*'LAFs'!D231/(24*'Input'!$F$58)*1000</f>
        <v>0</v>
      </c>
      <c r="E73" s="21">
        <f>'Multi'!$B113*'Loads'!$B49*'LAFs'!E231/(24*'Input'!$F$58)*1000</f>
        <v>0</v>
      </c>
      <c r="F73" s="21">
        <f>'Multi'!$B113*'Loads'!$B49*'LAFs'!F231/(24*'Input'!$F$58)*1000</f>
        <v>0</v>
      </c>
      <c r="G73" s="21">
        <f>'Multi'!$B113*'Loads'!$B49*'LAFs'!G231/(24*'Input'!$F$58)*1000</f>
        <v>0</v>
      </c>
      <c r="H73" s="21">
        <f>'Multi'!$B113*'Loads'!$B49*'LAFs'!H231/(24*'Input'!$F$58)*1000</f>
        <v>0</v>
      </c>
      <c r="I73" s="21">
        <f>'Multi'!$B113*'Loads'!$B49*'LAFs'!I231/(24*'Input'!$F$58)*1000</f>
        <v>0</v>
      </c>
      <c r="J73" s="21">
        <f>'Multi'!$B113*'Loads'!$B49*'LAFs'!J231/(24*'Input'!$F$58)*1000</f>
        <v>0</v>
      </c>
      <c r="K73" s="17"/>
    </row>
    <row r="74" spans="1:11">
      <c r="A74" s="4" t="s">
        <v>179</v>
      </c>
      <c r="B74" s="21">
        <f>'Multi'!$B114*'Loads'!$B50*'LAFs'!B232/(24*'Input'!$F$58)*1000</f>
        <v>0</v>
      </c>
      <c r="C74" s="21">
        <f>'Multi'!$B114*'Loads'!$B50*'LAFs'!C232/(24*'Input'!$F$58)*1000</f>
        <v>0</v>
      </c>
      <c r="D74" s="21">
        <f>'Multi'!$B114*'Loads'!$B50*'LAFs'!D232/(24*'Input'!$F$58)*1000</f>
        <v>0</v>
      </c>
      <c r="E74" s="21">
        <f>'Multi'!$B114*'Loads'!$B50*'LAFs'!E232/(24*'Input'!$F$58)*1000</f>
        <v>0</v>
      </c>
      <c r="F74" s="21">
        <f>'Multi'!$B114*'Loads'!$B50*'LAFs'!F232/(24*'Input'!$F$58)*1000</f>
        <v>0</v>
      </c>
      <c r="G74" s="21">
        <f>'Multi'!$B114*'Loads'!$B50*'LAFs'!G232/(24*'Input'!$F$58)*1000</f>
        <v>0</v>
      </c>
      <c r="H74" s="21">
        <f>'Multi'!$B114*'Loads'!$B50*'LAFs'!H232/(24*'Input'!$F$58)*1000</f>
        <v>0</v>
      </c>
      <c r="I74" s="21">
        <f>'Multi'!$B114*'Loads'!$B50*'LAFs'!I232/(24*'Input'!$F$58)*1000</f>
        <v>0</v>
      </c>
      <c r="J74" s="21">
        <f>'Multi'!$B114*'Loads'!$B50*'LAFs'!J232/(24*'Input'!$F$58)*1000</f>
        <v>0</v>
      </c>
      <c r="K74" s="17"/>
    </row>
    <row r="75" spans="1:11">
      <c r="A75" s="4" t="s">
        <v>180</v>
      </c>
      <c r="B75" s="21">
        <f>'Multi'!$B115*'Loads'!$B51*'LAFs'!B233/(24*'Input'!$F$58)*1000</f>
        <v>0</v>
      </c>
      <c r="C75" s="21">
        <f>'Multi'!$B115*'Loads'!$B51*'LAFs'!C233/(24*'Input'!$F$58)*1000</f>
        <v>0</v>
      </c>
      <c r="D75" s="21">
        <f>'Multi'!$B115*'Loads'!$B51*'LAFs'!D233/(24*'Input'!$F$58)*1000</f>
        <v>0</v>
      </c>
      <c r="E75" s="21">
        <f>'Multi'!$B115*'Loads'!$B51*'LAFs'!E233/(24*'Input'!$F$58)*1000</f>
        <v>0</v>
      </c>
      <c r="F75" s="21">
        <f>'Multi'!$B115*'Loads'!$B51*'LAFs'!F233/(24*'Input'!$F$58)*1000</f>
        <v>0</v>
      </c>
      <c r="G75" s="21">
        <f>'Multi'!$B115*'Loads'!$B51*'LAFs'!G233/(24*'Input'!$F$58)*1000</f>
        <v>0</v>
      </c>
      <c r="H75" s="21">
        <f>'Multi'!$B115*'Loads'!$B51*'LAFs'!H233/(24*'Input'!$F$58)*1000</f>
        <v>0</v>
      </c>
      <c r="I75" s="21">
        <f>'Multi'!$B115*'Loads'!$B51*'LAFs'!I233/(24*'Input'!$F$58)*1000</f>
        <v>0</v>
      </c>
      <c r="J75" s="21">
        <f>'Multi'!$B115*'Loads'!$B51*'LAFs'!J233/(24*'Input'!$F$58)*1000</f>
        <v>0</v>
      </c>
      <c r="K75" s="17"/>
    </row>
    <row r="76" spans="1:11">
      <c r="A76" s="4" t="s">
        <v>181</v>
      </c>
      <c r="B76" s="21">
        <f>'Multi'!$B116*'Loads'!$B52*'LAFs'!B234/(24*'Input'!$F$58)*1000</f>
        <v>0</v>
      </c>
      <c r="C76" s="21">
        <f>'Multi'!$B116*'Loads'!$B52*'LAFs'!C234/(24*'Input'!$F$58)*1000</f>
        <v>0</v>
      </c>
      <c r="D76" s="21">
        <f>'Multi'!$B116*'Loads'!$B52*'LAFs'!D234/(24*'Input'!$F$58)*1000</f>
        <v>0</v>
      </c>
      <c r="E76" s="21">
        <f>'Multi'!$B116*'Loads'!$B52*'LAFs'!E234/(24*'Input'!$F$58)*1000</f>
        <v>0</v>
      </c>
      <c r="F76" s="21">
        <f>'Multi'!$B116*'Loads'!$B52*'LAFs'!F234/(24*'Input'!$F$58)*1000</f>
        <v>0</v>
      </c>
      <c r="G76" s="21">
        <f>'Multi'!$B116*'Loads'!$B52*'LAFs'!G234/(24*'Input'!$F$58)*1000</f>
        <v>0</v>
      </c>
      <c r="H76" s="21">
        <f>'Multi'!$B116*'Loads'!$B52*'LAFs'!H234/(24*'Input'!$F$58)*1000</f>
        <v>0</v>
      </c>
      <c r="I76" s="21">
        <f>'Multi'!$B116*'Loads'!$B52*'LAFs'!I234/(24*'Input'!$F$58)*1000</f>
        <v>0</v>
      </c>
      <c r="J76" s="21">
        <f>'Multi'!$B116*'Loads'!$B52*'LAFs'!J234/(24*'Input'!$F$58)*1000</f>
        <v>0</v>
      </c>
      <c r="K76" s="17"/>
    </row>
    <row r="77" spans="1:11">
      <c r="A77" s="4" t="s">
        <v>193</v>
      </c>
      <c r="B77" s="21">
        <f>'Multi'!$B117*'Loads'!$B53*'LAFs'!B235/(24*'Input'!$F$58)*1000</f>
        <v>0</v>
      </c>
      <c r="C77" s="21">
        <f>'Multi'!$B117*'Loads'!$B53*'LAFs'!C235/(24*'Input'!$F$58)*1000</f>
        <v>0</v>
      </c>
      <c r="D77" s="21">
        <f>'Multi'!$B117*'Loads'!$B53*'LAFs'!D235/(24*'Input'!$F$58)*1000</f>
        <v>0</v>
      </c>
      <c r="E77" s="21">
        <f>'Multi'!$B117*'Loads'!$B53*'LAFs'!E235/(24*'Input'!$F$58)*1000</f>
        <v>0</v>
      </c>
      <c r="F77" s="21">
        <f>'Multi'!$B117*'Loads'!$B53*'LAFs'!F235/(24*'Input'!$F$58)*1000</f>
        <v>0</v>
      </c>
      <c r="G77" s="21">
        <f>'Multi'!$B117*'Loads'!$B53*'LAFs'!G235/(24*'Input'!$F$58)*1000</f>
        <v>0</v>
      </c>
      <c r="H77" s="21">
        <f>'Multi'!$B117*'Loads'!$B53*'LAFs'!H235/(24*'Input'!$F$58)*1000</f>
        <v>0</v>
      </c>
      <c r="I77" s="21">
        <f>'Multi'!$B117*'Loads'!$B53*'LAFs'!I235/(24*'Input'!$F$58)*1000</f>
        <v>0</v>
      </c>
      <c r="J77" s="21">
        <f>'Multi'!$B117*'Loads'!$B53*'LAFs'!J235/(24*'Input'!$F$58)*1000</f>
        <v>0</v>
      </c>
      <c r="K77" s="17"/>
    </row>
    <row r="78" spans="1:11">
      <c r="A78" s="4" t="s">
        <v>213</v>
      </c>
      <c r="B78" s="21">
        <f>'Multi'!$B118*'Loads'!$B54*'LAFs'!B236/(24*'Input'!$F$58)*1000</f>
        <v>0</v>
      </c>
      <c r="C78" s="21">
        <f>'Multi'!$B118*'Loads'!$B54*'LAFs'!C236/(24*'Input'!$F$58)*1000</f>
        <v>0</v>
      </c>
      <c r="D78" s="21">
        <f>'Multi'!$B118*'Loads'!$B54*'LAFs'!D236/(24*'Input'!$F$58)*1000</f>
        <v>0</v>
      </c>
      <c r="E78" s="21">
        <f>'Multi'!$B118*'Loads'!$B54*'LAFs'!E236/(24*'Input'!$F$58)*1000</f>
        <v>0</v>
      </c>
      <c r="F78" s="21">
        <f>'Multi'!$B118*'Loads'!$B54*'LAFs'!F236/(24*'Input'!$F$58)*1000</f>
        <v>0</v>
      </c>
      <c r="G78" s="21">
        <f>'Multi'!$B118*'Loads'!$B54*'LAFs'!G236/(24*'Input'!$F$58)*1000</f>
        <v>0</v>
      </c>
      <c r="H78" s="21">
        <f>'Multi'!$B118*'Loads'!$B54*'LAFs'!H236/(24*'Input'!$F$58)*1000</f>
        <v>0</v>
      </c>
      <c r="I78" s="21">
        <f>'Multi'!$B118*'Loads'!$B54*'LAFs'!I236/(24*'Input'!$F$58)*1000</f>
        <v>0</v>
      </c>
      <c r="J78" s="21">
        <f>'Multi'!$B118*'Loads'!$B54*'LAFs'!J236/(24*'Input'!$F$58)*1000</f>
        <v>0</v>
      </c>
      <c r="K78" s="17"/>
    </row>
    <row r="79" spans="1:11">
      <c r="A79" s="4" t="s">
        <v>214</v>
      </c>
      <c r="B79" s="21">
        <f>'Multi'!$B119*'Loads'!$B55*'LAFs'!B237/(24*'Input'!$F$58)*1000</f>
        <v>0</v>
      </c>
      <c r="C79" s="21">
        <f>'Multi'!$B119*'Loads'!$B55*'LAFs'!C237/(24*'Input'!$F$58)*1000</f>
        <v>0</v>
      </c>
      <c r="D79" s="21">
        <f>'Multi'!$B119*'Loads'!$B55*'LAFs'!D237/(24*'Input'!$F$58)*1000</f>
        <v>0</v>
      </c>
      <c r="E79" s="21">
        <f>'Multi'!$B119*'Loads'!$B55*'LAFs'!E237/(24*'Input'!$F$58)*1000</f>
        <v>0</v>
      </c>
      <c r="F79" s="21">
        <f>'Multi'!$B119*'Loads'!$B55*'LAFs'!F237/(24*'Input'!$F$58)*1000</f>
        <v>0</v>
      </c>
      <c r="G79" s="21">
        <f>'Multi'!$B119*'Loads'!$B55*'LAFs'!G237/(24*'Input'!$F$58)*1000</f>
        <v>0</v>
      </c>
      <c r="H79" s="21">
        <f>'Multi'!$B119*'Loads'!$B55*'LAFs'!H237/(24*'Input'!$F$58)*1000</f>
        <v>0</v>
      </c>
      <c r="I79" s="21">
        <f>'Multi'!$B119*'Loads'!$B55*'LAFs'!I237/(24*'Input'!$F$58)*1000</f>
        <v>0</v>
      </c>
      <c r="J79" s="21">
        <f>'Multi'!$B119*'Loads'!$B55*'LAFs'!J237/(24*'Input'!$F$58)*1000</f>
        <v>0</v>
      </c>
      <c r="K79" s="17"/>
    </row>
    <row r="80" spans="1:11">
      <c r="A80" s="4" t="s">
        <v>215</v>
      </c>
      <c r="B80" s="21">
        <f>'Multi'!$B120*'Loads'!$B56*'LAFs'!B238/(24*'Input'!$F$58)*1000</f>
        <v>0</v>
      </c>
      <c r="C80" s="21">
        <f>'Multi'!$B120*'Loads'!$B56*'LAFs'!C238/(24*'Input'!$F$58)*1000</f>
        <v>0</v>
      </c>
      <c r="D80" s="21">
        <f>'Multi'!$B120*'Loads'!$B56*'LAFs'!D238/(24*'Input'!$F$58)*1000</f>
        <v>0</v>
      </c>
      <c r="E80" s="21">
        <f>'Multi'!$B120*'Loads'!$B56*'LAFs'!E238/(24*'Input'!$F$58)*1000</f>
        <v>0</v>
      </c>
      <c r="F80" s="21">
        <f>'Multi'!$B120*'Loads'!$B56*'LAFs'!F238/(24*'Input'!$F$58)*1000</f>
        <v>0</v>
      </c>
      <c r="G80" s="21">
        <f>'Multi'!$B120*'Loads'!$B56*'LAFs'!G238/(24*'Input'!$F$58)*1000</f>
        <v>0</v>
      </c>
      <c r="H80" s="21">
        <f>'Multi'!$B120*'Loads'!$B56*'LAFs'!H238/(24*'Input'!$F$58)*1000</f>
        <v>0</v>
      </c>
      <c r="I80" s="21">
        <f>'Multi'!$B120*'Loads'!$B56*'LAFs'!I238/(24*'Input'!$F$58)*1000</f>
        <v>0</v>
      </c>
      <c r="J80" s="21">
        <f>'Multi'!$B120*'Loads'!$B56*'LAFs'!J238/(24*'Input'!$F$58)*1000</f>
        <v>0</v>
      </c>
      <c r="K80" s="17"/>
    </row>
    <row r="81" spans="1:11">
      <c r="A81" s="4" t="s">
        <v>216</v>
      </c>
      <c r="B81" s="21">
        <f>'Multi'!$B121*'Loads'!$B57*'LAFs'!B239/(24*'Input'!$F$58)*1000</f>
        <v>0</v>
      </c>
      <c r="C81" s="21">
        <f>'Multi'!$B121*'Loads'!$B57*'LAFs'!C239/(24*'Input'!$F$58)*1000</f>
        <v>0</v>
      </c>
      <c r="D81" s="21">
        <f>'Multi'!$B121*'Loads'!$B57*'LAFs'!D239/(24*'Input'!$F$58)*1000</f>
        <v>0</v>
      </c>
      <c r="E81" s="21">
        <f>'Multi'!$B121*'Loads'!$B57*'LAFs'!E239/(24*'Input'!$F$58)*1000</f>
        <v>0</v>
      </c>
      <c r="F81" s="21">
        <f>'Multi'!$B121*'Loads'!$B57*'LAFs'!F239/(24*'Input'!$F$58)*1000</f>
        <v>0</v>
      </c>
      <c r="G81" s="21">
        <f>'Multi'!$B121*'Loads'!$B57*'LAFs'!G239/(24*'Input'!$F$58)*1000</f>
        <v>0</v>
      </c>
      <c r="H81" s="21">
        <f>'Multi'!$B121*'Loads'!$B57*'LAFs'!H239/(24*'Input'!$F$58)*1000</f>
        <v>0</v>
      </c>
      <c r="I81" s="21">
        <f>'Multi'!$B121*'Loads'!$B57*'LAFs'!I239/(24*'Input'!$F$58)*1000</f>
        <v>0</v>
      </c>
      <c r="J81" s="21">
        <f>'Multi'!$B121*'Loads'!$B57*'LAFs'!J239/(24*'Input'!$F$58)*1000</f>
        <v>0</v>
      </c>
      <c r="K81" s="17"/>
    </row>
    <row r="82" spans="1:11">
      <c r="A82" s="4" t="s">
        <v>217</v>
      </c>
      <c r="B82" s="21">
        <f>'Multi'!$B122*'Loads'!$B58*'LAFs'!B240/(24*'Input'!$F$58)*1000</f>
        <v>0</v>
      </c>
      <c r="C82" s="21">
        <f>'Multi'!$B122*'Loads'!$B58*'LAFs'!C240/(24*'Input'!$F$58)*1000</f>
        <v>0</v>
      </c>
      <c r="D82" s="21">
        <f>'Multi'!$B122*'Loads'!$B58*'LAFs'!D240/(24*'Input'!$F$58)*1000</f>
        <v>0</v>
      </c>
      <c r="E82" s="21">
        <f>'Multi'!$B122*'Loads'!$B58*'LAFs'!E240/(24*'Input'!$F$58)*1000</f>
        <v>0</v>
      </c>
      <c r="F82" s="21">
        <f>'Multi'!$B122*'Loads'!$B58*'LAFs'!F240/(24*'Input'!$F$58)*1000</f>
        <v>0</v>
      </c>
      <c r="G82" s="21">
        <f>'Multi'!$B122*'Loads'!$B58*'LAFs'!G240/(24*'Input'!$F$58)*1000</f>
        <v>0</v>
      </c>
      <c r="H82" s="21">
        <f>'Multi'!$B122*'Loads'!$B58*'LAFs'!H240/(24*'Input'!$F$58)*1000</f>
        <v>0</v>
      </c>
      <c r="I82" s="21">
        <f>'Multi'!$B122*'Loads'!$B58*'LAFs'!I240/(24*'Input'!$F$58)*1000</f>
        <v>0</v>
      </c>
      <c r="J82" s="21">
        <f>'Multi'!$B122*'Loads'!$B58*'LAFs'!J240/(24*'Input'!$F$58)*1000</f>
        <v>0</v>
      </c>
      <c r="K82" s="17"/>
    </row>
    <row r="83" spans="1:11">
      <c r="A83" s="4" t="s">
        <v>182</v>
      </c>
      <c r="B83" s="21">
        <f>'Multi'!$B123*'Loads'!$B59*'LAFs'!B241/(24*'Input'!$F$58)*1000</f>
        <v>0</v>
      </c>
      <c r="C83" s="21">
        <f>'Multi'!$B123*'Loads'!$B59*'LAFs'!C241/(24*'Input'!$F$58)*1000</f>
        <v>0</v>
      </c>
      <c r="D83" s="21">
        <f>'Multi'!$B123*'Loads'!$B59*'LAFs'!D241/(24*'Input'!$F$58)*1000</f>
        <v>0</v>
      </c>
      <c r="E83" s="21">
        <f>'Multi'!$B123*'Loads'!$B59*'LAFs'!E241/(24*'Input'!$F$58)*1000</f>
        <v>0</v>
      </c>
      <c r="F83" s="21">
        <f>'Multi'!$B123*'Loads'!$B59*'LAFs'!F241/(24*'Input'!$F$58)*1000</f>
        <v>0</v>
      </c>
      <c r="G83" s="21">
        <f>'Multi'!$B123*'Loads'!$B59*'LAFs'!G241/(24*'Input'!$F$58)*1000</f>
        <v>0</v>
      </c>
      <c r="H83" s="21">
        <f>'Multi'!$B123*'Loads'!$B59*'LAFs'!H241/(24*'Input'!$F$58)*1000</f>
        <v>0</v>
      </c>
      <c r="I83" s="21">
        <f>'Multi'!$B123*'Loads'!$B59*'LAFs'!I241/(24*'Input'!$F$58)*1000</f>
        <v>0</v>
      </c>
      <c r="J83" s="21">
        <f>'Multi'!$B123*'Loads'!$B59*'LAFs'!J241/(24*'Input'!$F$58)*1000</f>
        <v>0</v>
      </c>
      <c r="K83" s="17"/>
    </row>
    <row r="84" spans="1:11">
      <c r="A84" s="4" t="s">
        <v>183</v>
      </c>
      <c r="B84" s="21">
        <f>'Multi'!$B124*'Loads'!$B60*'LAFs'!B242/(24*'Input'!$F$58)*1000</f>
        <v>0</v>
      </c>
      <c r="C84" s="21">
        <f>'Multi'!$B124*'Loads'!$B60*'LAFs'!C242/(24*'Input'!$F$58)*1000</f>
        <v>0</v>
      </c>
      <c r="D84" s="21">
        <f>'Multi'!$B124*'Loads'!$B60*'LAFs'!D242/(24*'Input'!$F$58)*1000</f>
        <v>0</v>
      </c>
      <c r="E84" s="21">
        <f>'Multi'!$B124*'Loads'!$B60*'LAFs'!E242/(24*'Input'!$F$58)*1000</f>
        <v>0</v>
      </c>
      <c r="F84" s="21">
        <f>'Multi'!$B124*'Loads'!$B60*'LAFs'!F242/(24*'Input'!$F$58)*1000</f>
        <v>0</v>
      </c>
      <c r="G84" s="21">
        <f>'Multi'!$B124*'Loads'!$B60*'LAFs'!G242/(24*'Input'!$F$58)*1000</f>
        <v>0</v>
      </c>
      <c r="H84" s="21">
        <f>'Multi'!$B124*'Loads'!$B60*'LAFs'!H242/(24*'Input'!$F$58)*1000</f>
        <v>0</v>
      </c>
      <c r="I84" s="21">
        <f>'Multi'!$B124*'Loads'!$B60*'LAFs'!I242/(24*'Input'!$F$58)*1000</f>
        <v>0</v>
      </c>
      <c r="J84" s="21">
        <f>'Multi'!$B124*'Loads'!$B60*'LAFs'!J242/(24*'Input'!$F$58)*1000</f>
        <v>0</v>
      </c>
      <c r="K84" s="17"/>
    </row>
    <row r="85" spans="1:11">
      <c r="A85" s="4" t="s">
        <v>184</v>
      </c>
      <c r="B85" s="21">
        <f>'Multi'!$B125*'Loads'!$B61*'LAFs'!B243/(24*'Input'!$F$58)*1000</f>
        <v>0</v>
      </c>
      <c r="C85" s="21">
        <f>'Multi'!$B125*'Loads'!$B61*'LAFs'!C243/(24*'Input'!$F$58)*1000</f>
        <v>0</v>
      </c>
      <c r="D85" s="21">
        <f>'Multi'!$B125*'Loads'!$B61*'LAFs'!D243/(24*'Input'!$F$58)*1000</f>
        <v>0</v>
      </c>
      <c r="E85" s="21">
        <f>'Multi'!$B125*'Loads'!$B61*'LAFs'!E243/(24*'Input'!$F$58)*1000</f>
        <v>0</v>
      </c>
      <c r="F85" s="21">
        <f>'Multi'!$B125*'Loads'!$B61*'LAFs'!F243/(24*'Input'!$F$58)*1000</f>
        <v>0</v>
      </c>
      <c r="G85" s="21">
        <f>'Multi'!$B125*'Loads'!$B61*'LAFs'!G243/(24*'Input'!$F$58)*1000</f>
        <v>0</v>
      </c>
      <c r="H85" s="21">
        <f>'Multi'!$B125*'Loads'!$B61*'LAFs'!H243/(24*'Input'!$F$58)*1000</f>
        <v>0</v>
      </c>
      <c r="I85" s="21">
        <f>'Multi'!$B125*'Loads'!$B61*'LAFs'!I243/(24*'Input'!$F$58)*1000</f>
        <v>0</v>
      </c>
      <c r="J85" s="21">
        <f>'Multi'!$B125*'Loads'!$B61*'LAFs'!J243/(24*'Input'!$F$58)*1000</f>
        <v>0</v>
      </c>
      <c r="K85" s="17"/>
    </row>
    <row r="86" spans="1:11">
      <c r="A86" s="4" t="s">
        <v>185</v>
      </c>
      <c r="B86" s="21">
        <f>'Multi'!$B126*'Loads'!$B62*'LAFs'!B244/(24*'Input'!$F$58)*1000</f>
        <v>0</v>
      </c>
      <c r="C86" s="21">
        <f>'Multi'!$B126*'Loads'!$B62*'LAFs'!C244/(24*'Input'!$F$58)*1000</f>
        <v>0</v>
      </c>
      <c r="D86" s="21">
        <f>'Multi'!$B126*'Loads'!$B62*'LAFs'!D244/(24*'Input'!$F$58)*1000</f>
        <v>0</v>
      </c>
      <c r="E86" s="21">
        <f>'Multi'!$B126*'Loads'!$B62*'LAFs'!E244/(24*'Input'!$F$58)*1000</f>
        <v>0</v>
      </c>
      <c r="F86" s="21">
        <f>'Multi'!$B126*'Loads'!$B62*'LAFs'!F244/(24*'Input'!$F$58)*1000</f>
        <v>0</v>
      </c>
      <c r="G86" s="21">
        <f>'Multi'!$B126*'Loads'!$B62*'LAFs'!G244/(24*'Input'!$F$58)*1000</f>
        <v>0</v>
      </c>
      <c r="H86" s="21">
        <f>'Multi'!$B126*'Loads'!$B62*'LAFs'!H244/(24*'Input'!$F$58)*1000</f>
        <v>0</v>
      </c>
      <c r="I86" s="21">
        <f>'Multi'!$B126*'Loads'!$B62*'LAFs'!I244/(24*'Input'!$F$58)*1000</f>
        <v>0</v>
      </c>
      <c r="J86" s="21">
        <f>'Multi'!$B126*'Loads'!$B62*'LAFs'!J244/(24*'Input'!$F$58)*1000</f>
        <v>0</v>
      </c>
      <c r="K86" s="17"/>
    </row>
    <row r="87" spans="1:11">
      <c r="A87" s="4" t="s">
        <v>186</v>
      </c>
      <c r="B87" s="21">
        <f>'Multi'!$B127*'Loads'!$B63*'LAFs'!B245/(24*'Input'!$F$58)*1000</f>
        <v>0</v>
      </c>
      <c r="C87" s="21">
        <f>'Multi'!$B127*'Loads'!$B63*'LAFs'!C245/(24*'Input'!$F$58)*1000</f>
        <v>0</v>
      </c>
      <c r="D87" s="21">
        <f>'Multi'!$B127*'Loads'!$B63*'LAFs'!D245/(24*'Input'!$F$58)*1000</f>
        <v>0</v>
      </c>
      <c r="E87" s="21">
        <f>'Multi'!$B127*'Loads'!$B63*'LAFs'!E245/(24*'Input'!$F$58)*1000</f>
        <v>0</v>
      </c>
      <c r="F87" s="21">
        <f>'Multi'!$B127*'Loads'!$B63*'LAFs'!F245/(24*'Input'!$F$58)*1000</f>
        <v>0</v>
      </c>
      <c r="G87" s="21">
        <f>'Multi'!$B127*'Loads'!$B63*'LAFs'!G245/(24*'Input'!$F$58)*1000</f>
        <v>0</v>
      </c>
      <c r="H87" s="21">
        <f>'Multi'!$B127*'Loads'!$B63*'LAFs'!H245/(24*'Input'!$F$58)*1000</f>
        <v>0</v>
      </c>
      <c r="I87" s="21">
        <f>'Multi'!$B127*'Loads'!$B63*'LAFs'!I245/(24*'Input'!$F$58)*1000</f>
        <v>0</v>
      </c>
      <c r="J87" s="21">
        <f>'Multi'!$B127*'Loads'!$B63*'LAFs'!J245/(24*'Input'!$F$58)*1000</f>
        <v>0</v>
      </c>
      <c r="K87" s="17"/>
    </row>
    <row r="88" spans="1:11">
      <c r="A88" s="4" t="s">
        <v>187</v>
      </c>
      <c r="B88" s="21">
        <f>'Multi'!$B128*'Loads'!$B64*'LAFs'!B246/(24*'Input'!$F$58)*1000</f>
        <v>0</v>
      </c>
      <c r="C88" s="21">
        <f>'Multi'!$B128*'Loads'!$B64*'LAFs'!C246/(24*'Input'!$F$58)*1000</f>
        <v>0</v>
      </c>
      <c r="D88" s="21">
        <f>'Multi'!$B128*'Loads'!$B64*'LAFs'!D246/(24*'Input'!$F$58)*1000</f>
        <v>0</v>
      </c>
      <c r="E88" s="21">
        <f>'Multi'!$B128*'Loads'!$B64*'LAFs'!E246/(24*'Input'!$F$58)*1000</f>
        <v>0</v>
      </c>
      <c r="F88" s="21">
        <f>'Multi'!$B128*'Loads'!$B64*'LAFs'!F246/(24*'Input'!$F$58)*1000</f>
        <v>0</v>
      </c>
      <c r="G88" s="21">
        <f>'Multi'!$B128*'Loads'!$B64*'LAFs'!G246/(24*'Input'!$F$58)*1000</f>
        <v>0</v>
      </c>
      <c r="H88" s="21">
        <f>'Multi'!$B128*'Loads'!$B64*'LAFs'!H246/(24*'Input'!$F$58)*1000</f>
        <v>0</v>
      </c>
      <c r="I88" s="21">
        <f>'Multi'!$B128*'Loads'!$B64*'LAFs'!I246/(24*'Input'!$F$58)*1000</f>
        <v>0</v>
      </c>
      <c r="J88" s="21">
        <f>'Multi'!$B128*'Loads'!$B64*'LAFs'!J246/(24*'Input'!$F$58)*1000</f>
        <v>0</v>
      </c>
      <c r="K88" s="17"/>
    </row>
    <row r="89" spans="1:11">
      <c r="A89" s="4" t="s">
        <v>194</v>
      </c>
      <c r="B89" s="21">
        <f>'Multi'!$B129*'Loads'!$B65*'LAFs'!B247/(24*'Input'!$F$58)*1000</f>
        <v>0</v>
      </c>
      <c r="C89" s="21">
        <f>'Multi'!$B129*'Loads'!$B65*'LAFs'!C247/(24*'Input'!$F$58)*1000</f>
        <v>0</v>
      </c>
      <c r="D89" s="21">
        <f>'Multi'!$B129*'Loads'!$B65*'LAFs'!D247/(24*'Input'!$F$58)*1000</f>
        <v>0</v>
      </c>
      <c r="E89" s="21">
        <f>'Multi'!$B129*'Loads'!$B65*'LAFs'!E247/(24*'Input'!$F$58)*1000</f>
        <v>0</v>
      </c>
      <c r="F89" s="21">
        <f>'Multi'!$B129*'Loads'!$B65*'LAFs'!F247/(24*'Input'!$F$58)*1000</f>
        <v>0</v>
      </c>
      <c r="G89" s="21">
        <f>'Multi'!$B129*'Loads'!$B65*'LAFs'!G247/(24*'Input'!$F$58)*1000</f>
        <v>0</v>
      </c>
      <c r="H89" s="21">
        <f>'Multi'!$B129*'Loads'!$B65*'LAFs'!H247/(24*'Input'!$F$58)*1000</f>
        <v>0</v>
      </c>
      <c r="I89" s="21">
        <f>'Multi'!$B129*'Loads'!$B65*'LAFs'!I247/(24*'Input'!$F$58)*1000</f>
        <v>0</v>
      </c>
      <c r="J89" s="21">
        <f>'Multi'!$B129*'Loads'!$B65*'LAFs'!J247/(24*'Input'!$F$58)*1000</f>
        <v>0</v>
      </c>
      <c r="K89" s="17"/>
    </row>
    <row r="90" spans="1:11">
      <c r="A90" s="4" t="s">
        <v>195</v>
      </c>
      <c r="B90" s="21">
        <f>'Multi'!$B130*'Loads'!$B66*'LAFs'!B248/(24*'Input'!$F$58)*1000</f>
        <v>0</v>
      </c>
      <c r="C90" s="21">
        <f>'Multi'!$B130*'Loads'!$B66*'LAFs'!C248/(24*'Input'!$F$58)*1000</f>
        <v>0</v>
      </c>
      <c r="D90" s="21">
        <f>'Multi'!$B130*'Loads'!$B66*'LAFs'!D248/(24*'Input'!$F$58)*1000</f>
        <v>0</v>
      </c>
      <c r="E90" s="21">
        <f>'Multi'!$B130*'Loads'!$B66*'LAFs'!E248/(24*'Input'!$F$58)*1000</f>
        <v>0</v>
      </c>
      <c r="F90" s="21">
        <f>'Multi'!$B130*'Loads'!$B66*'LAFs'!F248/(24*'Input'!$F$58)*1000</f>
        <v>0</v>
      </c>
      <c r="G90" s="21">
        <f>'Multi'!$B130*'Loads'!$B66*'LAFs'!G248/(24*'Input'!$F$58)*1000</f>
        <v>0</v>
      </c>
      <c r="H90" s="21">
        <f>'Multi'!$B130*'Loads'!$B66*'LAFs'!H248/(24*'Input'!$F$58)*1000</f>
        <v>0</v>
      </c>
      <c r="I90" s="21">
        <f>'Multi'!$B130*'Loads'!$B66*'LAFs'!I248/(24*'Input'!$F$58)*1000</f>
        <v>0</v>
      </c>
      <c r="J90" s="21">
        <f>'Multi'!$B130*'Loads'!$B66*'LAFs'!J248/(24*'Input'!$F$58)*1000</f>
        <v>0</v>
      </c>
      <c r="K90" s="17"/>
    </row>
    <row r="92" spans="1:11" ht="21" customHeight="1">
      <c r="A92" s="1" t="s">
        <v>813</v>
      </c>
    </row>
    <row r="93" spans="1:11">
      <c r="A93" s="2" t="s">
        <v>351</v>
      </c>
    </row>
    <row r="94" spans="1:11">
      <c r="A94" s="33" t="s">
        <v>814</v>
      </c>
    </row>
    <row r="95" spans="1:11">
      <c r="A95" s="33" t="s">
        <v>815</v>
      </c>
    </row>
    <row r="96" spans="1:11">
      <c r="A96" s="33" t="s">
        <v>816</v>
      </c>
    </row>
    <row r="97" spans="1:11">
      <c r="A97" s="33" t="s">
        <v>817</v>
      </c>
    </row>
    <row r="98" spans="1:11">
      <c r="A98" s="2" t="s">
        <v>818</v>
      </c>
    </row>
    <row r="100" spans="1:11">
      <c r="B100" s="15" t="s">
        <v>142</v>
      </c>
      <c r="C100" s="15" t="s">
        <v>143</v>
      </c>
      <c r="D100" s="15" t="s">
        <v>144</v>
      </c>
      <c r="E100" s="15" t="s">
        <v>145</v>
      </c>
      <c r="F100" s="15" t="s">
        <v>146</v>
      </c>
      <c r="G100" s="15" t="s">
        <v>151</v>
      </c>
      <c r="H100" s="15" t="s">
        <v>147</v>
      </c>
      <c r="I100" s="15" t="s">
        <v>148</v>
      </c>
      <c r="J100" s="15" t="s">
        <v>149</v>
      </c>
    </row>
    <row r="101" spans="1:11">
      <c r="A101" s="4" t="s">
        <v>174</v>
      </c>
      <c r="B101" s="44">
        <f>B$12</f>
        <v>0</v>
      </c>
      <c r="C101" s="44">
        <f>C$12</f>
        <v>0</v>
      </c>
      <c r="D101" s="44">
        <f>D$12</f>
        <v>0</v>
      </c>
      <c r="E101" s="44">
        <f>E$12</f>
        <v>0</v>
      </c>
      <c r="F101" s="44">
        <f>F$12</f>
        <v>0</v>
      </c>
      <c r="G101" s="44">
        <f>G$12</f>
        <v>0</v>
      </c>
      <c r="H101" s="44">
        <f>H$12</f>
        <v>0</v>
      </c>
      <c r="I101" s="44">
        <f>I$12</f>
        <v>0</v>
      </c>
      <c r="J101" s="44">
        <f>J$12</f>
        <v>0</v>
      </c>
      <c r="K101" s="17"/>
    </row>
    <row r="102" spans="1:11">
      <c r="A102" s="4" t="s">
        <v>175</v>
      </c>
      <c r="B102" s="44">
        <f>B$32</f>
        <v>0</v>
      </c>
      <c r="C102" s="44">
        <f>C$32</f>
        <v>0</v>
      </c>
      <c r="D102" s="44">
        <f>D$32</f>
        <v>0</v>
      </c>
      <c r="E102" s="44">
        <f>E$32</f>
        <v>0</v>
      </c>
      <c r="F102" s="44">
        <f>F$32</f>
        <v>0</v>
      </c>
      <c r="G102" s="44">
        <f>G$32</f>
        <v>0</v>
      </c>
      <c r="H102" s="44">
        <f>H$32</f>
        <v>0</v>
      </c>
      <c r="I102" s="44">
        <f>I$32</f>
        <v>0</v>
      </c>
      <c r="J102" s="44">
        <f>J$32</f>
        <v>0</v>
      </c>
      <c r="K102" s="17"/>
    </row>
    <row r="103" spans="1:11">
      <c r="A103" s="4" t="s">
        <v>211</v>
      </c>
      <c r="B103" s="44">
        <f>B$13</f>
        <v>0</v>
      </c>
      <c r="C103" s="44">
        <f>C$13</f>
        <v>0</v>
      </c>
      <c r="D103" s="44">
        <f>D$13</f>
        <v>0</v>
      </c>
      <c r="E103" s="44">
        <f>E$13</f>
        <v>0</v>
      </c>
      <c r="F103" s="44">
        <f>F$13</f>
        <v>0</v>
      </c>
      <c r="G103" s="44">
        <f>G$13</f>
        <v>0</v>
      </c>
      <c r="H103" s="44">
        <f>H$13</f>
        <v>0</v>
      </c>
      <c r="I103" s="44">
        <f>I$13</f>
        <v>0</v>
      </c>
      <c r="J103" s="44">
        <f>J$13</f>
        <v>0</v>
      </c>
      <c r="K103" s="17"/>
    </row>
    <row r="104" spans="1:11">
      <c r="A104" s="4" t="s">
        <v>176</v>
      </c>
      <c r="B104" s="44">
        <f>B$14</f>
        <v>0</v>
      </c>
      <c r="C104" s="44">
        <f>C$14</f>
        <v>0</v>
      </c>
      <c r="D104" s="44">
        <f>D$14</f>
        <v>0</v>
      </c>
      <c r="E104" s="44">
        <f>E$14</f>
        <v>0</v>
      </c>
      <c r="F104" s="44">
        <f>F$14</f>
        <v>0</v>
      </c>
      <c r="G104" s="44">
        <f>G$14</f>
        <v>0</v>
      </c>
      <c r="H104" s="44">
        <f>H$14</f>
        <v>0</v>
      </c>
      <c r="I104" s="44">
        <f>I$14</f>
        <v>0</v>
      </c>
      <c r="J104" s="44">
        <f>J$14</f>
        <v>0</v>
      </c>
      <c r="K104" s="17"/>
    </row>
    <row r="105" spans="1:11">
      <c r="A105" s="4" t="s">
        <v>177</v>
      </c>
      <c r="B105" s="44">
        <f>B$33</f>
        <v>0</v>
      </c>
      <c r="C105" s="44">
        <f>C$33</f>
        <v>0</v>
      </c>
      <c r="D105" s="44">
        <f>D$33</f>
        <v>0</v>
      </c>
      <c r="E105" s="44">
        <f>E$33</f>
        <v>0</v>
      </c>
      <c r="F105" s="44">
        <f>F$33</f>
        <v>0</v>
      </c>
      <c r="G105" s="44">
        <f>G$33</f>
        <v>0</v>
      </c>
      <c r="H105" s="44">
        <f>H$33</f>
        <v>0</v>
      </c>
      <c r="I105" s="44">
        <f>I$33</f>
        <v>0</v>
      </c>
      <c r="J105" s="44">
        <f>J$33</f>
        <v>0</v>
      </c>
      <c r="K105" s="17"/>
    </row>
    <row r="106" spans="1:11">
      <c r="A106" s="4" t="s">
        <v>212</v>
      </c>
      <c r="B106" s="44">
        <f>B$15</f>
        <v>0</v>
      </c>
      <c r="C106" s="44">
        <f>C$15</f>
        <v>0</v>
      </c>
      <c r="D106" s="44">
        <f>D$15</f>
        <v>0</v>
      </c>
      <c r="E106" s="44">
        <f>E$15</f>
        <v>0</v>
      </c>
      <c r="F106" s="44">
        <f>F$15</f>
        <v>0</v>
      </c>
      <c r="G106" s="44">
        <f>G$15</f>
        <v>0</v>
      </c>
      <c r="H106" s="44">
        <f>H$15</f>
        <v>0</v>
      </c>
      <c r="I106" s="44">
        <f>I$15</f>
        <v>0</v>
      </c>
      <c r="J106" s="44">
        <f>J$15</f>
        <v>0</v>
      </c>
      <c r="K106" s="17"/>
    </row>
    <row r="107" spans="1:11">
      <c r="A107" s="4" t="s">
        <v>178</v>
      </c>
      <c r="B107" s="44">
        <f>B$48</f>
        <v>0</v>
      </c>
      <c r="C107" s="44">
        <f>C$48</f>
        <v>0</v>
      </c>
      <c r="D107" s="44">
        <f>D$48</f>
        <v>0</v>
      </c>
      <c r="E107" s="44">
        <f>E$48</f>
        <v>0</v>
      </c>
      <c r="F107" s="44">
        <f>F$48</f>
        <v>0</v>
      </c>
      <c r="G107" s="44">
        <f>G$48</f>
        <v>0</v>
      </c>
      <c r="H107" s="44">
        <f>H$48</f>
        <v>0</v>
      </c>
      <c r="I107" s="44">
        <f>I$48</f>
        <v>0</v>
      </c>
      <c r="J107" s="44">
        <f>J$48</f>
        <v>0</v>
      </c>
      <c r="K107" s="17"/>
    </row>
    <row r="108" spans="1:11">
      <c r="A108" s="4" t="s">
        <v>179</v>
      </c>
      <c r="B108" s="44">
        <f>B$49</f>
        <v>0</v>
      </c>
      <c r="C108" s="44">
        <f>C$49</f>
        <v>0</v>
      </c>
      <c r="D108" s="44">
        <f>D$49</f>
        <v>0</v>
      </c>
      <c r="E108" s="44">
        <f>E$49</f>
        <v>0</v>
      </c>
      <c r="F108" s="44">
        <f>F$49</f>
        <v>0</v>
      </c>
      <c r="G108" s="44">
        <f>G$49</f>
        <v>0</v>
      </c>
      <c r="H108" s="44">
        <f>H$49</f>
        <v>0</v>
      </c>
      <c r="I108" s="44">
        <f>I$49</f>
        <v>0</v>
      </c>
      <c r="J108" s="44">
        <f>J$49</f>
        <v>0</v>
      </c>
      <c r="K108" s="17"/>
    </row>
    <row r="109" spans="1:11">
      <c r="A109" s="4" t="s">
        <v>180</v>
      </c>
      <c r="B109" s="44">
        <f>B$50</f>
        <v>0</v>
      </c>
      <c r="C109" s="44">
        <f>C$50</f>
        <v>0</v>
      </c>
      <c r="D109" s="44">
        <f>D$50</f>
        <v>0</v>
      </c>
      <c r="E109" s="44">
        <f>E$50</f>
        <v>0</v>
      </c>
      <c r="F109" s="44">
        <f>F$50</f>
        <v>0</v>
      </c>
      <c r="G109" s="44">
        <f>G$50</f>
        <v>0</v>
      </c>
      <c r="H109" s="44">
        <f>H$50</f>
        <v>0</v>
      </c>
      <c r="I109" s="44">
        <f>I$50</f>
        <v>0</v>
      </c>
      <c r="J109" s="44">
        <f>J$50</f>
        <v>0</v>
      </c>
      <c r="K109" s="17"/>
    </row>
    <row r="110" spans="1:11">
      <c r="A110" s="4" t="s">
        <v>181</v>
      </c>
      <c r="B110" s="44">
        <f>B$51</f>
        <v>0</v>
      </c>
      <c r="C110" s="44">
        <f>C$51</f>
        <v>0</v>
      </c>
      <c r="D110" s="44">
        <f>D$51</f>
        <v>0</v>
      </c>
      <c r="E110" s="44">
        <f>E$51</f>
        <v>0</v>
      </c>
      <c r="F110" s="44">
        <f>F$51</f>
        <v>0</v>
      </c>
      <c r="G110" s="44">
        <f>G$51</f>
        <v>0</v>
      </c>
      <c r="H110" s="44">
        <f>H$51</f>
        <v>0</v>
      </c>
      <c r="I110" s="44">
        <f>I$51</f>
        <v>0</v>
      </c>
      <c r="J110" s="44">
        <f>J$51</f>
        <v>0</v>
      </c>
      <c r="K110" s="17"/>
    </row>
    <row r="111" spans="1:11">
      <c r="A111" s="4" t="s">
        <v>193</v>
      </c>
      <c r="B111" s="44">
        <f>B$52</f>
        <v>0</v>
      </c>
      <c r="C111" s="44">
        <f>C$52</f>
        <v>0</v>
      </c>
      <c r="D111" s="44">
        <f>D$52</f>
        <v>0</v>
      </c>
      <c r="E111" s="44">
        <f>E$52</f>
        <v>0</v>
      </c>
      <c r="F111" s="44">
        <f>F$52</f>
        <v>0</v>
      </c>
      <c r="G111" s="44">
        <f>G$52</f>
        <v>0</v>
      </c>
      <c r="H111" s="44">
        <f>H$52</f>
        <v>0</v>
      </c>
      <c r="I111" s="44">
        <f>I$52</f>
        <v>0</v>
      </c>
      <c r="J111" s="44">
        <f>J$52</f>
        <v>0</v>
      </c>
      <c r="K111" s="17"/>
    </row>
    <row r="112" spans="1:11">
      <c r="A112" s="4" t="s">
        <v>213</v>
      </c>
      <c r="B112" s="44">
        <f>B$16</f>
        <v>0</v>
      </c>
      <c r="C112" s="44">
        <f>C$16</f>
        <v>0</v>
      </c>
      <c r="D112" s="44">
        <f>D$16</f>
        <v>0</v>
      </c>
      <c r="E112" s="44">
        <f>E$16</f>
        <v>0</v>
      </c>
      <c r="F112" s="44">
        <f>F$16</f>
        <v>0</v>
      </c>
      <c r="G112" s="44">
        <f>G$16</f>
        <v>0</v>
      </c>
      <c r="H112" s="44">
        <f>H$16</f>
        <v>0</v>
      </c>
      <c r="I112" s="44">
        <f>I$16</f>
        <v>0</v>
      </c>
      <c r="J112" s="44">
        <f>J$16</f>
        <v>0</v>
      </c>
      <c r="K112" s="17"/>
    </row>
    <row r="113" spans="1:11">
      <c r="A113" s="4" t="s">
        <v>214</v>
      </c>
      <c r="B113" s="44">
        <f>B$17</f>
        <v>0</v>
      </c>
      <c r="C113" s="44">
        <f>C$17</f>
        <v>0</v>
      </c>
      <c r="D113" s="44">
        <f>D$17</f>
        <v>0</v>
      </c>
      <c r="E113" s="44">
        <f>E$17</f>
        <v>0</v>
      </c>
      <c r="F113" s="44">
        <f>F$17</f>
        <v>0</v>
      </c>
      <c r="G113" s="44">
        <f>G$17</f>
        <v>0</v>
      </c>
      <c r="H113" s="44">
        <f>H$17</f>
        <v>0</v>
      </c>
      <c r="I113" s="44">
        <f>I$17</f>
        <v>0</v>
      </c>
      <c r="J113" s="44">
        <f>J$17</f>
        <v>0</v>
      </c>
      <c r="K113" s="17"/>
    </row>
    <row r="114" spans="1:11">
      <c r="A114" s="4" t="s">
        <v>215</v>
      </c>
      <c r="B114" s="44">
        <f>B$18</f>
        <v>0</v>
      </c>
      <c r="C114" s="44">
        <f>C$18</f>
        <v>0</v>
      </c>
      <c r="D114" s="44">
        <f>D$18</f>
        <v>0</v>
      </c>
      <c r="E114" s="44">
        <f>E$18</f>
        <v>0</v>
      </c>
      <c r="F114" s="44">
        <f>F$18</f>
        <v>0</v>
      </c>
      <c r="G114" s="44">
        <f>G$18</f>
        <v>0</v>
      </c>
      <c r="H114" s="44">
        <f>H$18</f>
        <v>0</v>
      </c>
      <c r="I114" s="44">
        <f>I$18</f>
        <v>0</v>
      </c>
      <c r="J114" s="44">
        <f>J$18</f>
        <v>0</v>
      </c>
      <c r="K114" s="17"/>
    </row>
    <row r="115" spans="1:11">
      <c r="A115" s="4" t="s">
        <v>216</v>
      </c>
      <c r="B115" s="44">
        <f>B$19</f>
        <v>0</v>
      </c>
      <c r="C115" s="44">
        <f>C$19</f>
        <v>0</v>
      </c>
      <c r="D115" s="44">
        <f>D$19</f>
        <v>0</v>
      </c>
      <c r="E115" s="44">
        <f>E$19</f>
        <v>0</v>
      </c>
      <c r="F115" s="44">
        <f>F$19</f>
        <v>0</v>
      </c>
      <c r="G115" s="44">
        <f>G$19</f>
        <v>0</v>
      </c>
      <c r="H115" s="44">
        <f>H$19</f>
        <v>0</v>
      </c>
      <c r="I115" s="44">
        <f>I$19</f>
        <v>0</v>
      </c>
      <c r="J115" s="44">
        <f>J$19</f>
        <v>0</v>
      </c>
      <c r="K115" s="17"/>
    </row>
    <row r="116" spans="1:11">
      <c r="A116" s="4" t="s">
        <v>217</v>
      </c>
      <c r="B116" s="44">
        <f>B$53</f>
        <v>0</v>
      </c>
      <c r="C116" s="44">
        <f>C$53</f>
        <v>0</v>
      </c>
      <c r="D116" s="44">
        <f>D$53</f>
        <v>0</v>
      </c>
      <c r="E116" s="44">
        <f>E$53</f>
        <v>0</v>
      </c>
      <c r="F116" s="44">
        <f>F$53</f>
        <v>0</v>
      </c>
      <c r="G116" s="44">
        <f>G$53</f>
        <v>0</v>
      </c>
      <c r="H116" s="44">
        <f>H$53</f>
        <v>0</v>
      </c>
      <c r="I116" s="44">
        <f>I$53</f>
        <v>0</v>
      </c>
      <c r="J116" s="44">
        <f>J$53</f>
        <v>0</v>
      </c>
      <c r="K116" s="17"/>
    </row>
    <row r="117" spans="1:11">
      <c r="A117" s="4" t="s">
        <v>182</v>
      </c>
      <c r="B117" s="44">
        <f>B83</f>
        <v>0</v>
      </c>
      <c r="C117" s="44">
        <f>C83</f>
        <v>0</v>
      </c>
      <c r="D117" s="44">
        <f>D83</f>
        <v>0</v>
      </c>
      <c r="E117" s="44">
        <f>E83</f>
        <v>0</v>
      </c>
      <c r="F117" s="44">
        <f>F83</f>
        <v>0</v>
      </c>
      <c r="G117" s="44">
        <f>G83</f>
        <v>0</v>
      </c>
      <c r="H117" s="44">
        <f>H83</f>
        <v>0</v>
      </c>
      <c r="I117" s="44">
        <f>I83</f>
        <v>0</v>
      </c>
      <c r="J117" s="44">
        <f>J83</f>
        <v>0</v>
      </c>
      <c r="K117" s="17"/>
    </row>
    <row r="118" spans="1:11">
      <c r="A118" s="4" t="s">
        <v>183</v>
      </c>
      <c r="B118" s="44">
        <f>B84</f>
        <v>0</v>
      </c>
      <c r="C118" s="44">
        <f>C84</f>
        <v>0</v>
      </c>
      <c r="D118" s="44">
        <f>D84</f>
        <v>0</v>
      </c>
      <c r="E118" s="44">
        <f>E84</f>
        <v>0</v>
      </c>
      <c r="F118" s="44">
        <f>F84</f>
        <v>0</v>
      </c>
      <c r="G118" s="44">
        <f>G84</f>
        <v>0</v>
      </c>
      <c r="H118" s="44">
        <f>H84</f>
        <v>0</v>
      </c>
      <c r="I118" s="44">
        <f>I84</f>
        <v>0</v>
      </c>
      <c r="J118" s="44">
        <f>J84</f>
        <v>0</v>
      </c>
      <c r="K118" s="17"/>
    </row>
    <row r="119" spans="1:11">
      <c r="A119" s="4" t="s">
        <v>184</v>
      </c>
      <c r="B119" s="44">
        <f>B85</f>
        <v>0</v>
      </c>
      <c r="C119" s="44">
        <f>C85</f>
        <v>0</v>
      </c>
      <c r="D119" s="44">
        <f>D85</f>
        <v>0</v>
      </c>
      <c r="E119" s="44">
        <f>E85</f>
        <v>0</v>
      </c>
      <c r="F119" s="44">
        <f>F85</f>
        <v>0</v>
      </c>
      <c r="G119" s="44">
        <f>G85</f>
        <v>0</v>
      </c>
      <c r="H119" s="44">
        <f>H85</f>
        <v>0</v>
      </c>
      <c r="I119" s="44">
        <f>I85</f>
        <v>0</v>
      </c>
      <c r="J119" s="44">
        <f>J85</f>
        <v>0</v>
      </c>
      <c r="K119" s="17"/>
    </row>
    <row r="120" spans="1:11">
      <c r="A120" s="4" t="s">
        <v>185</v>
      </c>
      <c r="B120" s="44">
        <f>B$54</f>
        <v>0</v>
      </c>
      <c r="C120" s="44">
        <f>C$54</f>
        <v>0</v>
      </c>
      <c r="D120" s="44">
        <f>D$54</f>
        <v>0</v>
      </c>
      <c r="E120" s="44">
        <f>E$54</f>
        <v>0</v>
      </c>
      <c r="F120" s="44">
        <f>F$54</f>
        <v>0</v>
      </c>
      <c r="G120" s="44">
        <f>G$54</f>
        <v>0</v>
      </c>
      <c r="H120" s="44">
        <f>H$54</f>
        <v>0</v>
      </c>
      <c r="I120" s="44">
        <f>I$54</f>
        <v>0</v>
      </c>
      <c r="J120" s="44">
        <f>J$54</f>
        <v>0</v>
      </c>
      <c r="K120" s="17"/>
    </row>
    <row r="121" spans="1:11">
      <c r="A121" s="4" t="s">
        <v>186</v>
      </c>
      <c r="B121" s="44">
        <f>B87</f>
        <v>0</v>
      </c>
      <c r="C121" s="44">
        <f>C87</f>
        <v>0</v>
      </c>
      <c r="D121" s="44">
        <f>D87</f>
        <v>0</v>
      </c>
      <c r="E121" s="44">
        <f>E87</f>
        <v>0</v>
      </c>
      <c r="F121" s="44">
        <f>F87</f>
        <v>0</v>
      </c>
      <c r="G121" s="44">
        <f>G87</f>
        <v>0</v>
      </c>
      <c r="H121" s="44">
        <f>H87</f>
        <v>0</v>
      </c>
      <c r="I121" s="44">
        <f>I87</f>
        <v>0</v>
      </c>
      <c r="J121" s="44">
        <f>J87</f>
        <v>0</v>
      </c>
      <c r="K121" s="17"/>
    </row>
    <row r="122" spans="1:11">
      <c r="A122" s="4" t="s">
        <v>187</v>
      </c>
      <c r="B122" s="44">
        <f>B$55</f>
        <v>0</v>
      </c>
      <c r="C122" s="44">
        <f>C$55</f>
        <v>0</v>
      </c>
      <c r="D122" s="44">
        <f>D$55</f>
        <v>0</v>
      </c>
      <c r="E122" s="44">
        <f>E$55</f>
        <v>0</v>
      </c>
      <c r="F122" s="44">
        <f>F$55</f>
        <v>0</v>
      </c>
      <c r="G122" s="44">
        <f>G$55</f>
        <v>0</v>
      </c>
      <c r="H122" s="44">
        <f>H$55</f>
        <v>0</v>
      </c>
      <c r="I122" s="44">
        <f>I$55</f>
        <v>0</v>
      </c>
      <c r="J122" s="44">
        <f>J$55</f>
        <v>0</v>
      </c>
      <c r="K122" s="17"/>
    </row>
    <row r="123" spans="1:11">
      <c r="A123" s="4" t="s">
        <v>194</v>
      </c>
      <c r="B123" s="44">
        <f>B89</f>
        <v>0</v>
      </c>
      <c r="C123" s="44">
        <f>C89</f>
        <v>0</v>
      </c>
      <c r="D123" s="44">
        <f>D89</f>
        <v>0</v>
      </c>
      <c r="E123" s="44">
        <f>E89</f>
        <v>0</v>
      </c>
      <c r="F123" s="44">
        <f>F89</f>
        <v>0</v>
      </c>
      <c r="G123" s="44">
        <f>G89</f>
        <v>0</v>
      </c>
      <c r="H123" s="44">
        <f>H89</f>
        <v>0</v>
      </c>
      <c r="I123" s="44">
        <f>I89</f>
        <v>0</v>
      </c>
      <c r="J123" s="44">
        <f>J89</f>
        <v>0</v>
      </c>
      <c r="K123" s="17"/>
    </row>
    <row r="124" spans="1:11">
      <c r="A124" s="4" t="s">
        <v>195</v>
      </c>
      <c r="B124" s="44">
        <f>B$56</f>
        <v>0</v>
      </c>
      <c r="C124" s="44">
        <f>C$56</f>
        <v>0</v>
      </c>
      <c r="D124" s="44">
        <f>D$56</f>
        <v>0</v>
      </c>
      <c r="E124" s="44">
        <f>E$56</f>
        <v>0</v>
      </c>
      <c r="F124" s="44">
        <f>F$56</f>
        <v>0</v>
      </c>
      <c r="G124" s="44">
        <f>G$56</f>
        <v>0</v>
      </c>
      <c r="H124" s="44">
        <f>H$56</f>
        <v>0</v>
      </c>
      <c r="I124" s="44">
        <f>I$56</f>
        <v>0</v>
      </c>
      <c r="J124" s="44">
        <f>J$56</f>
        <v>0</v>
      </c>
      <c r="K124" s="17"/>
    </row>
    <row r="126" spans="1:11" ht="21" customHeight="1">
      <c r="A126" s="1" t="s">
        <v>819</v>
      </c>
    </row>
    <row r="127" spans="1:11">
      <c r="A127" s="2" t="s">
        <v>351</v>
      </c>
    </row>
    <row r="128" spans="1:11">
      <c r="A128" s="33" t="s">
        <v>820</v>
      </c>
    </row>
    <row r="129" spans="1:11">
      <c r="A129" s="2" t="s">
        <v>821</v>
      </c>
    </row>
    <row r="131" spans="1:11">
      <c r="B131" s="15" t="s">
        <v>142</v>
      </c>
      <c r="C131" s="15" t="s">
        <v>143</v>
      </c>
      <c r="D131" s="15" t="s">
        <v>144</v>
      </c>
      <c r="E131" s="15" t="s">
        <v>145</v>
      </c>
      <c r="F131" s="15" t="s">
        <v>146</v>
      </c>
      <c r="G131" s="15" t="s">
        <v>151</v>
      </c>
      <c r="H131" s="15" t="s">
        <v>147</v>
      </c>
      <c r="I131" s="15" t="s">
        <v>148</v>
      </c>
      <c r="J131" s="15" t="s">
        <v>149</v>
      </c>
    </row>
    <row r="132" spans="1:11">
      <c r="A132" s="4" t="s">
        <v>822</v>
      </c>
      <c r="B132" s="21">
        <f>SUM(B$101:B$124)</f>
        <v>0</v>
      </c>
      <c r="C132" s="21">
        <f>SUM(C$101:C$124)</f>
        <v>0</v>
      </c>
      <c r="D132" s="21">
        <f>SUM(D$101:D$124)</f>
        <v>0</v>
      </c>
      <c r="E132" s="21">
        <f>SUM(E$101:E$124)</f>
        <v>0</v>
      </c>
      <c r="F132" s="21">
        <f>SUM(F$101:F$124)</f>
        <v>0</v>
      </c>
      <c r="G132" s="21">
        <f>SUM(G$101:G$124)</f>
        <v>0</v>
      </c>
      <c r="H132" s="21">
        <f>SUM(H$101:H$124)</f>
        <v>0</v>
      </c>
      <c r="I132" s="21">
        <f>SUM(I$101:I$124)</f>
        <v>0</v>
      </c>
      <c r="J132" s="21">
        <f>SUM(J$101:J$124)</f>
        <v>0</v>
      </c>
      <c r="K132" s="17"/>
    </row>
  </sheetData>
  <sheetProtection sheet="1" objects="1" scenarios="1"/>
  <hyperlinks>
    <hyperlink ref="A5" location="'Loads'!B279" display="x1 = 2305. Rate 1 units (MWh) (in Equivalent volume for each end user)"/>
    <hyperlink ref="A6" location="'Multi'!B818" display="x2 = 2460. Unit rate 1 pseudo load coefficient by network level (combined)"/>
    <hyperlink ref="A7" location="'LAFs'!B224" display="x3 = 2012. Loss adjustment factors between end user meter reading and each network level, scaled by network use"/>
    <hyperlink ref="A8" location="'Input'!F57" display="x4 = 1010. Days in the charging year (in Financial and general assumptions)"/>
    <hyperlink ref="A23" location="'Loads'!B279" display="x1 = 2305. Rate 1 units (MWh) (in Equivalent volume for each end user)"/>
    <hyperlink ref="A24" location="'Multi'!B818" display="x2 = 2460. Unit rate 1 pseudo load coefficient by network level (combined)"/>
    <hyperlink ref="A25" location="'Loads'!C279" display="x3 = 2305. Rate 2 units (MWh) (in Equivalent volume for each end user)"/>
    <hyperlink ref="A26" location="'Multi'!B845" display="x4 = 2461. Unit rate 2 pseudo load coefficient by network level (combined)"/>
    <hyperlink ref="A27" location="'LAFs'!B224" display="x5 = 2012. Loss adjustment factors between end user meter reading and each network level, scaled by network use"/>
    <hyperlink ref="A28" location="'Input'!F57" display="x6 = 1010. Days in the charging year (in Financial and general assumptions)"/>
    <hyperlink ref="A37" location="'Loads'!B279" display="x1 = 2305. Rate 1 units (MWh) (in Equivalent volume for each end user)"/>
    <hyperlink ref="A38" location="'Multi'!B818" display="x2 = 2460. Unit rate 1 pseudo load coefficient by network level (combined)"/>
    <hyperlink ref="A39" location="'Loads'!C279" display="x3 = 2305. Rate 2 units (MWh) (in Equivalent volume for each end user)"/>
    <hyperlink ref="A40" location="'Multi'!B845" display="x4 = 2461. Unit rate 2 pseudo load coefficient by network level (combined)"/>
    <hyperlink ref="A41" location="'Loads'!D279" display="x5 = 2305. Rate 3 units (MWh) (in Equivalent volume for each end user)"/>
    <hyperlink ref="A42" location="'Multi'!B864" display="x6 = 2462. Unit rate 3 pseudo load coefficient by network level (combined)"/>
    <hyperlink ref="A43" location="'LAFs'!B224" display="x7 = 2012. Loss adjustment factors between end user meter reading and each network level, scaled by network use"/>
    <hyperlink ref="A44" location="'Input'!F57" display="x8 = 1010. Days in the charging year (in Financial and general assumptions)"/>
    <hyperlink ref="A60" location="'Multi'!B106" display="x1 = 2407. All units (MWh)"/>
    <hyperlink ref="A61" location="'Loads'!B42" display="x2 = 2302. Load coefficient"/>
    <hyperlink ref="A62" location="'LAFs'!B224" display="x3 = 2012. Loss adjustment factors between end user meter reading and each network level, scaled by network use"/>
    <hyperlink ref="A63" location="'Input'!F57" display="x4 = 1010. Days in the charging year (in Financial and general assumptions)"/>
    <hyperlink ref="A94" location="'SMD'!B11" display="x1 = 2501. Contributions of users on one-rate multi tariffs to system simultaneous maximum load by network level (kW)"/>
    <hyperlink ref="A95" location="'SMD'!B31" display="x2 = 2502. Contributions of users on two-rate multi tariffs to system simultaneous maximum load by network level (kW)"/>
    <hyperlink ref="A96" location="'SMD'!B47" display="x3 = 2503. Contributions of users on three-rate multi tariffs to system simultaneous maximum load by network level (kW)"/>
    <hyperlink ref="A97" location="'SMD'!B66" display="x4 = 2504. Estimated contributions of users on each tariff to system simultaneous maximum load by network level (kW)"/>
    <hyperlink ref="A128" location="'SMD'!B100" display="x1 = 2505. Contributions of users on each tariff to system simultaneous maximum load by network level (kW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2" ht="21" customHeight="1">
      <c r="A1" s="1">
        <f>"Forecast aggregate maximum load for "&amp;'Input'!B7&amp;" in "&amp;'Input'!C7&amp;" ("&amp;'Input'!D7&amp;")"</f>
        <v>0</v>
      </c>
    </row>
    <row r="3" spans="1:12" ht="21" customHeight="1">
      <c r="A3" s="1" t="s">
        <v>823</v>
      </c>
    </row>
    <row r="4" spans="1:12">
      <c r="A4" s="2" t="s">
        <v>351</v>
      </c>
    </row>
    <row r="5" spans="1:12">
      <c r="A5" s="33" t="s">
        <v>824</v>
      </c>
    </row>
    <row r="6" spans="1:12">
      <c r="A6" s="33" t="s">
        <v>825</v>
      </c>
    </row>
    <row r="7" spans="1:12">
      <c r="A7" s="33" t="s">
        <v>826</v>
      </c>
    </row>
    <row r="8" spans="1:12">
      <c r="A8" s="34" t="s">
        <v>354</v>
      </c>
      <c r="B8" s="35" t="s">
        <v>355</v>
      </c>
      <c r="C8" s="35"/>
      <c r="D8" s="35"/>
      <c r="E8" s="35"/>
      <c r="F8" s="35"/>
      <c r="G8" s="35"/>
      <c r="H8" s="35"/>
      <c r="I8" s="35"/>
      <c r="J8" s="34" t="s">
        <v>355</v>
      </c>
      <c r="K8" s="34" t="s">
        <v>484</v>
      </c>
    </row>
    <row r="9" spans="1:12">
      <c r="A9" s="34" t="s">
        <v>357</v>
      </c>
      <c r="B9" s="35" t="s">
        <v>358</v>
      </c>
      <c r="C9" s="35"/>
      <c r="D9" s="35"/>
      <c r="E9" s="35"/>
      <c r="F9" s="35"/>
      <c r="G9" s="35"/>
      <c r="H9" s="35"/>
      <c r="I9" s="35"/>
      <c r="J9" s="34" t="s">
        <v>358</v>
      </c>
      <c r="K9" s="34" t="s">
        <v>827</v>
      </c>
    </row>
    <row r="11" spans="1:12">
      <c r="B11" s="36" t="s">
        <v>828</v>
      </c>
      <c r="C11" s="36"/>
      <c r="D11" s="36"/>
      <c r="E11" s="36"/>
      <c r="F11" s="36"/>
      <c r="G11" s="36"/>
      <c r="H11" s="36"/>
      <c r="I11" s="36"/>
    </row>
    <row r="12" spans="1:12">
      <c r="B12" s="15" t="s">
        <v>142</v>
      </c>
      <c r="C12" s="15" t="s">
        <v>143</v>
      </c>
      <c r="D12" s="15" t="s">
        <v>144</v>
      </c>
      <c r="E12" s="15" t="s">
        <v>145</v>
      </c>
      <c r="F12" s="15" t="s">
        <v>146</v>
      </c>
      <c r="G12" s="15" t="s">
        <v>147</v>
      </c>
      <c r="H12" s="15" t="s">
        <v>148</v>
      </c>
      <c r="I12" s="15" t="s">
        <v>149</v>
      </c>
      <c r="J12" s="15" t="s">
        <v>829</v>
      </c>
      <c r="K12" s="15" t="s">
        <v>830</v>
      </c>
    </row>
    <row r="13" spans="1:12">
      <c r="A13" s="4" t="s">
        <v>174</v>
      </c>
      <c r="B13" s="28">
        <v>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1</v>
      </c>
      <c r="J13" s="28">
        <v>0</v>
      </c>
      <c r="K13" s="38">
        <f>$C13+0.2*'Input'!$B$80*$J13</f>
        <v>0</v>
      </c>
      <c r="L13" s="17"/>
    </row>
    <row r="14" spans="1:12">
      <c r="A14" s="4" t="s">
        <v>175</v>
      </c>
      <c r="B14" s="28">
        <v>0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1</v>
      </c>
      <c r="J14" s="28">
        <v>0</v>
      </c>
      <c r="K14" s="38">
        <f>$C14+0.2*'Input'!$B$80*$J14</f>
        <v>0</v>
      </c>
      <c r="L14" s="17"/>
    </row>
    <row r="15" spans="1:12">
      <c r="A15" s="4" t="s">
        <v>211</v>
      </c>
      <c r="B15" s="28">
        <v>0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1</v>
      </c>
      <c r="J15" s="28">
        <v>0</v>
      </c>
      <c r="K15" s="38">
        <f>$C15+0.2*'Input'!$B$80*$J15</f>
        <v>0</v>
      </c>
      <c r="L15" s="17"/>
    </row>
    <row r="16" spans="1:12">
      <c r="A16" s="4" t="s">
        <v>176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1</v>
      </c>
      <c r="J16" s="28">
        <v>0</v>
      </c>
      <c r="K16" s="38">
        <f>$C16+0.2*'Input'!$B$80*$J16</f>
        <v>0</v>
      </c>
      <c r="L16" s="17"/>
    </row>
    <row r="17" spans="1:12">
      <c r="A17" s="4" t="s">
        <v>177</v>
      </c>
      <c r="B17" s="28">
        <v>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1</v>
      </c>
      <c r="J17" s="28">
        <v>0</v>
      </c>
      <c r="K17" s="38">
        <f>$C17+0.2*'Input'!$B$80*$J17</f>
        <v>0</v>
      </c>
      <c r="L17" s="17"/>
    </row>
    <row r="18" spans="1:12">
      <c r="A18" s="4" t="s">
        <v>212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1</v>
      </c>
      <c r="J18" s="28">
        <v>0</v>
      </c>
      <c r="K18" s="38">
        <f>$C18+0.2*'Input'!$B$80*$J18</f>
        <v>0</v>
      </c>
      <c r="L18" s="17"/>
    </row>
    <row r="19" spans="1:12">
      <c r="A19" s="4" t="s">
        <v>178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1</v>
      </c>
      <c r="J19" s="28">
        <v>0</v>
      </c>
      <c r="K19" s="38">
        <f>$C19+0.2*'Input'!$B$80*$J19</f>
        <v>0</v>
      </c>
      <c r="L19" s="17"/>
    </row>
    <row r="20" spans="1:12">
      <c r="A20" s="4" t="s">
        <v>179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1</v>
      </c>
      <c r="J20" s="28">
        <v>0</v>
      </c>
      <c r="K20" s="38">
        <f>$C20+0.2*'Input'!$B$80*$J20</f>
        <v>0</v>
      </c>
      <c r="L20" s="17"/>
    </row>
    <row r="21" spans="1:12">
      <c r="A21" s="4" t="s">
        <v>180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28">
        <v>0.2</v>
      </c>
      <c r="H21" s="28">
        <v>1</v>
      </c>
      <c r="I21" s="28">
        <v>1</v>
      </c>
      <c r="J21" s="28">
        <v>0</v>
      </c>
      <c r="K21" s="38">
        <f>$C21+0.2*'Input'!$B$80*$J21</f>
        <v>0</v>
      </c>
      <c r="L21" s="17"/>
    </row>
    <row r="22" spans="1:12">
      <c r="A22" s="4" t="s">
        <v>181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28">
        <v>1</v>
      </c>
      <c r="H22" s="28">
        <v>1</v>
      </c>
      <c r="I22" s="28">
        <v>0</v>
      </c>
      <c r="J22" s="28">
        <v>0</v>
      </c>
      <c r="K22" s="38">
        <f>$C22+0.2*'Input'!$B$80*$J22</f>
        <v>0</v>
      </c>
      <c r="L22" s="17"/>
    </row>
    <row r="23" spans="1:12">
      <c r="A23" s="4" t="s">
        <v>193</v>
      </c>
      <c r="B23" s="28">
        <v>0</v>
      </c>
      <c r="C23" s="28">
        <v>0</v>
      </c>
      <c r="D23" s="28">
        <v>0</v>
      </c>
      <c r="E23" s="28">
        <v>0.2</v>
      </c>
      <c r="F23" s="28">
        <v>1</v>
      </c>
      <c r="G23" s="28">
        <v>1</v>
      </c>
      <c r="H23" s="28">
        <v>0</v>
      </c>
      <c r="I23" s="28">
        <v>0</v>
      </c>
      <c r="J23" s="28">
        <v>1</v>
      </c>
      <c r="K23" s="38">
        <f>$C23+0.2*'Input'!$B$80*$J23</f>
        <v>0</v>
      </c>
      <c r="L23" s="17"/>
    </row>
    <row r="24" spans="1:12">
      <c r="A24" s="4" t="s">
        <v>213</v>
      </c>
      <c r="B24" s="28">
        <v>0</v>
      </c>
      <c r="C24" s="28"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38">
        <f>$C24+0.2*'Input'!$B$80*$J24</f>
        <v>0</v>
      </c>
      <c r="L24" s="17"/>
    </row>
    <row r="25" spans="1:12">
      <c r="A25" s="4" t="s">
        <v>214</v>
      </c>
      <c r="B25" s="28">
        <v>0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38">
        <f>$C25+0.2*'Input'!$B$80*$J25</f>
        <v>0</v>
      </c>
      <c r="L25" s="17"/>
    </row>
    <row r="26" spans="1:12">
      <c r="A26" s="4" t="s">
        <v>215</v>
      </c>
      <c r="B26" s="28">
        <v>0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38">
        <f>$C26+0.2*'Input'!$B$80*$J26</f>
        <v>0</v>
      </c>
      <c r="L26" s="17"/>
    </row>
    <row r="27" spans="1:12">
      <c r="A27" s="4" t="s">
        <v>216</v>
      </c>
      <c r="B27" s="28">
        <v>0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38">
        <f>$C27+0.2*'Input'!$B$80*$J27</f>
        <v>0</v>
      </c>
      <c r="L27" s="17"/>
    </row>
    <row r="28" spans="1:12">
      <c r="A28" s="4" t="s">
        <v>217</v>
      </c>
      <c r="B28" s="28">
        <v>0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38">
        <f>$C28+0.2*'Input'!$B$80*$J28</f>
        <v>0</v>
      </c>
      <c r="L28" s="17"/>
    </row>
    <row r="30" spans="1:12" ht="21" customHeight="1">
      <c r="A30" s="1" t="s">
        <v>831</v>
      </c>
    </row>
    <row r="31" spans="1:12">
      <c r="A31" s="2" t="s">
        <v>351</v>
      </c>
    </row>
    <row r="32" spans="1:12">
      <c r="A32" s="33" t="s">
        <v>832</v>
      </c>
    </row>
    <row r="33" spans="1:11">
      <c r="A33" s="33" t="s">
        <v>833</v>
      </c>
    </row>
    <row r="34" spans="1:11">
      <c r="A34" s="33" t="s">
        <v>834</v>
      </c>
    </row>
    <row r="35" spans="1:11">
      <c r="A35" s="2" t="s">
        <v>394</v>
      </c>
    </row>
    <row r="37" spans="1:11">
      <c r="B37" s="15" t="s">
        <v>142</v>
      </c>
      <c r="C37" s="15" t="s">
        <v>143</v>
      </c>
      <c r="D37" s="15" t="s">
        <v>144</v>
      </c>
      <c r="E37" s="15" t="s">
        <v>145</v>
      </c>
      <c r="F37" s="15" t="s">
        <v>146</v>
      </c>
      <c r="G37" s="15" t="s">
        <v>151</v>
      </c>
      <c r="H37" s="15" t="s">
        <v>147</v>
      </c>
      <c r="I37" s="15" t="s">
        <v>148</v>
      </c>
      <c r="J37" s="15" t="s">
        <v>149</v>
      </c>
    </row>
    <row r="38" spans="1:11">
      <c r="A38" s="4" t="s">
        <v>174</v>
      </c>
      <c r="B38" s="39">
        <f>$B13</f>
        <v>0</v>
      </c>
      <c r="C38" s="39">
        <f>$K13</f>
        <v>0</v>
      </c>
      <c r="D38" s="39">
        <f>$D13</f>
        <v>0</v>
      </c>
      <c r="E38" s="39">
        <f>$E13</f>
        <v>0</v>
      </c>
      <c r="F38" s="39">
        <f>$F13</f>
        <v>0</v>
      </c>
      <c r="G38" s="28">
        <v>0</v>
      </c>
      <c r="H38" s="39">
        <f>$G13</f>
        <v>0</v>
      </c>
      <c r="I38" s="39">
        <f>$H13</f>
        <v>0</v>
      </c>
      <c r="J38" s="39">
        <f>$I13</f>
        <v>0</v>
      </c>
      <c r="K38" s="17"/>
    </row>
    <row r="39" spans="1:11">
      <c r="A39" s="4" t="s">
        <v>175</v>
      </c>
      <c r="B39" s="39">
        <f>$B14</f>
        <v>0</v>
      </c>
      <c r="C39" s="39">
        <f>$K14</f>
        <v>0</v>
      </c>
      <c r="D39" s="39">
        <f>$D14</f>
        <v>0</v>
      </c>
      <c r="E39" s="39">
        <f>$E14</f>
        <v>0</v>
      </c>
      <c r="F39" s="39">
        <f>$F14</f>
        <v>0</v>
      </c>
      <c r="G39" s="28">
        <v>0</v>
      </c>
      <c r="H39" s="39">
        <f>$G14</f>
        <v>0</v>
      </c>
      <c r="I39" s="39">
        <f>$H14</f>
        <v>0</v>
      </c>
      <c r="J39" s="39">
        <f>$I14</f>
        <v>0</v>
      </c>
      <c r="K39" s="17"/>
    </row>
    <row r="40" spans="1:11">
      <c r="A40" s="4" t="s">
        <v>211</v>
      </c>
      <c r="B40" s="39">
        <f>$B15</f>
        <v>0</v>
      </c>
      <c r="C40" s="39">
        <f>$K15</f>
        <v>0</v>
      </c>
      <c r="D40" s="39">
        <f>$D15</f>
        <v>0</v>
      </c>
      <c r="E40" s="39">
        <f>$E15</f>
        <v>0</v>
      </c>
      <c r="F40" s="39">
        <f>$F15</f>
        <v>0</v>
      </c>
      <c r="G40" s="28">
        <v>0</v>
      </c>
      <c r="H40" s="39">
        <f>$G15</f>
        <v>0</v>
      </c>
      <c r="I40" s="39">
        <f>$H15</f>
        <v>0</v>
      </c>
      <c r="J40" s="39">
        <f>$I15</f>
        <v>0</v>
      </c>
      <c r="K40" s="17"/>
    </row>
    <row r="41" spans="1:11">
      <c r="A41" s="4" t="s">
        <v>176</v>
      </c>
      <c r="B41" s="39">
        <f>$B16</f>
        <v>0</v>
      </c>
      <c r="C41" s="39">
        <f>$K16</f>
        <v>0</v>
      </c>
      <c r="D41" s="39">
        <f>$D16</f>
        <v>0</v>
      </c>
      <c r="E41" s="39">
        <f>$E16</f>
        <v>0</v>
      </c>
      <c r="F41" s="39">
        <f>$F16</f>
        <v>0</v>
      </c>
      <c r="G41" s="28">
        <v>0</v>
      </c>
      <c r="H41" s="39">
        <f>$G16</f>
        <v>0</v>
      </c>
      <c r="I41" s="39">
        <f>$H16</f>
        <v>0</v>
      </c>
      <c r="J41" s="39">
        <f>$I16</f>
        <v>0</v>
      </c>
      <c r="K41" s="17"/>
    </row>
    <row r="42" spans="1:11">
      <c r="A42" s="4" t="s">
        <v>177</v>
      </c>
      <c r="B42" s="39">
        <f>$B17</f>
        <v>0</v>
      </c>
      <c r="C42" s="39">
        <f>$K17</f>
        <v>0</v>
      </c>
      <c r="D42" s="39">
        <f>$D17</f>
        <v>0</v>
      </c>
      <c r="E42" s="39">
        <f>$E17</f>
        <v>0</v>
      </c>
      <c r="F42" s="39">
        <f>$F17</f>
        <v>0</v>
      </c>
      <c r="G42" s="28">
        <v>0</v>
      </c>
      <c r="H42" s="39">
        <f>$G17</f>
        <v>0</v>
      </c>
      <c r="I42" s="39">
        <f>$H17</f>
        <v>0</v>
      </c>
      <c r="J42" s="39">
        <f>$I17</f>
        <v>0</v>
      </c>
      <c r="K42" s="17"/>
    </row>
    <row r="43" spans="1:11">
      <c r="A43" s="4" t="s">
        <v>212</v>
      </c>
      <c r="B43" s="39">
        <f>$B18</f>
        <v>0</v>
      </c>
      <c r="C43" s="39">
        <f>$K18</f>
        <v>0</v>
      </c>
      <c r="D43" s="39">
        <f>$D18</f>
        <v>0</v>
      </c>
      <c r="E43" s="39">
        <f>$E18</f>
        <v>0</v>
      </c>
      <c r="F43" s="39">
        <f>$F18</f>
        <v>0</v>
      </c>
      <c r="G43" s="28">
        <v>0</v>
      </c>
      <c r="H43" s="39">
        <f>$G18</f>
        <v>0</v>
      </c>
      <c r="I43" s="39">
        <f>$H18</f>
        <v>0</v>
      </c>
      <c r="J43" s="39">
        <f>$I18</f>
        <v>0</v>
      </c>
      <c r="K43" s="17"/>
    </row>
    <row r="44" spans="1:11">
      <c r="A44" s="4" t="s">
        <v>178</v>
      </c>
      <c r="B44" s="39">
        <f>$B19</f>
        <v>0</v>
      </c>
      <c r="C44" s="39">
        <f>$K19</f>
        <v>0</v>
      </c>
      <c r="D44" s="39">
        <f>$D19</f>
        <v>0</v>
      </c>
      <c r="E44" s="39">
        <f>$E19</f>
        <v>0</v>
      </c>
      <c r="F44" s="39">
        <f>$F19</f>
        <v>0</v>
      </c>
      <c r="G44" s="28">
        <v>0</v>
      </c>
      <c r="H44" s="39">
        <f>$G19</f>
        <v>0</v>
      </c>
      <c r="I44" s="39">
        <f>$H19</f>
        <v>0</v>
      </c>
      <c r="J44" s="39">
        <f>$I19</f>
        <v>0</v>
      </c>
      <c r="K44" s="17"/>
    </row>
    <row r="45" spans="1:11">
      <c r="A45" s="4" t="s">
        <v>179</v>
      </c>
      <c r="B45" s="39">
        <f>$B20</f>
        <v>0</v>
      </c>
      <c r="C45" s="39">
        <f>$K20</f>
        <v>0</v>
      </c>
      <c r="D45" s="39">
        <f>$D20</f>
        <v>0</v>
      </c>
      <c r="E45" s="39">
        <f>$E20</f>
        <v>0</v>
      </c>
      <c r="F45" s="39">
        <f>$F20</f>
        <v>0</v>
      </c>
      <c r="G45" s="28">
        <v>0</v>
      </c>
      <c r="H45" s="39">
        <f>$G20</f>
        <v>0</v>
      </c>
      <c r="I45" s="39">
        <f>$H20</f>
        <v>0</v>
      </c>
      <c r="J45" s="39">
        <f>$I20</f>
        <v>0</v>
      </c>
      <c r="K45" s="17"/>
    </row>
    <row r="46" spans="1:11">
      <c r="A46" s="4" t="s">
        <v>180</v>
      </c>
      <c r="B46" s="39">
        <f>$B21</f>
        <v>0</v>
      </c>
      <c r="C46" s="39">
        <f>$K21</f>
        <v>0</v>
      </c>
      <c r="D46" s="39">
        <f>$D21</f>
        <v>0</v>
      </c>
      <c r="E46" s="39">
        <f>$E21</f>
        <v>0</v>
      </c>
      <c r="F46" s="39">
        <f>$F21</f>
        <v>0</v>
      </c>
      <c r="G46" s="28">
        <v>0</v>
      </c>
      <c r="H46" s="39">
        <f>$G21</f>
        <v>0</v>
      </c>
      <c r="I46" s="39">
        <f>$H21</f>
        <v>0</v>
      </c>
      <c r="J46" s="39">
        <f>$I21</f>
        <v>0</v>
      </c>
      <c r="K46" s="17"/>
    </row>
    <row r="47" spans="1:11">
      <c r="A47" s="4" t="s">
        <v>181</v>
      </c>
      <c r="B47" s="39">
        <f>$B22</f>
        <v>0</v>
      </c>
      <c r="C47" s="39">
        <f>$K22</f>
        <v>0</v>
      </c>
      <c r="D47" s="39">
        <f>$D22</f>
        <v>0</v>
      </c>
      <c r="E47" s="39">
        <f>$E22</f>
        <v>0</v>
      </c>
      <c r="F47" s="39">
        <f>$F22</f>
        <v>0</v>
      </c>
      <c r="G47" s="28">
        <v>0</v>
      </c>
      <c r="H47" s="39">
        <f>$G22</f>
        <v>0</v>
      </c>
      <c r="I47" s="39">
        <f>$H22</f>
        <v>0</v>
      </c>
      <c r="J47" s="39">
        <f>$I22</f>
        <v>0</v>
      </c>
      <c r="K47" s="17"/>
    </row>
    <row r="48" spans="1:11">
      <c r="A48" s="4" t="s">
        <v>193</v>
      </c>
      <c r="B48" s="39">
        <f>$B23</f>
        <v>0</v>
      </c>
      <c r="C48" s="39">
        <f>$K23</f>
        <v>0</v>
      </c>
      <c r="D48" s="39">
        <f>$D23</f>
        <v>0</v>
      </c>
      <c r="E48" s="39">
        <f>$E23</f>
        <v>0</v>
      </c>
      <c r="F48" s="39">
        <f>$F23</f>
        <v>0</v>
      </c>
      <c r="G48" s="28">
        <v>1</v>
      </c>
      <c r="H48" s="39">
        <f>$G23</f>
        <v>0</v>
      </c>
      <c r="I48" s="39">
        <f>$H23</f>
        <v>0</v>
      </c>
      <c r="J48" s="39">
        <f>$I23</f>
        <v>0</v>
      </c>
      <c r="K48" s="17"/>
    </row>
    <row r="49" spans="1:11">
      <c r="A49" s="4" t="s">
        <v>213</v>
      </c>
      <c r="B49" s="39">
        <f>$B24</f>
        <v>0</v>
      </c>
      <c r="C49" s="39">
        <f>$K24</f>
        <v>0</v>
      </c>
      <c r="D49" s="39">
        <f>$D24</f>
        <v>0</v>
      </c>
      <c r="E49" s="39">
        <f>$E24</f>
        <v>0</v>
      </c>
      <c r="F49" s="39">
        <f>$F24</f>
        <v>0</v>
      </c>
      <c r="G49" s="28">
        <v>0</v>
      </c>
      <c r="H49" s="39">
        <f>$G24</f>
        <v>0</v>
      </c>
      <c r="I49" s="39">
        <f>$H24</f>
        <v>0</v>
      </c>
      <c r="J49" s="39">
        <f>$I24</f>
        <v>0</v>
      </c>
      <c r="K49" s="17"/>
    </row>
    <row r="50" spans="1:11">
      <c r="A50" s="4" t="s">
        <v>214</v>
      </c>
      <c r="B50" s="39">
        <f>$B25</f>
        <v>0</v>
      </c>
      <c r="C50" s="39">
        <f>$K25</f>
        <v>0</v>
      </c>
      <c r="D50" s="39">
        <f>$D25</f>
        <v>0</v>
      </c>
      <c r="E50" s="39">
        <f>$E25</f>
        <v>0</v>
      </c>
      <c r="F50" s="39">
        <f>$F25</f>
        <v>0</v>
      </c>
      <c r="G50" s="28">
        <v>0</v>
      </c>
      <c r="H50" s="39">
        <f>$G25</f>
        <v>0</v>
      </c>
      <c r="I50" s="39">
        <f>$H25</f>
        <v>0</v>
      </c>
      <c r="J50" s="39">
        <f>$I25</f>
        <v>0</v>
      </c>
      <c r="K50" s="17"/>
    </row>
    <row r="51" spans="1:11">
      <c r="A51" s="4" t="s">
        <v>215</v>
      </c>
      <c r="B51" s="39">
        <f>$B26</f>
        <v>0</v>
      </c>
      <c r="C51" s="39">
        <f>$K26</f>
        <v>0</v>
      </c>
      <c r="D51" s="39">
        <f>$D26</f>
        <v>0</v>
      </c>
      <c r="E51" s="39">
        <f>$E26</f>
        <v>0</v>
      </c>
      <c r="F51" s="39">
        <f>$F26</f>
        <v>0</v>
      </c>
      <c r="G51" s="28">
        <v>0</v>
      </c>
      <c r="H51" s="39">
        <f>$G26</f>
        <v>0</v>
      </c>
      <c r="I51" s="39">
        <f>$H26</f>
        <v>0</v>
      </c>
      <c r="J51" s="39">
        <f>$I26</f>
        <v>0</v>
      </c>
      <c r="K51" s="17"/>
    </row>
    <row r="52" spans="1:11">
      <c r="A52" s="4" t="s">
        <v>216</v>
      </c>
      <c r="B52" s="39">
        <f>$B27</f>
        <v>0</v>
      </c>
      <c r="C52" s="39">
        <f>$K27</f>
        <v>0</v>
      </c>
      <c r="D52" s="39">
        <f>$D27</f>
        <v>0</v>
      </c>
      <c r="E52" s="39">
        <f>$E27</f>
        <v>0</v>
      </c>
      <c r="F52" s="39">
        <f>$F27</f>
        <v>0</v>
      </c>
      <c r="G52" s="28">
        <v>0</v>
      </c>
      <c r="H52" s="39">
        <f>$G27</f>
        <v>0</v>
      </c>
      <c r="I52" s="39">
        <f>$H27</f>
        <v>0</v>
      </c>
      <c r="J52" s="39">
        <f>$I27</f>
        <v>0</v>
      </c>
      <c r="K52" s="17"/>
    </row>
    <row r="53" spans="1:11">
      <c r="A53" s="4" t="s">
        <v>217</v>
      </c>
      <c r="B53" s="39">
        <f>$B28</f>
        <v>0</v>
      </c>
      <c r="C53" s="39">
        <f>$K28</f>
        <v>0</v>
      </c>
      <c r="D53" s="39">
        <f>$D28</f>
        <v>0</v>
      </c>
      <c r="E53" s="39">
        <f>$E28</f>
        <v>0</v>
      </c>
      <c r="F53" s="39">
        <f>$F28</f>
        <v>0</v>
      </c>
      <c r="G53" s="28">
        <v>0</v>
      </c>
      <c r="H53" s="39">
        <f>$G28</f>
        <v>0</v>
      </c>
      <c r="I53" s="39">
        <f>$H28</f>
        <v>0</v>
      </c>
      <c r="J53" s="39">
        <f>$I28</f>
        <v>0</v>
      </c>
      <c r="K53" s="17"/>
    </row>
    <row r="55" spans="1:11" ht="21" customHeight="1">
      <c r="A55" s="1" t="s">
        <v>835</v>
      </c>
    </row>
    <row r="56" spans="1:11">
      <c r="A56" s="2" t="s">
        <v>351</v>
      </c>
    </row>
    <row r="57" spans="1:11">
      <c r="A57" s="33" t="s">
        <v>836</v>
      </c>
    </row>
    <row r="58" spans="1:11">
      <c r="A58" s="33" t="s">
        <v>837</v>
      </c>
    </row>
    <row r="59" spans="1:11">
      <c r="A59" s="33" t="s">
        <v>838</v>
      </c>
    </row>
    <row r="60" spans="1:11">
      <c r="A60" s="33" t="s">
        <v>839</v>
      </c>
    </row>
    <row r="61" spans="1:11">
      <c r="A61" s="2" t="s">
        <v>840</v>
      </c>
    </row>
    <row r="63" spans="1:11">
      <c r="B63" s="15" t="s">
        <v>142</v>
      </c>
      <c r="C63" s="15" t="s">
        <v>143</v>
      </c>
      <c r="D63" s="15" t="s">
        <v>144</v>
      </c>
      <c r="E63" s="15" t="s">
        <v>145</v>
      </c>
      <c r="F63" s="15" t="s">
        <v>146</v>
      </c>
      <c r="G63" s="15" t="s">
        <v>151</v>
      </c>
      <c r="H63" s="15" t="s">
        <v>147</v>
      </c>
      <c r="I63" s="15" t="s">
        <v>148</v>
      </c>
      <c r="J63" s="15" t="s">
        <v>149</v>
      </c>
    </row>
    <row r="64" spans="1:11">
      <c r="A64" s="4" t="s">
        <v>180</v>
      </c>
      <c r="B64" s="21">
        <f>'Loads'!$F$288*'Input'!$E$58*B$46*'LAFs'!B$233</f>
        <v>0</v>
      </c>
      <c r="C64" s="21">
        <f>'Loads'!$F$288*'Input'!$E$58*C$46*'LAFs'!C$233</f>
        <v>0</v>
      </c>
      <c r="D64" s="21">
        <f>'Loads'!$F$288*'Input'!$E$58*D$46*'LAFs'!D$233</f>
        <v>0</v>
      </c>
      <c r="E64" s="21">
        <f>'Loads'!$F$288*'Input'!$E$58*E$46*'LAFs'!E$233</f>
        <v>0</v>
      </c>
      <c r="F64" s="21">
        <f>'Loads'!$F$288*'Input'!$E$58*F$46*'LAFs'!F$233</f>
        <v>0</v>
      </c>
      <c r="G64" s="21">
        <f>'Loads'!$F$288*'Input'!$E$58*G$46*'LAFs'!G$233</f>
        <v>0</v>
      </c>
      <c r="H64" s="21">
        <f>'Loads'!$F$288*'Input'!$E$58*H$46*'LAFs'!H$233</f>
        <v>0</v>
      </c>
      <c r="I64" s="21">
        <f>'Loads'!$F$288*'Input'!$E$58*I$46*'LAFs'!I$233</f>
        <v>0</v>
      </c>
      <c r="J64" s="21">
        <f>'Loads'!$F$288*'Input'!$E$58*J$46*'LAFs'!J$233</f>
        <v>0</v>
      </c>
      <c r="K64" s="17"/>
    </row>
    <row r="65" spans="1:11">
      <c r="A65" s="4" t="s">
        <v>181</v>
      </c>
      <c r="B65" s="21">
        <f>'Loads'!$F$289*'Input'!$E$58*B$47*'LAFs'!B$234</f>
        <v>0</v>
      </c>
      <c r="C65" s="21">
        <f>'Loads'!$F$289*'Input'!$E$58*C$47*'LAFs'!C$234</f>
        <v>0</v>
      </c>
      <c r="D65" s="21">
        <f>'Loads'!$F$289*'Input'!$E$58*D$47*'LAFs'!D$234</f>
        <v>0</v>
      </c>
      <c r="E65" s="21">
        <f>'Loads'!$F$289*'Input'!$E$58*E$47*'LAFs'!E$234</f>
        <v>0</v>
      </c>
      <c r="F65" s="21">
        <f>'Loads'!$F$289*'Input'!$E$58*F$47*'LAFs'!F$234</f>
        <v>0</v>
      </c>
      <c r="G65" s="21">
        <f>'Loads'!$F$289*'Input'!$E$58*G$47*'LAFs'!G$234</f>
        <v>0</v>
      </c>
      <c r="H65" s="21">
        <f>'Loads'!$F$289*'Input'!$E$58*H$47*'LAFs'!H$234</f>
        <v>0</v>
      </c>
      <c r="I65" s="21">
        <f>'Loads'!$F$289*'Input'!$E$58*I$47*'LAFs'!I$234</f>
        <v>0</v>
      </c>
      <c r="J65" s="21">
        <f>'Loads'!$F$289*'Input'!$E$58*J$47*'LAFs'!J$234</f>
        <v>0</v>
      </c>
      <c r="K65" s="17"/>
    </row>
    <row r="66" spans="1:11">
      <c r="A66" s="4" t="s">
        <v>193</v>
      </c>
      <c r="B66" s="21">
        <f>'Loads'!$F$290*'Input'!$E$58*B$48*'LAFs'!B$235</f>
        <v>0</v>
      </c>
      <c r="C66" s="21">
        <f>'Loads'!$F$290*'Input'!$E$58*C$48*'LAFs'!C$235</f>
        <v>0</v>
      </c>
      <c r="D66" s="21">
        <f>'Loads'!$F$290*'Input'!$E$58*D$48*'LAFs'!D$235</f>
        <v>0</v>
      </c>
      <c r="E66" s="21">
        <f>'Loads'!$F$290*'Input'!$E$58*E$48*'LAFs'!E$235</f>
        <v>0</v>
      </c>
      <c r="F66" s="21">
        <f>'Loads'!$F$290*'Input'!$E$58*F$48*'LAFs'!F$235</f>
        <v>0</v>
      </c>
      <c r="G66" s="21">
        <f>'Loads'!$F$290*'Input'!$E$58*G$48*'LAFs'!G$235</f>
        <v>0</v>
      </c>
      <c r="H66" s="21">
        <f>'Loads'!$F$290*'Input'!$E$58*H$48*'LAFs'!H$235</f>
        <v>0</v>
      </c>
      <c r="I66" s="21">
        <f>'Loads'!$F$290*'Input'!$E$58*I$48*'LAFs'!I$235</f>
        <v>0</v>
      </c>
      <c r="J66" s="21">
        <f>'Loads'!$F$290*'Input'!$E$58*J$48*'LAFs'!J$235</f>
        <v>0</v>
      </c>
      <c r="K66" s="17"/>
    </row>
    <row r="68" spans="1:11" ht="21" customHeight="1">
      <c r="A68" s="1" t="s">
        <v>841</v>
      </c>
    </row>
    <row r="69" spans="1:11">
      <c r="A69" s="2" t="s">
        <v>351</v>
      </c>
    </row>
    <row r="70" spans="1:11">
      <c r="A70" s="33" t="s">
        <v>574</v>
      </c>
    </row>
    <row r="71" spans="1:11">
      <c r="A71" s="33" t="s">
        <v>499</v>
      </c>
    </row>
    <row r="72" spans="1:11">
      <c r="A72" s="33" t="s">
        <v>838</v>
      </c>
    </row>
    <row r="73" spans="1:11">
      <c r="A73" s="33" t="s">
        <v>839</v>
      </c>
    </row>
    <row r="74" spans="1:11">
      <c r="A74" s="33" t="s">
        <v>741</v>
      </c>
    </row>
    <row r="75" spans="1:11">
      <c r="A75" s="2" t="s">
        <v>842</v>
      </c>
    </row>
    <row r="77" spans="1:11">
      <c r="B77" s="15" t="s">
        <v>142</v>
      </c>
      <c r="C77" s="15" t="s">
        <v>143</v>
      </c>
      <c r="D77" s="15" t="s">
        <v>144</v>
      </c>
      <c r="E77" s="15" t="s">
        <v>145</v>
      </c>
      <c r="F77" s="15" t="s">
        <v>146</v>
      </c>
      <c r="G77" s="15" t="s">
        <v>151</v>
      </c>
      <c r="H77" s="15" t="s">
        <v>147</v>
      </c>
      <c r="I77" s="15" t="s">
        <v>148</v>
      </c>
      <c r="J77" s="15" t="s">
        <v>149</v>
      </c>
    </row>
    <row r="78" spans="1:11">
      <c r="A78" s="4" t="s">
        <v>174</v>
      </c>
      <c r="B78" s="21">
        <f>'Multi'!$B$107/'Input'!$C$157*B$38*'LAFs'!B$225/(24*'Input'!$F$58)*1000</f>
        <v>0</v>
      </c>
      <c r="C78" s="21">
        <f>'Multi'!$B$107/'Input'!$C$157*C$38*'LAFs'!C$225/(24*'Input'!$F$58)*1000</f>
        <v>0</v>
      </c>
      <c r="D78" s="21">
        <f>'Multi'!$B$107/'Input'!$C$157*D$38*'LAFs'!D$225/(24*'Input'!$F$58)*1000</f>
        <v>0</v>
      </c>
      <c r="E78" s="21">
        <f>'Multi'!$B$107/'Input'!$C$157*E$38*'LAFs'!E$225/(24*'Input'!$F$58)*1000</f>
        <v>0</v>
      </c>
      <c r="F78" s="21">
        <f>'Multi'!$B$107/'Input'!$C$157*F$38*'LAFs'!F$225/(24*'Input'!$F$58)*1000</f>
        <v>0</v>
      </c>
      <c r="G78" s="21">
        <f>'Multi'!$B$107/'Input'!$C$157*G$38*'LAFs'!G$225/(24*'Input'!$F$58)*1000</f>
        <v>0</v>
      </c>
      <c r="H78" s="21">
        <f>'Multi'!$B$107/'Input'!$C$157*H$38*'LAFs'!H$225/(24*'Input'!$F$58)*1000</f>
        <v>0</v>
      </c>
      <c r="I78" s="21">
        <f>'Multi'!$B$107/'Input'!$C$157*I$38*'LAFs'!I$225/(24*'Input'!$F$58)*1000</f>
        <v>0</v>
      </c>
      <c r="J78" s="21">
        <f>'Multi'!$B$107/'Input'!$C$157*J$38*'LAFs'!J$225/(24*'Input'!$F$58)*1000</f>
        <v>0</v>
      </c>
      <c r="K78" s="17"/>
    </row>
    <row r="79" spans="1:11">
      <c r="A79" s="4" t="s">
        <v>175</v>
      </c>
      <c r="B79" s="21">
        <f>'Multi'!$B$108/'Input'!$C$158*B$39*'LAFs'!B$226/(24*'Input'!$F$58)*1000</f>
        <v>0</v>
      </c>
      <c r="C79" s="21">
        <f>'Multi'!$B$108/'Input'!$C$158*C$39*'LAFs'!C$226/(24*'Input'!$F$58)*1000</f>
        <v>0</v>
      </c>
      <c r="D79" s="21">
        <f>'Multi'!$B$108/'Input'!$C$158*D$39*'LAFs'!D$226/(24*'Input'!$F$58)*1000</f>
        <v>0</v>
      </c>
      <c r="E79" s="21">
        <f>'Multi'!$B$108/'Input'!$C$158*E$39*'LAFs'!E$226/(24*'Input'!$F$58)*1000</f>
        <v>0</v>
      </c>
      <c r="F79" s="21">
        <f>'Multi'!$B$108/'Input'!$C$158*F$39*'LAFs'!F$226/(24*'Input'!$F$58)*1000</f>
        <v>0</v>
      </c>
      <c r="G79" s="21">
        <f>'Multi'!$B$108/'Input'!$C$158*G$39*'LAFs'!G$226/(24*'Input'!$F$58)*1000</f>
        <v>0</v>
      </c>
      <c r="H79" s="21">
        <f>'Multi'!$B$108/'Input'!$C$158*H$39*'LAFs'!H$226/(24*'Input'!$F$58)*1000</f>
        <v>0</v>
      </c>
      <c r="I79" s="21">
        <f>'Multi'!$B$108/'Input'!$C$158*I$39*'LAFs'!I$226/(24*'Input'!$F$58)*1000</f>
        <v>0</v>
      </c>
      <c r="J79" s="21">
        <f>'Multi'!$B$108/'Input'!$C$158*J$39*'LAFs'!J$226/(24*'Input'!$F$58)*1000</f>
        <v>0</v>
      </c>
      <c r="K79" s="17"/>
    </row>
    <row r="80" spans="1:11">
      <c r="A80" s="4" t="s">
        <v>176</v>
      </c>
      <c r="B80" s="21">
        <f>'Multi'!$B$110/'Input'!$C$160*B$41*'LAFs'!B$228/(24*'Input'!$F$58)*1000</f>
        <v>0</v>
      </c>
      <c r="C80" s="21">
        <f>'Multi'!$B$110/'Input'!$C$160*C$41*'LAFs'!C$228/(24*'Input'!$F$58)*1000</f>
        <v>0</v>
      </c>
      <c r="D80" s="21">
        <f>'Multi'!$B$110/'Input'!$C$160*D$41*'LAFs'!D$228/(24*'Input'!$F$58)*1000</f>
        <v>0</v>
      </c>
      <c r="E80" s="21">
        <f>'Multi'!$B$110/'Input'!$C$160*E$41*'LAFs'!E$228/(24*'Input'!$F$58)*1000</f>
        <v>0</v>
      </c>
      <c r="F80" s="21">
        <f>'Multi'!$B$110/'Input'!$C$160*F$41*'LAFs'!F$228/(24*'Input'!$F$58)*1000</f>
        <v>0</v>
      </c>
      <c r="G80" s="21">
        <f>'Multi'!$B$110/'Input'!$C$160*G$41*'LAFs'!G$228/(24*'Input'!$F$58)*1000</f>
        <v>0</v>
      </c>
      <c r="H80" s="21">
        <f>'Multi'!$B$110/'Input'!$C$160*H$41*'LAFs'!H$228/(24*'Input'!$F$58)*1000</f>
        <v>0</v>
      </c>
      <c r="I80" s="21">
        <f>'Multi'!$B$110/'Input'!$C$160*I$41*'LAFs'!I$228/(24*'Input'!$F$58)*1000</f>
        <v>0</v>
      </c>
      <c r="J80" s="21">
        <f>'Multi'!$B$110/'Input'!$C$160*J$41*'LAFs'!J$228/(24*'Input'!$F$58)*1000</f>
        <v>0</v>
      </c>
      <c r="K80" s="17"/>
    </row>
    <row r="81" spans="1:11">
      <c r="A81" s="4" t="s">
        <v>177</v>
      </c>
      <c r="B81" s="21">
        <f>'Multi'!$B$111/'Input'!$C$161*B$42*'LAFs'!B$229/(24*'Input'!$F$58)*1000</f>
        <v>0</v>
      </c>
      <c r="C81" s="21">
        <f>'Multi'!$B$111/'Input'!$C$161*C$42*'LAFs'!C$229/(24*'Input'!$F$58)*1000</f>
        <v>0</v>
      </c>
      <c r="D81" s="21">
        <f>'Multi'!$B$111/'Input'!$C$161*D$42*'LAFs'!D$229/(24*'Input'!$F$58)*1000</f>
        <v>0</v>
      </c>
      <c r="E81" s="21">
        <f>'Multi'!$B$111/'Input'!$C$161*E$42*'LAFs'!E$229/(24*'Input'!$F$58)*1000</f>
        <v>0</v>
      </c>
      <c r="F81" s="21">
        <f>'Multi'!$B$111/'Input'!$C$161*F$42*'LAFs'!F$229/(24*'Input'!$F$58)*1000</f>
        <v>0</v>
      </c>
      <c r="G81" s="21">
        <f>'Multi'!$B$111/'Input'!$C$161*G$42*'LAFs'!G$229/(24*'Input'!$F$58)*1000</f>
        <v>0</v>
      </c>
      <c r="H81" s="21">
        <f>'Multi'!$B$111/'Input'!$C$161*H$42*'LAFs'!H$229/(24*'Input'!$F$58)*1000</f>
        <v>0</v>
      </c>
      <c r="I81" s="21">
        <f>'Multi'!$B$111/'Input'!$C$161*I$42*'LAFs'!I$229/(24*'Input'!$F$58)*1000</f>
        <v>0</v>
      </c>
      <c r="J81" s="21">
        <f>'Multi'!$B$111/'Input'!$C$161*J$42*'LAFs'!J$229/(24*'Input'!$F$58)*1000</f>
        <v>0</v>
      </c>
      <c r="K81" s="17"/>
    </row>
    <row r="82" spans="1:11">
      <c r="A82" s="4" t="s">
        <v>178</v>
      </c>
      <c r="B82" s="21">
        <f>'Multi'!$B$113/'Input'!$C$163*B$44*'LAFs'!B$231/(24*'Input'!$F$58)*1000</f>
        <v>0</v>
      </c>
      <c r="C82" s="21">
        <f>'Multi'!$B$113/'Input'!$C$163*C$44*'LAFs'!C$231/(24*'Input'!$F$58)*1000</f>
        <v>0</v>
      </c>
      <c r="D82" s="21">
        <f>'Multi'!$B$113/'Input'!$C$163*D$44*'LAFs'!D$231/(24*'Input'!$F$58)*1000</f>
        <v>0</v>
      </c>
      <c r="E82" s="21">
        <f>'Multi'!$B$113/'Input'!$C$163*E$44*'LAFs'!E$231/(24*'Input'!$F$58)*1000</f>
        <v>0</v>
      </c>
      <c r="F82" s="21">
        <f>'Multi'!$B$113/'Input'!$C$163*F$44*'LAFs'!F$231/(24*'Input'!$F$58)*1000</f>
        <v>0</v>
      </c>
      <c r="G82" s="21">
        <f>'Multi'!$B$113/'Input'!$C$163*G$44*'LAFs'!G$231/(24*'Input'!$F$58)*1000</f>
        <v>0</v>
      </c>
      <c r="H82" s="21">
        <f>'Multi'!$B$113/'Input'!$C$163*H$44*'LAFs'!H$231/(24*'Input'!$F$58)*1000</f>
        <v>0</v>
      </c>
      <c r="I82" s="21">
        <f>'Multi'!$B$113/'Input'!$C$163*I$44*'LAFs'!I$231/(24*'Input'!$F$58)*1000</f>
        <v>0</v>
      </c>
      <c r="J82" s="21">
        <f>'Multi'!$B$113/'Input'!$C$163*J$44*'LAFs'!J$231/(24*'Input'!$F$58)*1000</f>
        <v>0</v>
      </c>
      <c r="K82" s="17"/>
    </row>
    <row r="83" spans="1:11">
      <c r="A83" s="4" t="s">
        <v>179</v>
      </c>
      <c r="B83" s="21">
        <f>'Multi'!$B$114/'Input'!$C$164*B$45*'LAFs'!B$232/(24*'Input'!$F$58)*1000</f>
        <v>0</v>
      </c>
      <c r="C83" s="21">
        <f>'Multi'!$B$114/'Input'!$C$164*C$45*'LAFs'!C$232/(24*'Input'!$F$58)*1000</f>
        <v>0</v>
      </c>
      <c r="D83" s="21">
        <f>'Multi'!$B$114/'Input'!$C$164*D$45*'LAFs'!D$232/(24*'Input'!$F$58)*1000</f>
        <v>0</v>
      </c>
      <c r="E83" s="21">
        <f>'Multi'!$B$114/'Input'!$C$164*E$45*'LAFs'!E$232/(24*'Input'!$F$58)*1000</f>
        <v>0</v>
      </c>
      <c r="F83" s="21">
        <f>'Multi'!$B$114/'Input'!$C$164*F$45*'LAFs'!F$232/(24*'Input'!$F$58)*1000</f>
        <v>0</v>
      </c>
      <c r="G83" s="21">
        <f>'Multi'!$B$114/'Input'!$C$164*G$45*'LAFs'!G$232/(24*'Input'!$F$58)*1000</f>
        <v>0</v>
      </c>
      <c r="H83" s="21">
        <f>'Multi'!$B$114/'Input'!$C$164*H$45*'LAFs'!H$232/(24*'Input'!$F$58)*1000</f>
        <v>0</v>
      </c>
      <c r="I83" s="21">
        <f>'Multi'!$B$114/'Input'!$C$164*I$45*'LAFs'!I$232/(24*'Input'!$F$58)*1000</f>
        <v>0</v>
      </c>
      <c r="J83" s="21">
        <f>'Multi'!$B$114/'Input'!$C$164*J$45*'LAFs'!J$232/(24*'Input'!$F$58)*1000</f>
        <v>0</v>
      </c>
      <c r="K83" s="17"/>
    </row>
    <row r="85" spans="1:11" ht="21" customHeight="1">
      <c r="A85" s="1" t="s">
        <v>843</v>
      </c>
    </row>
    <row r="86" spans="1:11">
      <c r="A86" s="2" t="s">
        <v>351</v>
      </c>
    </row>
    <row r="87" spans="1:11">
      <c r="A87" s="33" t="s">
        <v>844</v>
      </c>
    </row>
    <row r="88" spans="1:11">
      <c r="A88" s="33" t="s">
        <v>845</v>
      </c>
    </row>
    <row r="89" spans="1:11">
      <c r="A89" s="2" t="s">
        <v>369</v>
      </c>
    </row>
    <row r="91" spans="1:11">
      <c r="B91" s="15" t="s">
        <v>142</v>
      </c>
      <c r="C91" s="15" t="s">
        <v>143</v>
      </c>
      <c r="D91" s="15" t="s">
        <v>144</v>
      </c>
      <c r="E91" s="15" t="s">
        <v>145</v>
      </c>
      <c r="F91" s="15" t="s">
        <v>146</v>
      </c>
      <c r="G91" s="15" t="s">
        <v>151</v>
      </c>
      <c r="H91" s="15" t="s">
        <v>147</v>
      </c>
      <c r="I91" s="15" t="s">
        <v>148</v>
      </c>
      <c r="J91" s="15" t="s">
        <v>149</v>
      </c>
    </row>
    <row r="92" spans="1:11">
      <c r="A92" s="4" t="s">
        <v>174</v>
      </c>
      <c r="B92" s="44">
        <f>B$78</f>
        <v>0</v>
      </c>
      <c r="C92" s="44">
        <f>C$78</f>
        <v>0</v>
      </c>
      <c r="D92" s="44">
        <f>D$78</f>
        <v>0</v>
      </c>
      <c r="E92" s="44">
        <f>E$78</f>
        <v>0</v>
      </c>
      <c r="F92" s="44">
        <f>F$78</f>
        <v>0</v>
      </c>
      <c r="G92" s="44">
        <f>G$78</f>
        <v>0</v>
      </c>
      <c r="H92" s="44">
        <f>H$78</f>
        <v>0</v>
      </c>
      <c r="I92" s="44">
        <f>I$78</f>
        <v>0</v>
      </c>
      <c r="J92" s="44">
        <f>J$78</f>
        <v>0</v>
      </c>
      <c r="K92" s="17"/>
    </row>
    <row r="93" spans="1:11">
      <c r="A93" s="4" t="s">
        <v>175</v>
      </c>
      <c r="B93" s="44">
        <f>B$79</f>
        <v>0</v>
      </c>
      <c r="C93" s="44">
        <f>C$79</f>
        <v>0</v>
      </c>
      <c r="D93" s="44">
        <f>D$79</f>
        <v>0</v>
      </c>
      <c r="E93" s="44">
        <f>E$79</f>
        <v>0</v>
      </c>
      <c r="F93" s="44">
        <f>F$79</f>
        <v>0</v>
      </c>
      <c r="G93" s="44">
        <f>G$79</f>
        <v>0</v>
      </c>
      <c r="H93" s="44">
        <f>H$79</f>
        <v>0</v>
      </c>
      <c r="I93" s="44">
        <f>I$79</f>
        <v>0</v>
      </c>
      <c r="J93" s="44">
        <f>J$79</f>
        <v>0</v>
      </c>
      <c r="K93" s="17"/>
    </row>
    <row r="94" spans="1:11">
      <c r="A94" s="4" t="s">
        <v>176</v>
      </c>
      <c r="B94" s="44">
        <f>B$80</f>
        <v>0</v>
      </c>
      <c r="C94" s="44">
        <f>C$80</f>
        <v>0</v>
      </c>
      <c r="D94" s="44">
        <f>D$80</f>
        <v>0</v>
      </c>
      <c r="E94" s="44">
        <f>E$80</f>
        <v>0</v>
      </c>
      <c r="F94" s="44">
        <f>F$80</f>
        <v>0</v>
      </c>
      <c r="G94" s="44">
        <f>G$80</f>
        <v>0</v>
      </c>
      <c r="H94" s="44">
        <f>H$80</f>
        <v>0</v>
      </c>
      <c r="I94" s="44">
        <f>I$80</f>
        <v>0</v>
      </c>
      <c r="J94" s="44">
        <f>J$80</f>
        <v>0</v>
      </c>
      <c r="K94" s="17"/>
    </row>
    <row r="95" spans="1:11">
      <c r="A95" s="4" t="s">
        <v>177</v>
      </c>
      <c r="B95" s="44">
        <f>B$81</f>
        <v>0</v>
      </c>
      <c r="C95" s="44">
        <f>C$81</f>
        <v>0</v>
      </c>
      <c r="D95" s="44">
        <f>D$81</f>
        <v>0</v>
      </c>
      <c r="E95" s="44">
        <f>E$81</f>
        <v>0</v>
      </c>
      <c r="F95" s="44">
        <f>F$81</f>
        <v>0</v>
      </c>
      <c r="G95" s="44">
        <f>G$81</f>
        <v>0</v>
      </c>
      <c r="H95" s="44">
        <f>H$81</f>
        <v>0</v>
      </c>
      <c r="I95" s="44">
        <f>I$81</f>
        <v>0</v>
      </c>
      <c r="J95" s="44">
        <f>J$81</f>
        <v>0</v>
      </c>
      <c r="K95" s="17"/>
    </row>
    <row r="96" spans="1:11">
      <c r="A96" s="4" t="s">
        <v>178</v>
      </c>
      <c r="B96" s="44">
        <f>B$82</f>
        <v>0</v>
      </c>
      <c r="C96" s="44">
        <f>C$82</f>
        <v>0</v>
      </c>
      <c r="D96" s="44">
        <f>D$82</f>
        <v>0</v>
      </c>
      <c r="E96" s="44">
        <f>E$82</f>
        <v>0</v>
      </c>
      <c r="F96" s="44">
        <f>F$82</f>
        <v>0</v>
      </c>
      <c r="G96" s="44">
        <f>G$82</f>
        <v>0</v>
      </c>
      <c r="H96" s="44">
        <f>H$82</f>
        <v>0</v>
      </c>
      <c r="I96" s="44">
        <f>I$82</f>
        <v>0</v>
      </c>
      <c r="J96" s="44">
        <f>J$82</f>
        <v>0</v>
      </c>
      <c r="K96" s="17"/>
    </row>
    <row r="97" spans="1:11">
      <c r="A97" s="4" t="s">
        <v>179</v>
      </c>
      <c r="B97" s="44">
        <f>B$83</f>
        <v>0</v>
      </c>
      <c r="C97" s="44">
        <f>C$83</f>
        <v>0</v>
      </c>
      <c r="D97" s="44">
        <f>D$83</f>
        <v>0</v>
      </c>
      <c r="E97" s="44">
        <f>E$83</f>
        <v>0</v>
      </c>
      <c r="F97" s="44">
        <f>F$83</f>
        <v>0</v>
      </c>
      <c r="G97" s="44">
        <f>G$83</f>
        <v>0</v>
      </c>
      <c r="H97" s="44">
        <f>H$83</f>
        <v>0</v>
      </c>
      <c r="I97" s="44">
        <f>I$83</f>
        <v>0</v>
      </c>
      <c r="J97" s="44">
        <f>J$83</f>
        <v>0</v>
      </c>
      <c r="K97" s="17"/>
    </row>
    <row r="98" spans="1:11">
      <c r="A98" s="4" t="s">
        <v>180</v>
      </c>
      <c r="B98" s="44">
        <f>B$64</f>
        <v>0</v>
      </c>
      <c r="C98" s="44">
        <f>C$64</f>
        <v>0</v>
      </c>
      <c r="D98" s="44">
        <f>D$64</f>
        <v>0</v>
      </c>
      <c r="E98" s="44">
        <f>E$64</f>
        <v>0</v>
      </c>
      <c r="F98" s="44">
        <f>F$64</f>
        <v>0</v>
      </c>
      <c r="G98" s="44">
        <f>G$64</f>
        <v>0</v>
      </c>
      <c r="H98" s="44">
        <f>H$64</f>
        <v>0</v>
      </c>
      <c r="I98" s="44">
        <f>I$64</f>
        <v>0</v>
      </c>
      <c r="J98" s="44">
        <f>J$64</f>
        <v>0</v>
      </c>
      <c r="K98" s="17"/>
    </row>
    <row r="99" spans="1:11">
      <c r="A99" s="4" t="s">
        <v>181</v>
      </c>
      <c r="B99" s="44">
        <f>B$65</f>
        <v>0</v>
      </c>
      <c r="C99" s="44">
        <f>C$65</f>
        <v>0</v>
      </c>
      <c r="D99" s="44">
        <f>D$65</f>
        <v>0</v>
      </c>
      <c r="E99" s="44">
        <f>E$65</f>
        <v>0</v>
      </c>
      <c r="F99" s="44">
        <f>F$65</f>
        <v>0</v>
      </c>
      <c r="G99" s="44">
        <f>G$65</f>
        <v>0</v>
      </c>
      <c r="H99" s="44">
        <f>H$65</f>
        <v>0</v>
      </c>
      <c r="I99" s="44">
        <f>I$65</f>
        <v>0</v>
      </c>
      <c r="J99" s="44">
        <f>J$65</f>
        <v>0</v>
      </c>
      <c r="K99" s="17"/>
    </row>
    <row r="100" spans="1:11">
      <c r="A100" s="4" t="s">
        <v>193</v>
      </c>
      <c r="B100" s="44">
        <f>B$66</f>
        <v>0</v>
      </c>
      <c r="C100" s="44">
        <f>C$66</f>
        <v>0</v>
      </c>
      <c r="D100" s="44">
        <f>D$66</f>
        <v>0</v>
      </c>
      <c r="E100" s="44">
        <f>E$66</f>
        <v>0</v>
      </c>
      <c r="F100" s="44">
        <f>F$66</f>
        <v>0</v>
      </c>
      <c r="G100" s="44">
        <f>G$66</f>
        <v>0</v>
      </c>
      <c r="H100" s="44">
        <f>H$66</f>
        <v>0</v>
      </c>
      <c r="I100" s="44">
        <f>I$66</f>
        <v>0</v>
      </c>
      <c r="J100" s="44">
        <f>J$66</f>
        <v>0</v>
      </c>
      <c r="K100" s="17"/>
    </row>
    <row r="102" spans="1:11" ht="21" customHeight="1">
      <c r="A102" s="1" t="s">
        <v>846</v>
      </c>
    </row>
    <row r="103" spans="1:11">
      <c r="A103" s="2" t="s">
        <v>351</v>
      </c>
    </row>
    <row r="104" spans="1:11">
      <c r="A104" s="33" t="s">
        <v>847</v>
      </c>
    </row>
    <row r="105" spans="1:11">
      <c r="A105" s="2" t="s">
        <v>821</v>
      </c>
    </row>
    <row r="107" spans="1:11">
      <c r="B107" s="15" t="s">
        <v>142</v>
      </c>
      <c r="C107" s="15" t="s">
        <v>143</v>
      </c>
      <c r="D107" s="15" t="s">
        <v>144</v>
      </c>
      <c r="E107" s="15" t="s">
        <v>145</v>
      </c>
      <c r="F107" s="15" t="s">
        <v>146</v>
      </c>
      <c r="G107" s="15" t="s">
        <v>151</v>
      </c>
      <c r="H107" s="15" t="s">
        <v>147</v>
      </c>
      <c r="I107" s="15" t="s">
        <v>148</v>
      </c>
      <c r="J107" s="15" t="s">
        <v>149</v>
      </c>
    </row>
    <row r="108" spans="1:11">
      <c r="A108" s="4" t="s">
        <v>848</v>
      </c>
      <c r="B108" s="21">
        <f>SUM(B$92:B$100)</f>
        <v>0</v>
      </c>
      <c r="C108" s="21">
        <f>SUM(C$92:C$100)</f>
        <v>0</v>
      </c>
      <c r="D108" s="21">
        <f>SUM(D$92:D$100)</f>
        <v>0</v>
      </c>
      <c r="E108" s="21">
        <f>SUM(E$92:E$100)</f>
        <v>0</v>
      </c>
      <c r="F108" s="21">
        <f>SUM(F$92:F$100)</f>
        <v>0</v>
      </c>
      <c r="G108" s="21">
        <f>SUM(G$92:G$100)</f>
        <v>0</v>
      </c>
      <c r="H108" s="21">
        <f>SUM(H$92:H$100)</f>
        <v>0</v>
      </c>
      <c r="I108" s="21">
        <f>SUM(I$92:I$100)</f>
        <v>0</v>
      </c>
      <c r="J108" s="21">
        <f>SUM(J$92:J$100)</f>
        <v>0</v>
      </c>
      <c r="K108" s="17"/>
    </row>
    <row r="110" spans="1:11" ht="21" customHeight="1">
      <c r="A110" s="1" t="s">
        <v>849</v>
      </c>
    </row>
    <row r="111" spans="1:11">
      <c r="A111" s="2" t="s">
        <v>351</v>
      </c>
    </row>
    <row r="112" spans="1:11">
      <c r="A112" s="33" t="s">
        <v>820</v>
      </c>
    </row>
    <row r="113" spans="1:11">
      <c r="A113" s="33" t="s">
        <v>850</v>
      </c>
    </row>
    <row r="114" spans="1:11">
      <c r="A114" s="2" t="s">
        <v>689</v>
      </c>
    </row>
    <row r="116" spans="1:11">
      <c r="B116" s="15" t="s">
        <v>142</v>
      </c>
      <c r="C116" s="15" t="s">
        <v>143</v>
      </c>
      <c r="D116" s="15" t="s">
        <v>144</v>
      </c>
      <c r="E116" s="15" t="s">
        <v>145</v>
      </c>
      <c r="F116" s="15" t="s">
        <v>146</v>
      </c>
      <c r="G116" s="15" t="s">
        <v>151</v>
      </c>
      <c r="H116" s="15" t="s">
        <v>147</v>
      </c>
      <c r="I116" s="15" t="s">
        <v>148</v>
      </c>
      <c r="J116" s="15" t="s">
        <v>149</v>
      </c>
    </row>
    <row r="117" spans="1:11">
      <c r="A117" s="4" t="s">
        <v>174</v>
      </c>
      <c r="B117" s="21">
        <f>'SMD'!B$101*B38</f>
        <v>0</v>
      </c>
      <c r="C117" s="21">
        <f>'SMD'!C$101*C38</f>
        <v>0</v>
      </c>
      <c r="D117" s="21">
        <f>'SMD'!D$101*D38</f>
        <v>0</v>
      </c>
      <c r="E117" s="21">
        <f>'SMD'!E$101*E38</f>
        <v>0</v>
      </c>
      <c r="F117" s="21">
        <f>'SMD'!F$101*F38</f>
        <v>0</v>
      </c>
      <c r="G117" s="21">
        <f>'SMD'!G$101*G38</f>
        <v>0</v>
      </c>
      <c r="H117" s="21">
        <f>'SMD'!H$101*H38</f>
        <v>0</v>
      </c>
      <c r="I117" s="21">
        <f>'SMD'!I$101*I38</f>
        <v>0</v>
      </c>
      <c r="J117" s="21">
        <f>'SMD'!J$101*J38</f>
        <v>0</v>
      </c>
      <c r="K117" s="17"/>
    </row>
    <row r="118" spans="1:11">
      <c r="A118" s="4" t="s">
        <v>175</v>
      </c>
      <c r="B118" s="21">
        <f>'SMD'!B$102*B39</f>
        <v>0</v>
      </c>
      <c r="C118" s="21">
        <f>'SMD'!C$102*C39</f>
        <v>0</v>
      </c>
      <c r="D118" s="21">
        <f>'SMD'!D$102*D39</f>
        <v>0</v>
      </c>
      <c r="E118" s="21">
        <f>'SMD'!E$102*E39</f>
        <v>0</v>
      </c>
      <c r="F118" s="21">
        <f>'SMD'!F$102*F39</f>
        <v>0</v>
      </c>
      <c r="G118" s="21">
        <f>'SMD'!G$102*G39</f>
        <v>0</v>
      </c>
      <c r="H118" s="21">
        <f>'SMD'!H$102*H39</f>
        <v>0</v>
      </c>
      <c r="I118" s="21">
        <f>'SMD'!I$102*I39</f>
        <v>0</v>
      </c>
      <c r="J118" s="21">
        <f>'SMD'!J$102*J39</f>
        <v>0</v>
      </c>
      <c r="K118" s="17"/>
    </row>
    <row r="119" spans="1:11">
      <c r="A119" s="4" t="s">
        <v>211</v>
      </c>
      <c r="B119" s="21">
        <f>'SMD'!B$103*B40</f>
        <v>0</v>
      </c>
      <c r="C119" s="21">
        <f>'SMD'!C$103*C40</f>
        <v>0</v>
      </c>
      <c r="D119" s="21">
        <f>'SMD'!D$103*D40</f>
        <v>0</v>
      </c>
      <c r="E119" s="21">
        <f>'SMD'!E$103*E40</f>
        <v>0</v>
      </c>
      <c r="F119" s="21">
        <f>'SMD'!F$103*F40</f>
        <v>0</v>
      </c>
      <c r="G119" s="21">
        <f>'SMD'!G$103*G40</f>
        <v>0</v>
      </c>
      <c r="H119" s="21">
        <f>'SMD'!H$103*H40</f>
        <v>0</v>
      </c>
      <c r="I119" s="21">
        <f>'SMD'!I$103*I40</f>
        <v>0</v>
      </c>
      <c r="J119" s="21">
        <f>'SMD'!J$103*J40</f>
        <v>0</v>
      </c>
      <c r="K119" s="17"/>
    </row>
    <row r="120" spans="1:11">
      <c r="A120" s="4" t="s">
        <v>176</v>
      </c>
      <c r="B120" s="21">
        <f>'SMD'!B$104*B41</f>
        <v>0</v>
      </c>
      <c r="C120" s="21">
        <f>'SMD'!C$104*C41</f>
        <v>0</v>
      </c>
      <c r="D120" s="21">
        <f>'SMD'!D$104*D41</f>
        <v>0</v>
      </c>
      <c r="E120" s="21">
        <f>'SMD'!E$104*E41</f>
        <v>0</v>
      </c>
      <c r="F120" s="21">
        <f>'SMD'!F$104*F41</f>
        <v>0</v>
      </c>
      <c r="G120" s="21">
        <f>'SMD'!G$104*G41</f>
        <v>0</v>
      </c>
      <c r="H120" s="21">
        <f>'SMD'!H$104*H41</f>
        <v>0</v>
      </c>
      <c r="I120" s="21">
        <f>'SMD'!I$104*I41</f>
        <v>0</v>
      </c>
      <c r="J120" s="21">
        <f>'SMD'!J$104*J41</f>
        <v>0</v>
      </c>
      <c r="K120" s="17"/>
    </row>
    <row r="121" spans="1:11">
      <c r="A121" s="4" t="s">
        <v>177</v>
      </c>
      <c r="B121" s="21">
        <f>'SMD'!B$105*B42</f>
        <v>0</v>
      </c>
      <c r="C121" s="21">
        <f>'SMD'!C$105*C42</f>
        <v>0</v>
      </c>
      <c r="D121" s="21">
        <f>'SMD'!D$105*D42</f>
        <v>0</v>
      </c>
      <c r="E121" s="21">
        <f>'SMD'!E$105*E42</f>
        <v>0</v>
      </c>
      <c r="F121" s="21">
        <f>'SMD'!F$105*F42</f>
        <v>0</v>
      </c>
      <c r="G121" s="21">
        <f>'SMD'!G$105*G42</f>
        <v>0</v>
      </c>
      <c r="H121" s="21">
        <f>'SMD'!H$105*H42</f>
        <v>0</v>
      </c>
      <c r="I121" s="21">
        <f>'SMD'!I$105*I42</f>
        <v>0</v>
      </c>
      <c r="J121" s="21">
        <f>'SMD'!J$105*J42</f>
        <v>0</v>
      </c>
      <c r="K121" s="17"/>
    </row>
    <row r="122" spans="1:11">
      <c r="A122" s="4" t="s">
        <v>212</v>
      </c>
      <c r="B122" s="21">
        <f>'SMD'!B$106*B43</f>
        <v>0</v>
      </c>
      <c r="C122" s="21">
        <f>'SMD'!C$106*C43</f>
        <v>0</v>
      </c>
      <c r="D122" s="21">
        <f>'SMD'!D$106*D43</f>
        <v>0</v>
      </c>
      <c r="E122" s="21">
        <f>'SMD'!E$106*E43</f>
        <v>0</v>
      </c>
      <c r="F122" s="21">
        <f>'SMD'!F$106*F43</f>
        <v>0</v>
      </c>
      <c r="G122" s="21">
        <f>'SMD'!G$106*G43</f>
        <v>0</v>
      </c>
      <c r="H122" s="21">
        <f>'SMD'!H$106*H43</f>
        <v>0</v>
      </c>
      <c r="I122" s="21">
        <f>'SMD'!I$106*I43</f>
        <v>0</v>
      </c>
      <c r="J122" s="21">
        <f>'SMD'!J$106*J43</f>
        <v>0</v>
      </c>
      <c r="K122" s="17"/>
    </row>
    <row r="123" spans="1:11">
      <c r="A123" s="4" t="s">
        <v>178</v>
      </c>
      <c r="B123" s="21">
        <f>'SMD'!B$107*B44</f>
        <v>0</v>
      </c>
      <c r="C123" s="21">
        <f>'SMD'!C$107*C44</f>
        <v>0</v>
      </c>
      <c r="D123" s="21">
        <f>'SMD'!D$107*D44</f>
        <v>0</v>
      </c>
      <c r="E123" s="21">
        <f>'SMD'!E$107*E44</f>
        <v>0</v>
      </c>
      <c r="F123" s="21">
        <f>'SMD'!F$107*F44</f>
        <v>0</v>
      </c>
      <c r="G123" s="21">
        <f>'SMD'!G$107*G44</f>
        <v>0</v>
      </c>
      <c r="H123" s="21">
        <f>'SMD'!H$107*H44</f>
        <v>0</v>
      </c>
      <c r="I123" s="21">
        <f>'SMD'!I$107*I44</f>
        <v>0</v>
      </c>
      <c r="J123" s="21">
        <f>'SMD'!J$107*J44</f>
        <v>0</v>
      </c>
      <c r="K123" s="17"/>
    </row>
    <row r="124" spans="1:11">
      <c r="A124" s="4" t="s">
        <v>179</v>
      </c>
      <c r="B124" s="21">
        <f>'SMD'!B$108*B45</f>
        <v>0</v>
      </c>
      <c r="C124" s="21">
        <f>'SMD'!C$108*C45</f>
        <v>0</v>
      </c>
      <c r="D124" s="21">
        <f>'SMD'!D$108*D45</f>
        <v>0</v>
      </c>
      <c r="E124" s="21">
        <f>'SMD'!E$108*E45</f>
        <v>0</v>
      </c>
      <c r="F124" s="21">
        <f>'SMD'!F$108*F45</f>
        <v>0</v>
      </c>
      <c r="G124" s="21">
        <f>'SMD'!G$108*G45</f>
        <v>0</v>
      </c>
      <c r="H124" s="21">
        <f>'SMD'!H$108*H45</f>
        <v>0</v>
      </c>
      <c r="I124" s="21">
        <f>'SMD'!I$108*I45</f>
        <v>0</v>
      </c>
      <c r="J124" s="21">
        <f>'SMD'!J$108*J45</f>
        <v>0</v>
      </c>
      <c r="K124" s="17"/>
    </row>
    <row r="125" spans="1:11">
      <c r="A125" s="4" t="s">
        <v>180</v>
      </c>
      <c r="B125" s="21">
        <f>'SMD'!B$109*B46</f>
        <v>0</v>
      </c>
      <c r="C125" s="21">
        <f>'SMD'!C$109*C46</f>
        <v>0</v>
      </c>
      <c r="D125" s="21">
        <f>'SMD'!D$109*D46</f>
        <v>0</v>
      </c>
      <c r="E125" s="21">
        <f>'SMD'!E$109*E46</f>
        <v>0</v>
      </c>
      <c r="F125" s="21">
        <f>'SMD'!F$109*F46</f>
        <v>0</v>
      </c>
      <c r="G125" s="21">
        <f>'SMD'!G$109*G46</f>
        <v>0</v>
      </c>
      <c r="H125" s="21">
        <f>'SMD'!H$109*H46</f>
        <v>0</v>
      </c>
      <c r="I125" s="21">
        <f>'SMD'!I$109*I46</f>
        <v>0</v>
      </c>
      <c r="J125" s="21">
        <f>'SMD'!J$109*J46</f>
        <v>0</v>
      </c>
      <c r="K125" s="17"/>
    </row>
    <row r="126" spans="1:11">
      <c r="A126" s="4" t="s">
        <v>181</v>
      </c>
      <c r="B126" s="21">
        <f>'SMD'!B$110*B47</f>
        <v>0</v>
      </c>
      <c r="C126" s="21">
        <f>'SMD'!C$110*C47</f>
        <v>0</v>
      </c>
      <c r="D126" s="21">
        <f>'SMD'!D$110*D47</f>
        <v>0</v>
      </c>
      <c r="E126" s="21">
        <f>'SMD'!E$110*E47</f>
        <v>0</v>
      </c>
      <c r="F126" s="21">
        <f>'SMD'!F$110*F47</f>
        <v>0</v>
      </c>
      <c r="G126" s="21">
        <f>'SMD'!G$110*G47</f>
        <v>0</v>
      </c>
      <c r="H126" s="21">
        <f>'SMD'!H$110*H47</f>
        <v>0</v>
      </c>
      <c r="I126" s="21">
        <f>'SMD'!I$110*I47</f>
        <v>0</v>
      </c>
      <c r="J126" s="21">
        <f>'SMD'!J$110*J47</f>
        <v>0</v>
      </c>
      <c r="K126" s="17"/>
    </row>
    <row r="127" spans="1:11">
      <c r="A127" s="4" t="s">
        <v>193</v>
      </c>
      <c r="B127" s="21">
        <f>'SMD'!B$111*B48</f>
        <v>0</v>
      </c>
      <c r="C127" s="21">
        <f>'SMD'!C$111*C48</f>
        <v>0</v>
      </c>
      <c r="D127" s="21">
        <f>'SMD'!D$111*D48</f>
        <v>0</v>
      </c>
      <c r="E127" s="21">
        <f>'SMD'!E$111*E48</f>
        <v>0</v>
      </c>
      <c r="F127" s="21">
        <f>'SMD'!F$111*F48</f>
        <v>0</v>
      </c>
      <c r="G127" s="21">
        <f>'SMD'!G$111*G48</f>
        <v>0</v>
      </c>
      <c r="H127" s="21">
        <f>'SMD'!H$111*H48</f>
        <v>0</v>
      </c>
      <c r="I127" s="21">
        <f>'SMD'!I$111*I48</f>
        <v>0</v>
      </c>
      <c r="J127" s="21">
        <f>'SMD'!J$111*J48</f>
        <v>0</v>
      </c>
      <c r="K127" s="17"/>
    </row>
    <row r="128" spans="1:11">
      <c r="A128" s="4" t="s">
        <v>213</v>
      </c>
      <c r="B128" s="21">
        <f>'SMD'!B$112*B49</f>
        <v>0</v>
      </c>
      <c r="C128" s="21">
        <f>'SMD'!C$112*C49</f>
        <v>0</v>
      </c>
      <c r="D128" s="21">
        <f>'SMD'!D$112*D49</f>
        <v>0</v>
      </c>
      <c r="E128" s="21">
        <f>'SMD'!E$112*E49</f>
        <v>0</v>
      </c>
      <c r="F128" s="21">
        <f>'SMD'!F$112*F49</f>
        <v>0</v>
      </c>
      <c r="G128" s="21">
        <f>'SMD'!G$112*G49</f>
        <v>0</v>
      </c>
      <c r="H128" s="21">
        <f>'SMD'!H$112*H49</f>
        <v>0</v>
      </c>
      <c r="I128" s="21">
        <f>'SMD'!I$112*I49</f>
        <v>0</v>
      </c>
      <c r="J128" s="21">
        <f>'SMD'!J$112*J49</f>
        <v>0</v>
      </c>
      <c r="K128" s="17"/>
    </row>
    <row r="129" spans="1:11">
      <c r="A129" s="4" t="s">
        <v>214</v>
      </c>
      <c r="B129" s="21">
        <f>'SMD'!B$113*B50</f>
        <v>0</v>
      </c>
      <c r="C129" s="21">
        <f>'SMD'!C$113*C50</f>
        <v>0</v>
      </c>
      <c r="D129" s="21">
        <f>'SMD'!D$113*D50</f>
        <v>0</v>
      </c>
      <c r="E129" s="21">
        <f>'SMD'!E$113*E50</f>
        <v>0</v>
      </c>
      <c r="F129" s="21">
        <f>'SMD'!F$113*F50</f>
        <v>0</v>
      </c>
      <c r="G129" s="21">
        <f>'SMD'!G$113*G50</f>
        <v>0</v>
      </c>
      <c r="H129" s="21">
        <f>'SMD'!H$113*H50</f>
        <v>0</v>
      </c>
      <c r="I129" s="21">
        <f>'SMD'!I$113*I50</f>
        <v>0</v>
      </c>
      <c r="J129" s="21">
        <f>'SMD'!J$113*J50</f>
        <v>0</v>
      </c>
      <c r="K129" s="17"/>
    </row>
    <row r="130" spans="1:11">
      <c r="A130" s="4" t="s">
        <v>215</v>
      </c>
      <c r="B130" s="21">
        <f>'SMD'!B$114*B51</f>
        <v>0</v>
      </c>
      <c r="C130" s="21">
        <f>'SMD'!C$114*C51</f>
        <v>0</v>
      </c>
      <c r="D130" s="21">
        <f>'SMD'!D$114*D51</f>
        <v>0</v>
      </c>
      <c r="E130" s="21">
        <f>'SMD'!E$114*E51</f>
        <v>0</v>
      </c>
      <c r="F130" s="21">
        <f>'SMD'!F$114*F51</f>
        <v>0</v>
      </c>
      <c r="G130" s="21">
        <f>'SMD'!G$114*G51</f>
        <v>0</v>
      </c>
      <c r="H130" s="21">
        <f>'SMD'!H$114*H51</f>
        <v>0</v>
      </c>
      <c r="I130" s="21">
        <f>'SMD'!I$114*I51</f>
        <v>0</v>
      </c>
      <c r="J130" s="21">
        <f>'SMD'!J$114*J51</f>
        <v>0</v>
      </c>
      <c r="K130" s="17"/>
    </row>
    <row r="131" spans="1:11">
      <c r="A131" s="4" t="s">
        <v>216</v>
      </c>
      <c r="B131" s="21">
        <f>'SMD'!B$115*B52</f>
        <v>0</v>
      </c>
      <c r="C131" s="21">
        <f>'SMD'!C$115*C52</f>
        <v>0</v>
      </c>
      <c r="D131" s="21">
        <f>'SMD'!D$115*D52</f>
        <v>0</v>
      </c>
      <c r="E131" s="21">
        <f>'SMD'!E$115*E52</f>
        <v>0</v>
      </c>
      <c r="F131" s="21">
        <f>'SMD'!F$115*F52</f>
        <v>0</v>
      </c>
      <c r="G131" s="21">
        <f>'SMD'!G$115*G52</f>
        <v>0</v>
      </c>
      <c r="H131" s="21">
        <f>'SMD'!H$115*H52</f>
        <v>0</v>
      </c>
      <c r="I131" s="21">
        <f>'SMD'!I$115*I52</f>
        <v>0</v>
      </c>
      <c r="J131" s="21">
        <f>'SMD'!J$115*J52</f>
        <v>0</v>
      </c>
      <c r="K131" s="17"/>
    </row>
    <row r="132" spans="1:11">
      <c r="A132" s="4" t="s">
        <v>217</v>
      </c>
      <c r="B132" s="21">
        <f>'SMD'!B$116*B53</f>
        <v>0</v>
      </c>
      <c r="C132" s="21">
        <f>'SMD'!C$116*C53</f>
        <v>0</v>
      </c>
      <c r="D132" s="21">
        <f>'SMD'!D$116*D53</f>
        <v>0</v>
      </c>
      <c r="E132" s="21">
        <f>'SMD'!E$116*E53</f>
        <v>0</v>
      </c>
      <c r="F132" s="21">
        <f>'SMD'!F$116*F53</f>
        <v>0</v>
      </c>
      <c r="G132" s="21">
        <f>'SMD'!G$116*G53</f>
        <v>0</v>
      </c>
      <c r="H132" s="21">
        <f>'SMD'!H$116*H53</f>
        <v>0</v>
      </c>
      <c r="I132" s="21">
        <f>'SMD'!I$116*I53</f>
        <v>0</v>
      </c>
      <c r="J132" s="21">
        <f>'SMD'!J$116*J53</f>
        <v>0</v>
      </c>
      <c r="K132" s="17"/>
    </row>
    <row r="134" spans="1:11" ht="21" customHeight="1">
      <c r="A134" s="1" t="s">
        <v>851</v>
      </c>
    </row>
    <row r="135" spans="1:11">
      <c r="A135" s="2" t="s">
        <v>351</v>
      </c>
    </row>
    <row r="136" spans="1:11">
      <c r="A136" s="33" t="s">
        <v>852</v>
      </c>
    </row>
    <row r="137" spans="1:11">
      <c r="A137" s="2" t="s">
        <v>821</v>
      </c>
    </row>
    <row r="139" spans="1:11">
      <c r="B139" s="15" t="s">
        <v>142</v>
      </c>
      <c r="C139" s="15" t="s">
        <v>143</v>
      </c>
      <c r="D139" s="15" t="s">
        <v>144</v>
      </c>
      <c r="E139" s="15" t="s">
        <v>145</v>
      </c>
      <c r="F139" s="15" t="s">
        <v>146</v>
      </c>
      <c r="G139" s="15" t="s">
        <v>151</v>
      </c>
      <c r="H139" s="15" t="s">
        <v>147</v>
      </c>
      <c r="I139" s="15" t="s">
        <v>148</v>
      </c>
      <c r="J139" s="15" t="s">
        <v>149</v>
      </c>
    </row>
    <row r="140" spans="1:11">
      <c r="A140" s="4" t="s">
        <v>853</v>
      </c>
      <c r="B140" s="21">
        <f>SUM(B$117:B$132)</f>
        <v>0</v>
      </c>
      <c r="C140" s="21">
        <f>SUM(C$117:C$132)</f>
        <v>0</v>
      </c>
      <c r="D140" s="21">
        <f>SUM(D$117:D$132)</f>
        <v>0</v>
      </c>
      <c r="E140" s="21">
        <f>SUM(E$117:E$132)</f>
        <v>0</v>
      </c>
      <c r="F140" s="21">
        <f>SUM(F$117:F$132)</f>
        <v>0</v>
      </c>
      <c r="G140" s="21">
        <f>SUM(G$117:G$132)</f>
        <v>0</v>
      </c>
      <c r="H140" s="21">
        <f>SUM(H$117:H$132)</f>
        <v>0</v>
      </c>
      <c r="I140" s="21">
        <f>SUM(I$117:I$132)</f>
        <v>0</v>
      </c>
      <c r="J140" s="21">
        <f>SUM(J$117:J$132)</f>
        <v>0</v>
      </c>
      <c r="K140" s="17"/>
    </row>
    <row r="142" spans="1:11" ht="21" customHeight="1">
      <c r="A142" s="1" t="s">
        <v>854</v>
      </c>
    </row>
    <row r="143" spans="1:11">
      <c r="A143" s="2" t="s">
        <v>351</v>
      </c>
    </row>
    <row r="144" spans="1:11">
      <c r="A144" s="33" t="s">
        <v>855</v>
      </c>
    </row>
    <row r="145" spans="1:11">
      <c r="A145" s="33" t="s">
        <v>856</v>
      </c>
    </row>
    <row r="146" spans="1:11">
      <c r="A146" s="2" t="s">
        <v>857</v>
      </c>
    </row>
    <row r="148" spans="1:11">
      <c r="B148" s="15" t="s">
        <v>149</v>
      </c>
    </row>
    <row r="149" spans="1:11">
      <c r="A149" s="4" t="s">
        <v>858</v>
      </c>
      <c r="B149" s="40">
        <f>$J108/$J140-1</f>
        <v>0</v>
      </c>
      <c r="C149" s="17"/>
    </row>
    <row r="151" spans="1:11" ht="21" customHeight="1">
      <c r="A151" s="1" t="s">
        <v>859</v>
      </c>
    </row>
    <row r="153" spans="1:11">
      <c r="B153" s="15" t="s">
        <v>142</v>
      </c>
      <c r="C153" s="15" t="s">
        <v>143</v>
      </c>
      <c r="D153" s="15" t="s">
        <v>144</v>
      </c>
      <c r="E153" s="15" t="s">
        <v>145</v>
      </c>
      <c r="F153" s="15" t="s">
        <v>146</v>
      </c>
      <c r="G153" s="15" t="s">
        <v>151</v>
      </c>
      <c r="H153" s="15" t="s">
        <v>147</v>
      </c>
      <c r="I153" s="15" t="s">
        <v>148</v>
      </c>
      <c r="J153" s="15" t="s">
        <v>149</v>
      </c>
    </row>
    <row r="154" spans="1:11">
      <c r="A154" s="4" t="s">
        <v>142</v>
      </c>
      <c r="B154" s="41">
        <v>1</v>
      </c>
      <c r="C154" s="41">
        <v>0</v>
      </c>
      <c r="D154" s="41">
        <v>0</v>
      </c>
      <c r="E154" s="41">
        <v>0</v>
      </c>
      <c r="F154" s="41">
        <v>0</v>
      </c>
      <c r="G154" s="41">
        <v>0</v>
      </c>
      <c r="H154" s="41">
        <v>0</v>
      </c>
      <c r="I154" s="41">
        <v>0</v>
      </c>
      <c r="J154" s="41">
        <v>0</v>
      </c>
      <c r="K154" s="17"/>
    </row>
    <row r="155" spans="1:11">
      <c r="A155" s="4" t="s">
        <v>143</v>
      </c>
      <c r="B155" s="41">
        <v>0</v>
      </c>
      <c r="C155" s="41">
        <v>1</v>
      </c>
      <c r="D155" s="41">
        <v>0</v>
      </c>
      <c r="E155" s="41">
        <v>0</v>
      </c>
      <c r="F155" s="41">
        <v>0</v>
      </c>
      <c r="G155" s="41">
        <v>0</v>
      </c>
      <c r="H155" s="41">
        <v>0</v>
      </c>
      <c r="I155" s="41">
        <v>0</v>
      </c>
      <c r="J155" s="41">
        <v>0</v>
      </c>
      <c r="K155" s="17"/>
    </row>
    <row r="156" spans="1:11">
      <c r="A156" s="4" t="s">
        <v>144</v>
      </c>
      <c r="B156" s="41">
        <v>0</v>
      </c>
      <c r="C156" s="41">
        <v>0</v>
      </c>
      <c r="D156" s="41">
        <v>1</v>
      </c>
      <c r="E156" s="41">
        <v>0</v>
      </c>
      <c r="F156" s="41">
        <v>0</v>
      </c>
      <c r="G156" s="41">
        <v>1</v>
      </c>
      <c r="H156" s="41">
        <v>0</v>
      </c>
      <c r="I156" s="41">
        <v>0</v>
      </c>
      <c r="J156" s="41">
        <v>0</v>
      </c>
      <c r="K156" s="17"/>
    </row>
    <row r="157" spans="1:11">
      <c r="A157" s="4" t="s">
        <v>145</v>
      </c>
      <c r="B157" s="41">
        <v>0</v>
      </c>
      <c r="C157" s="41">
        <v>0</v>
      </c>
      <c r="D157" s="41">
        <v>0</v>
      </c>
      <c r="E157" s="41">
        <v>1</v>
      </c>
      <c r="F157" s="41">
        <v>0</v>
      </c>
      <c r="G157" s="41">
        <v>0</v>
      </c>
      <c r="H157" s="41">
        <v>0</v>
      </c>
      <c r="I157" s="41">
        <v>0</v>
      </c>
      <c r="J157" s="41">
        <v>0</v>
      </c>
      <c r="K157" s="17"/>
    </row>
    <row r="158" spans="1:11">
      <c r="A158" s="4" t="s">
        <v>146</v>
      </c>
      <c r="B158" s="41">
        <v>0</v>
      </c>
      <c r="C158" s="41">
        <v>0</v>
      </c>
      <c r="D158" s="41">
        <v>0</v>
      </c>
      <c r="E158" s="41">
        <v>0</v>
      </c>
      <c r="F158" s="41">
        <v>1</v>
      </c>
      <c r="G158" s="41">
        <v>0</v>
      </c>
      <c r="H158" s="41">
        <v>0</v>
      </c>
      <c r="I158" s="41">
        <v>0</v>
      </c>
      <c r="J158" s="41">
        <v>0</v>
      </c>
      <c r="K158" s="17"/>
    </row>
    <row r="159" spans="1:11">
      <c r="A159" s="4" t="s">
        <v>147</v>
      </c>
      <c r="B159" s="41">
        <v>0</v>
      </c>
      <c r="C159" s="41">
        <v>0</v>
      </c>
      <c r="D159" s="41">
        <v>0</v>
      </c>
      <c r="E159" s="41">
        <v>0</v>
      </c>
      <c r="F159" s="41">
        <v>0</v>
      </c>
      <c r="G159" s="41">
        <v>0</v>
      </c>
      <c r="H159" s="41">
        <v>1</v>
      </c>
      <c r="I159" s="41">
        <v>0</v>
      </c>
      <c r="J159" s="41">
        <v>0</v>
      </c>
      <c r="K159" s="17"/>
    </row>
    <row r="160" spans="1:11">
      <c r="A160" s="4" t="s">
        <v>148</v>
      </c>
      <c r="B160" s="41">
        <v>0</v>
      </c>
      <c r="C160" s="41">
        <v>0</v>
      </c>
      <c r="D160" s="41">
        <v>0</v>
      </c>
      <c r="E160" s="41">
        <v>0</v>
      </c>
      <c r="F160" s="41">
        <v>0</v>
      </c>
      <c r="G160" s="41">
        <v>0</v>
      </c>
      <c r="H160" s="41">
        <v>0</v>
      </c>
      <c r="I160" s="41">
        <v>1</v>
      </c>
      <c r="J160" s="41">
        <v>0</v>
      </c>
      <c r="K160" s="17"/>
    </row>
    <row r="161" spans="1:11">
      <c r="A161" s="4" t="s">
        <v>149</v>
      </c>
      <c r="B161" s="41">
        <v>0</v>
      </c>
      <c r="C161" s="41">
        <v>0</v>
      </c>
      <c r="D161" s="41">
        <v>0</v>
      </c>
      <c r="E161" s="41">
        <v>0</v>
      </c>
      <c r="F161" s="41">
        <v>0</v>
      </c>
      <c r="G161" s="41">
        <v>0</v>
      </c>
      <c r="H161" s="41">
        <v>0</v>
      </c>
      <c r="I161" s="41">
        <v>0</v>
      </c>
      <c r="J161" s="41">
        <v>1</v>
      </c>
      <c r="K161" s="17"/>
    </row>
    <row r="163" spans="1:11" ht="21" customHeight="1">
      <c r="A163" s="1" t="s">
        <v>860</v>
      </c>
    </row>
    <row r="164" spans="1:11">
      <c r="A164" s="2" t="s">
        <v>351</v>
      </c>
    </row>
    <row r="165" spans="1:11">
      <c r="A165" s="33" t="s">
        <v>861</v>
      </c>
    </row>
    <row r="166" spans="1:11">
      <c r="A166" s="33" t="s">
        <v>862</v>
      </c>
    </row>
    <row r="167" spans="1:11">
      <c r="A167" s="2" t="s">
        <v>364</v>
      </c>
    </row>
    <row r="169" spans="1:11">
      <c r="B169" s="15" t="s">
        <v>863</v>
      </c>
    </row>
    <row r="170" spans="1:11">
      <c r="A170" s="4" t="s">
        <v>142</v>
      </c>
      <c r="B170" s="40">
        <f>SUMPRODUCT('DRM'!D$48:D$55,$B$154:$B$161)</f>
        <v>0</v>
      </c>
      <c r="C170" s="17"/>
    </row>
    <row r="171" spans="1:11">
      <c r="A171" s="4" t="s">
        <v>143</v>
      </c>
      <c r="B171" s="40">
        <f>SUMPRODUCT('DRM'!D$48:D$55,$C$154:$C$161)</f>
        <v>0</v>
      </c>
      <c r="C171" s="17"/>
    </row>
    <row r="172" spans="1:11">
      <c r="A172" s="4" t="s">
        <v>144</v>
      </c>
      <c r="B172" s="40">
        <f>SUMPRODUCT('DRM'!D$48:D$55,$D$154:$D$161)</f>
        <v>0</v>
      </c>
      <c r="C172" s="17"/>
    </row>
    <row r="173" spans="1:11">
      <c r="A173" s="4" t="s">
        <v>145</v>
      </c>
      <c r="B173" s="40">
        <f>SUMPRODUCT('DRM'!D$48:D$55,$E$154:$E$161)</f>
        <v>0</v>
      </c>
      <c r="C173" s="17"/>
    </row>
    <row r="174" spans="1:11">
      <c r="A174" s="4" t="s">
        <v>146</v>
      </c>
      <c r="B174" s="40">
        <f>SUMPRODUCT('DRM'!D$48:D$55,$F$154:$F$161)</f>
        <v>0</v>
      </c>
      <c r="C174" s="17"/>
    </row>
    <row r="175" spans="1:11">
      <c r="A175" s="4" t="s">
        <v>151</v>
      </c>
      <c r="B175" s="40">
        <f>SUMPRODUCT('DRM'!D$48:D$55,$G$154:$G$161)</f>
        <v>0</v>
      </c>
      <c r="C175" s="17"/>
    </row>
    <row r="176" spans="1:11">
      <c r="A176" s="4" t="s">
        <v>147</v>
      </c>
      <c r="B176" s="40">
        <f>SUMPRODUCT('DRM'!D$48:D$55,$H$154:$H$161)</f>
        <v>0</v>
      </c>
      <c r="C176" s="17"/>
    </row>
    <row r="177" spans="1:11">
      <c r="A177" s="4" t="s">
        <v>148</v>
      </c>
      <c r="B177" s="40">
        <f>SUMPRODUCT('DRM'!D$48:D$55,$I$154:$I$161)</f>
        <v>0</v>
      </c>
      <c r="C177" s="17"/>
    </row>
    <row r="178" spans="1:11">
      <c r="A178" s="4" t="s">
        <v>149</v>
      </c>
      <c r="B178" s="40">
        <f>SUMPRODUCT('DRM'!D$48:D$55,$J$154:$J$161)</f>
        <v>0</v>
      </c>
      <c r="C178" s="17"/>
    </row>
    <row r="180" spans="1:11" ht="21" customHeight="1">
      <c r="A180" s="1" t="s">
        <v>864</v>
      </c>
    </row>
    <row r="181" spans="1:11">
      <c r="A181" s="2" t="s">
        <v>351</v>
      </c>
    </row>
    <row r="182" spans="1:11">
      <c r="A182" s="33" t="s">
        <v>865</v>
      </c>
    </row>
    <row r="183" spans="1:11">
      <c r="A183" s="33" t="s">
        <v>866</v>
      </c>
    </row>
    <row r="184" spans="1:11">
      <c r="A184" s="2" t="s">
        <v>369</v>
      </c>
    </row>
    <row r="186" spans="1:11">
      <c r="B186" s="15" t="s">
        <v>142</v>
      </c>
      <c r="C186" s="15" t="s">
        <v>143</v>
      </c>
      <c r="D186" s="15" t="s">
        <v>144</v>
      </c>
      <c r="E186" s="15" t="s">
        <v>145</v>
      </c>
      <c r="F186" s="15" t="s">
        <v>146</v>
      </c>
      <c r="G186" s="15" t="s">
        <v>151</v>
      </c>
      <c r="H186" s="15" t="s">
        <v>147</v>
      </c>
      <c r="I186" s="15" t="s">
        <v>148</v>
      </c>
      <c r="J186" s="15" t="s">
        <v>149</v>
      </c>
    </row>
    <row r="187" spans="1:11">
      <c r="A187" s="4" t="s">
        <v>867</v>
      </c>
      <c r="B187" s="42">
        <f>$B$170</f>
        <v>0</v>
      </c>
      <c r="C187" s="42">
        <f>$B$171</f>
        <v>0</v>
      </c>
      <c r="D187" s="42">
        <f>$B$172</f>
        <v>0</v>
      </c>
      <c r="E187" s="42">
        <f>$B$173</f>
        <v>0</v>
      </c>
      <c r="F187" s="42">
        <f>$B$174</f>
        <v>0</v>
      </c>
      <c r="G187" s="42">
        <f>$B$175</f>
        <v>0</v>
      </c>
      <c r="H187" s="42">
        <f>$B$176</f>
        <v>0</v>
      </c>
      <c r="I187" s="42">
        <f>$B$177</f>
        <v>0</v>
      </c>
      <c r="J187" s="42">
        <f>$B149</f>
        <v>0</v>
      </c>
      <c r="K187" s="17"/>
    </row>
    <row r="189" spans="1:11" ht="21" customHeight="1">
      <c r="A189" s="1" t="s">
        <v>868</v>
      </c>
    </row>
    <row r="190" spans="1:11">
      <c r="A190" s="2" t="s">
        <v>351</v>
      </c>
    </row>
    <row r="191" spans="1:11">
      <c r="A191" s="33" t="s">
        <v>869</v>
      </c>
    </row>
    <row r="192" spans="1:11">
      <c r="A192" s="33" t="s">
        <v>856</v>
      </c>
    </row>
    <row r="193" spans="1:11">
      <c r="A193" s="33" t="s">
        <v>870</v>
      </c>
    </row>
    <row r="194" spans="1:11">
      <c r="A194" s="33" t="s">
        <v>871</v>
      </c>
    </row>
    <row r="195" spans="1:11">
      <c r="A195" s="2" t="s">
        <v>872</v>
      </c>
    </row>
    <row r="197" spans="1:11">
      <c r="B197" s="15" t="s">
        <v>142</v>
      </c>
      <c r="C197" s="15" t="s">
        <v>143</v>
      </c>
      <c r="D197" s="15" t="s">
        <v>144</v>
      </c>
      <c r="E197" s="15" t="s">
        <v>145</v>
      </c>
      <c r="F197" s="15" t="s">
        <v>146</v>
      </c>
      <c r="G197" s="15" t="s">
        <v>151</v>
      </c>
      <c r="H197" s="15" t="s">
        <v>147</v>
      </c>
      <c r="I197" s="15" t="s">
        <v>148</v>
      </c>
      <c r="J197" s="15" t="s">
        <v>149</v>
      </c>
    </row>
    <row r="198" spans="1:11">
      <c r="A198" s="4" t="s">
        <v>873</v>
      </c>
      <c r="B198" s="21">
        <f>'SMD'!B132-B140+B108/(1+B187)</f>
        <v>0</v>
      </c>
      <c r="C198" s="21">
        <f>'SMD'!C132-C140+C108/(1+C187)</f>
        <v>0</v>
      </c>
      <c r="D198" s="21">
        <f>'SMD'!D132-D140+D108/(1+D187)</f>
        <v>0</v>
      </c>
      <c r="E198" s="21">
        <f>'SMD'!E132-E140+E108/(1+E187)</f>
        <v>0</v>
      </c>
      <c r="F198" s="21">
        <f>'SMD'!F132-F140+F108/(1+F187)</f>
        <v>0</v>
      </c>
      <c r="G198" s="21">
        <f>'SMD'!G132-G140+G108/(1+G187)</f>
        <v>0</v>
      </c>
      <c r="H198" s="21">
        <f>'SMD'!H132-H140+H108/(1+H187)</f>
        <v>0</v>
      </c>
      <c r="I198" s="21">
        <f>'SMD'!I132-I140+I108/(1+I187)</f>
        <v>0</v>
      </c>
      <c r="J198" s="21">
        <f>'SMD'!J132-J140+J108/(1+J187)</f>
        <v>0</v>
      </c>
      <c r="K198" s="17"/>
    </row>
  </sheetData>
  <sheetProtection sheet="1" objects="1" scenarios="1"/>
  <hyperlinks>
    <hyperlink ref="A5" location="'AMD'!B12" display="x1 = Standing charges factors (in Pre-processing of data for standing charge factors)"/>
    <hyperlink ref="A6" location="'Input'!B79" display="x2 = 1018. Proportion of relevant load going through 132kV/HV direct transformation"/>
    <hyperlink ref="A7" location="'AMD'!J12" display="x3 = Standing charges factors for 132kV/HV (in Pre-processing of data for standing charge factors)"/>
    <hyperlink ref="A32" location="'AMD'!J12" display="x1 = 2601. Standing charges factors for 132kV/HV (in Pre-processing of data for standing charge factors)"/>
    <hyperlink ref="A33" location="'AMD'!K12" display="x2 = 2601. Adjusted standing charges factors for 132kV (in Pre-processing of data for standing charge factors)"/>
    <hyperlink ref="A34" location="'AMD'!B12" display="x3 = 2601. Standing charges factors (in Pre-processing of data for standing charge factors)"/>
    <hyperlink ref="A57" location="'Loads'!F279" display="x1 = 2305. Import capacity (kVA) (in Equivalent volume for each end user)"/>
    <hyperlink ref="A58" location="'Input'!E57" display="x2 = 1010. Power factor for all flows in the network model (in Financial and general assumptions)"/>
    <hyperlink ref="A59" location="'AMD'!B37" display="x3 = 2602. Standing charges factors adapted to use 132kV/HV"/>
    <hyperlink ref="A60" location="'LAFs'!B224" display="x4 = 2012. Loss adjustment factors between end user meter reading and each network level, scaled by network use"/>
    <hyperlink ref="A70" location="'Multi'!B106" display="x1 = 2407. All units (MWh)"/>
    <hyperlink ref="A71" location="'Input'!C156" display="x2 = 1041. Load factor for each type of demand user (in Load profile data for demand users)"/>
    <hyperlink ref="A72" location="'AMD'!B37" display="x3 = 2602. Standing charges factors adapted to use 132kV/HV"/>
    <hyperlink ref="A73" location="'LAFs'!B224" display="x4 = 2012. Loss adjustment factors between end user meter reading and each network level, scaled by network use"/>
    <hyperlink ref="A74" location="'Input'!F57" display="x5 = 1010. Days in the charging year (in Financial and general assumptions)"/>
    <hyperlink ref="A87" location="'AMD'!B63" display="x1 = 2603. Capacity-based contributions to chargeable aggregate maximum load by network level (kW)"/>
    <hyperlink ref="A88" location="'AMD'!B77" display="x2 = 2604. Unit-based contributions to chargeable aggregate maximum load (kW)"/>
    <hyperlink ref="A104" location="'AMD'!B91" display="x1 = 2605. Contributions to aggregate maximum load by network level (kW)"/>
    <hyperlink ref="A112" location="'SMD'!B100" display="x1 = 2505. Contributions of users on each tariff to system simultaneous maximum load by network level (kW)"/>
    <hyperlink ref="A113" location="'AMD'!B37" display="x2 = 2602. Standing charges factors adapted to use 132kV/HV"/>
    <hyperlink ref="A136" location="'AMD'!B116" display="x1 = 2607. Forecast simultaneous load subject to standing charge factors (kW)"/>
    <hyperlink ref="A144" location="'AMD'!B107" display="x1 = 2606. Forecast chargeable aggregate maximum load (kW)"/>
    <hyperlink ref="A145" location="'AMD'!B139" display="x2 = 2608. Forecast simultaneous load replaced by standing charge (kW)"/>
    <hyperlink ref="A165" location="'DRM'!D47" display="x1 = 2104. Diversity allowance between level exit and GSP Group (in Diversity calculations)"/>
    <hyperlink ref="A166" location="'AMD'!B153" display="x2 = 2610. Network level mapping for diversity allowances"/>
    <hyperlink ref="A182" location="'AMD'!B148" display="x1 = 2609. Calculated LV diversity allowance"/>
    <hyperlink ref="A183" location="'AMD'!B169" display="x2 = 2611. Diversity allowances including 132kV/HV"/>
    <hyperlink ref="A191" location="'SMD'!B131" display="x1 = 2506. Forecast system simultaneous maximum load (kW) from forecast units"/>
    <hyperlink ref="A192" location="'AMD'!B139" display="x2 = 2608. Forecast simultaneous load replaced by standing charge (kW)"/>
    <hyperlink ref="A193" location="'AMD'!B107" display="x3 = 2606. Forecast chargeable aggregate maximum load (kW)"/>
    <hyperlink ref="A194" location="'AMD'!B186" display="x4 = 2612. Diversity allowances (including calculated LV value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2</vt:i4>
      </vt:variant>
    </vt:vector>
  </HeadingPairs>
  <TitlesOfParts>
    <vt:vector size="27" baseType="lpstr">
      <vt:lpstr>Index</vt:lpstr>
      <vt:lpstr>Input</vt:lpstr>
      <vt:lpstr>LAFs</vt:lpstr>
      <vt:lpstr>DRM</vt:lpstr>
      <vt:lpstr>SM</vt:lpstr>
      <vt:lpstr>Loads</vt:lpstr>
      <vt:lpstr>Multi</vt:lpstr>
      <vt:lpstr>SMD</vt:lpstr>
      <vt:lpstr>AMD</vt:lpstr>
      <vt:lpstr>Otex</vt:lpstr>
      <vt:lpstr>Contrib</vt:lpstr>
      <vt:lpstr>Yard</vt:lpstr>
      <vt:lpstr>Standing</vt:lpstr>
      <vt:lpstr>AggCap</vt:lpstr>
      <vt:lpstr>Reactive</vt:lpstr>
      <vt:lpstr>Aggreg</vt:lpstr>
      <vt:lpstr>Revenue</vt:lpstr>
      <vt:lpstr>Scaler</vt:lpstr>
      <vt:lpstr>Adjust</vt:lpstr>
      <vt:lpstr>Tariffs</vt:lpstr>
      <vt:lpstr>Summary</vt:lpstr>
      <vt:lpstr>M-ATW</vt:lpstr>
      <vt:lpstr>M-Rev</vt:lpstr>
      <vt:lpstr>CData</vt:lpstr>
      <vt:lpstr>CTables</vt:lpstr>
      <vt:lpstr>Input!Print_Area</vt:lpstr>
      <vt:lpstr>Multi!Print_Area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2016-08-31T19:27:45Z</dcterms:created>
  <dcterms:modified xsi:type="dcterms:W3CDTF">2016-08-31T19:27:45Z</dcterms:modified>
</cp:coreProperties>
</file>