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329"/>
  <workbookPr defaultThemeVersion="124226"/>
  <mc:AlternateContent xmlns:mc="http://schemas.openxmlformats.org/markup-compatibility/2006">
    <mc:Choice Requires="x15">
      <x15ac:absPath xmlns:x15ac="http://schemas.microsoft.com/office/spreadsheetml/2010/11/ac" url="Z:\DCUSA - Model maintenance\O_Working (Shankar)\DCP 266\Sent 19Nov2016\Populated Samples\"/>
    </mc:Choice>
  </mc:AlternateContent>
  <bookViews>
    <workbookView xWindow="0" yWindow="0" windowWidth="19200" windowHeight="10545" tabRatio="880" firstSheet="6" activeTab="19"/>
  </bookViews>
  <sheets>
    <sheet name="Index" sheetId="1" r:id="rId1"/>
    <sheet name="Input" sheetId="2" r:id="rId2"/>
    <sheet name="LAFs" sheetId="3" r:id="rId3"/>
    <sheet name="DRM" sheetId="4" r:id="rId4"/>
    <sheet name="SM" sheetId="5" r:id="rId5"/>
    <sheet name="Loads" sheetId="6" r:id="rId6"/>
    <sheet name="Multi" sheetId="7" r:id="rId7"/>
    <sheet name="SMD" sheetId="8" r:id="rId8"/>
    <sheet name="AMD" sheetId="9" r:id="rId9"/>
    <sheet name="Otex" sheetId="10" r:id="rId10"/>
    <sheet name="Contrib" sheetId="11" r:id="rId11"/>
    <sheet name="Yard" sheetId="12" r:id="rId12"/>
    <sheet name="Standing" sheetId="13" r:id="rId13"/>
    <sheet name="AggCap" sheetId="14" r:id="rId14"/>
    <sheet name="Reactive" sheetId="15" r:id="rId15"/>
    <sheet name="Aggreg" sheetId="16" r:id="rId16"/>
    <sheet name="Revenue" sheetId="17" r:id="rId17"/>
    <sheet name="Scaler" sheetId="18" r:id="rId18"/>
    <sheet name="G-Calc" sheetId="19" r:id="rId19"/>
    <sheet name="G-Discounts" sheetId="20" r:id="rId20"/>
  </sheets>
  <definedNames>
    <definedName name="_xlnm._FilterDatabase" localSheetId="0" hidden="1">Index!$A$28:$C$288</definedName>
    <definedName name="_xlnm.Print_Area" localSheetId="1">Input!$A$1:$J$375</definedName>
    <definedName name="_xlnm.Print_Area" localSheetId="6">Multi!$A:$V</definedName>
  </definedNames>
  <calcPr calcId="171027" concurrentCalc="0"/>
</workbook>
</file>

<file path=xl/calcChain.xml><?xml version="1.0" encoding="utf-8"?>
<calcChain xmlns="http://schemas.openxmlformats.org/spreadsheetml/2006/main">
  <c r="F809" i="19" l="1"/>
  <c r="F810" i="19"/>
  <c r="F847" i="19"/>
  <c r="F806" i="19"/>
  <c r="F807" i="19"/>
  <c r="F846" i="19"/>
  <c r="F803" i="19"/>
  <c r="F804" i="19"/>
  <c r="F845" i="19"/>
  <c r="F800" i="19"/>
  <c r="F801" i="19"/>
  <c r="F844" i="19"/>
  <c r="F796" i="19"/>
  <c r="F797" i="19"/>
  <c r="F798" i="19"/>
  <c r="F843" i="19"/>
  <c r="F792" i="19"/>
  <c r="F793" i="19"/>
  <c r="F794" i="19"/>
  <c r="F842" i="19"/>
  <c r="F789" i="19"/>
  <c r="F790" i="19"/>
  <c r="F841" i="19"/>
  <c r="B2284" i="19"/>
  <c r="B151" i="20"/>
  <c r="F785" i="19"/>
  <c r="F786" i="19"/>
  <c r="F787" i="19"/>
  <c r="F840" i="19"/>
  <c r="F781" i="19"/>
  <c r="F782" i="19"/>
  <c r="F783" i="19"/>
  <c r="F839" i="19"/>
  <c r="B332" i="19"/>
  <c r="F777" i="19"/>
  <c r="F778" i="19"/>
  <c r="F779" i="19"/>
  <c r="F838" i="19"/>
  <c r="B328" i="19"/>
  <c r="F773" i="19"/>
  <c r="F774" i="19"/>
  <c r="F775" i="19"/>
  <c r="F837" i="19"/>
  <c r="B324" i="19"/>
  <c r="F769" i="19"/>
  <c r="F770" i="19"/>
  <c r="F771" i="19"/>
  <c r="F836" i="19"/>
  <c r="B320" i="19"/>
  <c r="F765" i="19"/>
  <c r="F766" i="19"/>
  <c r="F767" i="19"/>
  <c r="F835" i="19"/>
  <c r="B316" i="19"/>
  <c r="F762" i="19"/>
  <c r="F763" i="19"/>
  <c r="F834" i="19"/>
  <c r="F759" i="19"/>
  <c r="F760" i="19"/>
  <c r="F833" i="19"/>
  <c r="F755" i="19"/>
  <c r="F756" i="19"/>
  <c r="F757" i="19"/>
  <c r="F832" i="19"/>
  <c r="F751" i="19"/>
  <c r="F752" i="19"/>
  <c r="F753" i="19"/>
  <c r="F831" i="19"/>
  <c r="F747" i="19"/>
  <c r="F748" i="19"/>
  <c r="F749" i="19"/>
  <c r="F830" i="19"/>
  <c r="B2273" i="19"/>
  <c r="B129" i="20"/>
  <c r="F745" i="19"/>
  <c r="F829" i="19"/>
  <c r="F743" i="19"/>
  <c r="F828" i="19"/>
  <c r="B2271" i="19"/>
  <c r="B125" i="20"/>
  <c r="F739" i="19"/>
  <c r="F740" i="19"/>
  <c r="F741" i="19"/>
  <c r="F827" i="19"/>
  <c r="B2270" i="19"/>
  <c r="B123" i="20"/>
  <c r="F732" i="19"/>
  <c r="F733" i="19"/>
  <c r="F734" i="19"/>
  <c r="F735" i="19"/>
  <c r="F736" i="19"/>
  <c r="F737" i="19"/>
  <c r="F826" i="19"/>
  <c r="F728" i="19"/>
  <c r="F729" i="19"/>
  <c r="F730" i="19"/>
  <c r="F825" i="19"/>
  <c r="F721" i="19"/>
  <c r="F722" i="19"/>
  <c r="F723" i="19"/>
  <c r="F724" i="19"/>
  <c r="F725" i="19"/>
  <c r="F726" i="19"/>
  <c r="F824" i="19"/>
  <c r="F717" i="19"/>
  <c r="F718" i="19"/>
  <c r="F719" i="19"/>
  <c r="F823" i="19"/>
  <c r="B84" i="20"/>
  <c r="B83" i="20"/>
  <c r="B43" i="20"/>
  <c r="B42" i="20"/>
  <c r="B41" i="20"/>
  <c r="B37" i="20"/>
  <c r="B35" i="20"/>
  <c r="B34" i="20"/>
  <c r="B33" i="20"/>
  <c r="A1" i="20"/>
  <c r="D1647" i="19"/>
  <c r="B19" i="6"/>
  <c r="B46" i="6"/>
  <c r="B193" i="6"/>
  <c r="C193" i="6"/>
  <c r="G193" i="6"/>
  <c r="G194" i="6"/>
  <c r="G195" i="6"/>
  <c r="E302" i="6"/>
  <c r="H193" i="6"/>
  <c r="B194" i="6"/>
  <c r="H194" i="6"/>
  <c r="B195" i="6"/>
  <c r="H195" i="6"/>
  <c r="F302" i="6"/>
  <c r="D193" i="6"/>
  <c r="D194" i="6"/>
  <c r="D195" i="6"/>
  <c r="B302" i="6"/>
  <c r="E193" i="6"/>
  <c r="E194" i="6"/>
  <c r="E195" i="6"/>
  <c r="C302" i="6"/>
  <c r="F193" i="6"/>
  <c r="F194" i="6"/>
  <c r="F195" i="6"/>
  <c r="D302" i="6"/>
  <c r="I193" i="6"/>
  <c r="I194" i="6"/>
  <c r="I195" i="6"/>
  <c r="G302" i="6"/>
  <c r="C1647" i="19"/>
  <c r="D1834" i="19"/>
  <c r="B2043" i="19"/>
  <c r="B2132" i="19"/>
  <c r="B2131" i="19"/>
  <c r="B2032" i="19"/>
  <c r="B2091" i="19"/>
  <c r="B2090" i="19"/>
  <c r="B2089" i="19"/>
  <c r="B2030" i="19"/>
  <c r="B2085" i="19"/>
  <c r="B2029" i="19"/>
  <c r="B2083" i="19"/>
  <c r="B2082" i="19"/>
  <c r="B2081" i="19"/>
  <c r="B1867" i="19"/>
  <c r="B1956" i="19"/>
  <c r="B1955" i="19"/>
  <c r="B1856" i="19"/>
  <c r="B1915" i="19"/>
  <c r="B1914" i="19"/>
  <c r="B1913" i="19"/>
  <c r="B1854" i="19"/>
  <c r="B1909" i="19"/>
  <c r="B1853" i="19"/>
  <c r="B1907" i="19"/>
  <c r="B1906" i="19"/>
  <c r="B1905" i="19"/>
  <c r="B1680" i="19"/>
  <c r="B1769" i="19"/>
  <c r="B1768" i="19"/>
  <c r="B1669" i="19"/>
  <c r="B1728" i="19"/>
  <c r="B1727" i="19"/>
  <c r="B1726" i="19"/>
  <c r="B1667" i="19"/>
  <c r="B1722" i="19"/>
  <c r="B1666" i="19"/>
  <c r="B1720" i="19"/>
  <c r="B1719" i="19"/>
  <c r="B1718" i="19"/>
  <c r="B1428" i="19"/>
  <c r="B1517" i="19"/>
  <c r="B1516" i="19"/>
  <c r="B1417" i="19"/>
  <c r="B1476" i="19"/>
  <c r="B1475" i="19"/>
  <c r="B1474" i="19"/>
  <c r="B1415" i="19"/>
  <c r="B1470" i="19"/>
  <c r="B1414" i="19"/>
  <c r="B1468" i="19"/>
  <c r="B1467" i="19"/>
  <c r="B1466" i="19"/>
  <c r="B1247" i="19"/>
  <c r="B1336" i="19"/>
  <c r="B1335" i="19"/>
  <c r="B1236" i="19"/>
  <c r="B1295" i="19"/>
  <c r="B1294" i="19"/>
  <c r="B1293" i="19"/>
  <c r="B1234" i="19"/>
  <c r="B1289" i="19"/>
  <c r="B1233" i="19"/>
  <c r="B1287" i="19"/>
  <c r="B1286" i="19"/>
  <c r="B1285" i="19"/>
  <c r="B1066" i="19"/>
  <c r="B1155" i="19"/>
  <c r="B1154" i="19"/>
  <c r="B1055" i="19"/>
  <c r="B1114" i="19"/>
  <c r="B1113" i="19"/>
  <c r="B1112" i="19"/>
  <c r="B1053" i="19"/>
  <c r="B1108" i="19"/>
  <c r="B1052" i="19"/>
  <c r="B1106" i="19"/>
  <c r="B1105" i="19"/>
  <c r="B1104" i="19"/>
  <c r="B885" i="19"/>
  <c r="B974" i="19"/>
  <c r="B973" i="19"/>
  <c r="B874" i="19"/>
  <c r="B933" i="19"/>
  <c r="B932" i="19"/>
  <c r="B931" i="19"/>
  <c r="B872" i="19"/>
  <c r="B927" i="19"/>
  <c r="B871" i="19"/>
  <c r="B925" i="19"/>
  <c r="B924" i="19"/>
  <c r="B923" i="19"/>
  <c r="E442" i="18"/>
  <c r="E179" i="19"/>
  <c r="B360" i="19"/>
  <c r="F442" i="18"/>
  <c r="F179" i="19"/>
  <c r="B442" i="18"/>
  <c r="B179" i="19"/>
  <c r="C442" i="18"/>
  <c r="C179" i="19"/>
  <c r="D442" i="18"/>
  <c r="D179" i="19"/>
  <c r="G442" i="18"/>
  <c r="G179" i="19"/>
  <c r="E495" i="19"/>
  <c r="E809" i="19"/>
  <c r="E496" i="19"/>
  <c r="E810" i="19"/>
  <c r="E847" i="19"/>
  <c r="B12" i="4"/>
  <c r="B132" i="5"/>
  <c r="K155" i="16"/>
  <c r="B57" i="5"/>
  <c r="C92" i="5"/>
  <c r="C132" i="5"/>
  <c r="L155" i="16"/>
  <c r="B243" i="6"/>
  <c r="D243" i="6"/>
  <c r="D244" i="6"/>
  <c r="D245" i="6"/>
  <c r="B316" i="6"/>
  <c r="E243" i="6"/>
  <c r="B244" i="6"/>
  <c r="E244" i="6"/>
  <c r="B245" i="6"/>
  <c r="E245" i="6"/>
  <c r="C316" i="6"/>
  <c r="F243" i="6"/>
  <c r="F244" i="6"/>
  <c r="F245" i="6"/>
  <c r="D316" i="6"/>
  <c r="B133" i="7"/>
  <c r="B28" i="10"/>
  <c r="D247" i="6"/>
  <c r="D248" i="6"/>
  <c r="D249" i="6"/>
  <c r="B317" i="6"/>
  <c r="E247" i="6"/>
  <c r="E248" i="6"/>
  <c r="E249" i="6"/>
  <c r="C317" i="6"/>
  <c r="F247" i="6"/>
  <c r="F248" i="6"/>
  <c r="F249" i="6"/>
  <c r="D317" i="6"/>
  <c r="B134" i="7"/>
  <c r="B29" i="10"/>
  <c r="D251" i="6"/>
  <c r="D252" i="6"/>
  <c r="D253" i="6"/>
  <c r="B318" i="6"/>
  <c r="E251" i="6"/>
  <c r="E252" i="6"/>
  <c r="E253" i="6"/>
  <c r="C318" i="6"/>
  <c r="F251" i="6"/>
  <c r="F252" i="6"/>
  <c r="F253" i="6"/>
  <c r="D318" i="6"/>
  <c r="B135" i="7"/>
  <c r="B30" i="10"/>
  <c r="D255" i="6"/>
  <c r="D256" i="6"/>
  <c r="D257" i="6"/>
  <c r="B319" i="6"/>
  <c r="E255" i="6"/>
  <c r="E256" i="6"/>
  <c r="E257" i="6"/>
  <c r="C319" i="6"/>
  <c r="F255" i="6"/>
  <c r="F256" i="6"/>
  <c r="F257" i="6"/>
  <c r="D319" i="6"/>
  <c r="B136" i="7"/>
  <c r="B31" i="10"/>
  <c r="D259" i="6"/>
  <c r="D260" i="6"/>
  <c r="D261" i="6"/>
  <c r="B320" i="6"/>
  <c r="E259" i="6"/>
  <c r="E260" i="6"/>
  <c r="E261" i="6"/>
  <c r="C320" i="6"/>
  <c r="F259" i="6"/>
  <c r="F260" i="6"/>
  <c r="F261" i="6"/>
  <c r="D320" i="6"/>
  <c r="B137" i="7"/>
  <c r="B32" i="10"/>
  <c r="B40" i="10"/>
  <c r="D56" i="10"/>
  <c r="E56" i="10"/>
  <c r="F139" i="19"/>
  <c r="F93" i="19"/>
  <c r="F47" i="19"/>
  <c r="E441" i="18"/>
  <c r="E178" i="19"/>
  <c r="B357" i="19"/>
  <c r="F441" i="18"/>
  <c r="F178" i="19"/>
  <c r="B441" i="18"/>
  <c r="B178" i="19"/>
  <c r="C441" i="18"/>
  <c r="C178" i="19"/>
  <c r="D441" i="18"/>
  <c r="D178" i="19"/>
  <c r="G441" i="18"/>
  <c r="G178" i="19"/>
  <c r="E492" i="19"/>
  <c r="E806" i="19"/>
  <c r="E493" i="19"/>
  <c r="E807" i="19"/>
  <c r="E846" i="19"/>
  <c r="B131" i="5"/>
  <c r="K154" i="16"/>
  <c r="B56" i="5"/>
  <c r="C91" i="5"/>
  <c r="C131" i="5"/>
  <c r="L154" i="16"/>
  <c r="F138" i="19"/>
  <c r="B190" i="3"/>
  <c r="B226" i="3"/>
  <c r="F92" i="19"/>
  <c r="F46" i="19"/>
  <c r="E440" i="18"/>
  <c r="E177" i="19"/>
  <c r="B354" i="19"/>
  <c r="F440" i="18"/>
  <c r="F177" i="19"/>
  <c r="B440" i="18"/>
  <c r="B177" i="19"/>
  <c r="C440" i="18"/>
  <c r="C177" i="19"/>
  <c r="D440" i="18"/>
  <c r="D177" i="19"/>
  <c r="G440" i="18"/>
  <c r="G177" i="19"/>
  <c r="E489" i="19"/>
  <c r="E803" i="19"/>
  <c r="E490" i="19"/>
  <c r="E804" i="19"/>
  <c r="E845" i="19"/>
  <c r="E439" i="18"/>
  <c r="E176" i="19"/>
  <c r="B351" i="19"/>
  <c r="F439" i="18"/>
  <c r="F176" i="19"/>
  <c r="B439" i="18"/>
  <c r="B176" i="19"/>
  <c r="C439" i="18"/>
  <c r="C176" i="19"/>
  <c r="D439" i="18"/>
  <c r="D176" i="19"/>
  <c r="G439" i="18"/>
  <c r="G176" i="19"/>
  <c r="E486" i="19"/>
  <c r="E800" i="19"/>
  <c r="E487" i="19"/>
  <c r="E801" i="19"/>
  <c r="E844" i="19"/>
  <c r="E438" i="18"/>
  <c r="E175" i="19"/>
  <c r="B347" i="19"/>
  <c r="F438" i="18"/>
  <c r="F175" i="19"/>
  <c r="B438" i="18"/>
  <c r="B175" i="19"/>
  <c r="C438" i="18"/>
  <c r="C175" i="19"/>
  <c r="D438" i="18"/>
  <c r="D175" i="19"/>
  <c r="G438" i="18"/>
  <c r="G175" i="19"/>
  <c r="E482" i="19"/>
  <c r="E796" i="19"/>
  <c r="E483" i="19"/>
  <c r="E797" i="19"/>
  <c r="E484" i="19"/>
  <c r="E798" i="19"/>
  <c r="E843" i="19"/>
  <c r="E437" i="18"/>
  <c r="E174" i="19"/>
  <c r="B343" i="19"/>
  <c r="F437" i="18"/>
  <c r="F174" i="19"/>
  <c r="B437" i="18"/>
  <c r="B174" i="19"/>
  <c r="C437" i="18"/>
  <c r="C174" i="19"/>
  <c r="D437" i="18"/>
  <c r="D174" i="19"/>
  <c r="G437" i="18"/>
  <c r="G174" i="19"/>
  <c r="E478" i="19"/>
  <c r="E792" i="19"/>
  <c r="E479" i="19"/>
  <c r="E793" i="19"/>
  <c r="E480" i="19"/>
  <c r="E794" i="19"/>
  <c r="E842" i="19"/>
  <c r="E436" i="18"/>
  <c r="E173" i="19"/>
  <c r="B340" i="19"/>
  <c r="F436" i="18"/>
  <c r="F173" i="19"/>
  <c r="B436" i="18"/>
  <c r="B173" i="19"/>
  <c r="C436" i="18"/>
  <c r="C173" i="19"/>
  <c r="D436" i="18"/>
  <c r="D173" i="19"/>
  <c r="G436" i="18"/>
  <c r="G173" i="19"/>
  <c r="E475" i="19"/>
  <c r="E789" i="19"/>
  <c r="E476" i="19"/>
  <c r="E790" i="19"/>
  <c r="E841" i="19"/>
  <c r="E435" i="18"/>
  <c r="E172" i="19"/>
  <c r="B336" i="19"/>
  <c r="F435" i="18"/>
  <c r="F172" i="19"/>
  <c r="B435" i="18"/>
  <c r="B172" i="19"/>
  <c r="C435" i="18"/>
  <c r="C172" i="19"/>
  <c r="D435" i="18"/>
  <c r="D172" i="19"/>
  <c r="G435" i="18"/>
  <c r="G172" i="19"/>
  <c r="E471" i="19"/>
  <c r="E785" i="19"/>
  <c r="E472" i="19"/>
  <c r="E786" i="19"/>
  <c r="E473" i="19"/>
  <c r="E787" i="19"/>
  <c r="E840" i="19"/>
  <c r="B37" i="6"/>
  <c r="B64" i="6"/>
  <c r="E131" i="19"/>
  <c r="F131" i="19"/>
  <c r="E85" i="19"/>
  <c r="F85" i="19"/>
  <c r="E39" i="19"/>
  <c r="F39" i="19"/>
  <c r="B36" i="6"/>
  <c r="B63" i="6"/>
  <c r="E130" i="19"/>
  <c r="F130" i="19"/>
  <c r="E84" i="19"/>
  <c r="F84" i="19"/>
  <c r="E38" i="19"/>
  <c r="F38" i="19"/>
  <c r="B35" i="6"/>
  <c r="B62" i="6"/>
  <c r="E129" i="19"/>
  <c r="F129" i="19"/>
  <c r="E83" i="19"/>
  <c r="F83" i="19"/>
  <c r="E37" i="19"/>
  <c r="F37" i="19"/>
  <c r="B34" i="6"/>
  <c r="B61" i="6"/>
  <c r="E128" i="19"/>
  <c r="F128" i="19"/>
  <c r="E82" i="19"/>
  <c r="F82" i="19"/>
  <c r="E36" i="19"/>
  <c r="F36" i="19"/>
  <c r="B33" i="6"/>
  <c r="B60" i="6"/>
  <c r="E127" i="19"/>
  <c r="F127" i="19"/>
  <c r="E81" i="19"/>
  <c r="F81" i="19"/>
  <c r="E35" i="19"/>
  <c r="F35" i="19"/>
  <c r="B32" i="6"/>
  <c r="B59" i="6"/>
  <c r="B313" i="19"/>
  <c r="B36" i="12"/>
  <c r="B65" i="13"/>
  <c r="B23" i="15"/>
  <c r="B35" i="15"/>
  <c r="B211" i="16"/>
  <c r="C35" i="15"/>
  <c r="C211" i="16"/>
  <c r="D35" i="15"/>
  <c r="D211" i="16"/>
  <c r="E35" i="15"/>
  <c r="E211" i="16"/>
  <c r="F35" i="15"/>
  <c r="F211" i="16"/>
  <c r="G35" i="15"/>
  <c r="G211" i="16"/>
  <c r="H35" i="15"/>
  <c r="H211" i="16"/>
  <c r="I35" i="15"/>
  <c r="I211" i="16"/>
  <c r="J35" i="15"/>
  <c r="J211" i="16"/>
  <c r="K35" i="15"/>
  <c r="M211" i="16"/>
  <c r="L35" i="15"/>
  <c r="N211" i="16"/>
  <c r="M35" i="15"/>
  <c r="O211" i="16"/>
  <c r="N35" i="15"/>
  <c r="P211" i="16"/>
  <c r="O35" i="15"/>
  <c r="Q211" i="16"/>
  <c r="P35" i="15"/>
  <c r="R211" i="16"/>
  <c r="Q35" i="15"/>
  <c r="S211" i="16"/>
  <c r="R35" i="15"/>
  <c r="T211" i="16"/>
  <c r="S35" i="15"/>
  <c r="U211" i="16"/>
  <c r="G47" i="18"/>
  <c r="B119" i="5"/>
  <c r="K142" i="16"/>
  <c r="B55" i="5"/>
  <c r="C79" i="5"/>
  <c r="C119" i="5"/>
  <c r="L142" i="16"/>
  <c r="B54" i="9"/>
  <c r="B178" i="3"/>
  <c r="B214" i="3"/>
  <c r="B31" i="6"/>
  <c r="B58" i="6"/>
  <c r="B310" i="19"/>
  <c r="B35" i="12"/>
  <c r="B64" i="13"/>
  <c r="B22" i="15"/>
  <c r="B34" i="15"/>
  <c r="B210" i="16"/>
  <c r="C34" i="15"/>
  <c r="C210" i="16"/>
  <c r="D34" i="15"/>
  <c r="D210" i="16"/>
  <c r="E34" i="15"/>
  <c r="E210" i="16"/>
  <c r="F34" i="15"/>
  <c r="F210" i="16"/>
  <c r="G34" i="15"/>
  <c r="G210" i="16"/>
  <c r="H34" i="15"/>
  <c r="H210" i="16"/>
  <c r="I34" i="15"/>
  <c r="I210" i="16"/>
  <c r="J34" i="15"/>
  <c r="J210" i="16"/>
  <c r="K34" i="15"/>
  <c r="M210" i="16"/>
  <c r="L34" i="15"/>
  <c r="N210" i="16"/>
  <c r="M34" i="15"/>
  <c r="O210" i="16"/>
  <c r="N34" i="15"/>
  <c r="P210" i="16"/>
  <c r="O34" i="15"/>
  <c r="Q210" i="16"/>
  <c r="P34" i="15"/>
  <c r="R210" i="16"/>
  <c r="Q34" i="15"/>
  <c r="S210" i="16"/>
  <c r="R34" i="15"/>
  <c r="T210" i="16"/>
  <c r="S34" i="15"/>
  <c r="U210" i="16"/>
  <c r="G46" i="18"/>
  <c r="B30" i="6"/>
  <c r="B57" i="6"/>
  <c r="B306" i="19"/>
  <c r="B34" i="12"/>
  <c r="B63" i="13"/>
  <c r="B21" i="15"/>
  <c r="B33" i="15"/>
  <c r="B209" i="16"/>
  <c r="C33" i="15"/>
  <c r="C209" i="16"/>
  <c r="D33" i="15"/>
  <c r="D209" i="16"/>
  <c r="E33" i="15"/>
  <c r="E209" i="16"/>
  <c r="F33" i="15"/>
  <c r="F209" i="16"/>
  <c r="G33" i="15"/>
  <c r="G209" i="16"/>
  <c r="H33" i="15"/>
  <c r="H209" i="16"/>
  <c r="I33" i="15"/>
  <c r="I209" i="16"/>
  <c r="J33" i="15"/>
  <c r="J209" i="16"/>
  <c r="K33" i="15"/>
  <c r="M209" i="16"/>
  <c r="L33" i="15"/>
  <c r="N209" i="16"/>
  <c r="M33" i="15"/>
  <c r="O209" i="16"/>
  <c r="N33" i="15"/>
  <c r="P209" i="16"/>
  <c r="O33" i="15"/>
  <c r="Q209" i="16"/>
  <c r="P33" i="15"/>
  <c r="R209" i="16"/>
  <c r="Q33" i="15"/>
  <c r="S209" i="16"/>
  <c r="R33" i="15"/>
  <c r="T209" i="16"/>
  <c r="S33" i="15"/>
  <c r="U209" i="16"/>
  <c r="G45" i="18"/>
  <c r="B29" i="6"/>
  <c r="B56" i="6"/>
  <c r="B302" i="19"/>
  <c r="B28" i="6"/>
  <c r="B55" i="6"/>
  <c r="B298" i="19"/>
  <c r="B27" i="6"/>
  <c r="B54" i="6"/>
  <c r="B296" i="19"/>
  <c r="B26" i="6"/>
  <c r="B53" i="6"/>
  <c r="B294" i="19"/>
  <c r="B25" i="6"/>
  <c r="B52" i="6"/>
  <c r="B290" i="19"/>
  <c r="B23" i="6"/>
  <c r="B50" i="6"/>
  <c r="B282" i="19"/>
  <c r="B22" i="6"/>
  <c r="B49" i="6"/>
  <c r="B278" i="19"/>
  <c r="B20" i="6"/>
  <c r="B47" i="6"/>
  <c r="B270" i="19"/>
  <c r="B266" i="19"/>
  <c r="B334" i="19"/>
  <c r="B333" i="19"/>
  <c r="B330" i="19"/>
  <c r="B329" i="19"/>
  <c r="B326" i="19"/>
  <c r="B325" i="19"/>
  <c r="B322" i="19"/>
  <c r="B321" i="19"/>
  <c r="B318" i="19"/>
  <c r="B317" i="19"/>
  <c r="B314" i="19"/>
  <c r="B311" i="19"/>
  <c r="B308" i="19"/>
  <c r="B307" i="19"/>
  <c r="B304" i="19"/>
  <c r="B303" i="19"/>
  <c r="B300" i="19"/>
  <c r="B299" i="19"/>
  <c r="B292" i="19"/>
  <c r="B291" i="19"/>
  <c r="B24" i="6"/>
  <c r="B51" i="6"/>
  <c r="B288" i="19"/>
  <c r="E118" i="19"/>
  <c r="F118" i="19"/>
  <c r="B46" i="9"/>
  <c r="E72" i="19"/>
  <c r="F72" i="19"/>
  <c r="E26" i="19"/>
  <c r="F26" i="19"/>
  <c r="B287" i="19"/>
  <c r="B286" i="19"/>
  <c r="B284" i="19"/>
  <c r="B283" i="19"/>
  <c r="B280" i="19"/>
  <c r="B279" i="19"/>
  <c r="B21" i="6"/>
  <c r="B48" i="6"/>
  <c r="B276" i="19"/>
  <c r="E115" i="19"/>
  <c r="F115" i="19"/>
  <c r="B43" i="9"/>
  <c r="E69" i="19"/>
  <c r="F69" i="19"/>
  <c r="E23" i="19"/>
  <c r="F23" i="19"/>
  <c r="B275" i="19"/>
  <c r="B274" i="19"/>
  <c r="B272" i="19"/>
  <c r="B271" i="19"/>
  <c r="B268" i="19"/>
  <c r="B267" i="19"/>
  <c r="F598" i="19"/>
  <c r="E598" i="19"/>
  <c r="D598" i="19"/>
  <c r="C598" i="19"/>
  <c r="B598" i="19"/>
  <c r="F597" i="19"/>
  <c r="E597" i="19"/>
  <c r="D597" i="19"/>
  <c r="C597" i="19"/>
  <c r="B597" i="19"/>
  <c r="F595" i="19"/>
  <c r="E595" i="19"/>
  <c r="D595" i="19"/>
  <c r="C595" i="19"/>
  <c r="B595" i="19"/>
  <c r="F594" i="19"/>
  <c r="E594" i="19"/>
  <c r="D594" i="19"/>
  <c r="C594" i="19"/>
  <c r="B594" i="19"/>
  <c r="F592" i="19"/>
  <c r="E592" i="19"/>
  <c r="D592" i="19"/>
  <c r="C592" i="19"/>
  <c r="B592" i="19"/>
  <c r="F591" i="19"/>
  <c r="E591" i="19"/>
  <c r="D591" i="19"/>
  <c r="C591" i="19"/>
  <c r="B591" i="19"/>
  <c r="F589" i="19"/>
  <c r="E589" i="19"/>
  <c r="D589" i="19"/>
  <c r="C589" i="19"/>
  <c r="B589" i="19"/>
  <c r="F588" i="19"/>
  <c r="E588" i="19"/>
  <c r="D588" i="19"/>
  <c r="C588" i="19"/>
  <c r="B588" i="19"/>
  <c r="F586" i="19"/>
  <c r="E586" i="19"/>
  <c r="D586" i="19"/>
  <c r="C586" i="19"/>
  <c r="B586" i="19"/>
  <c r="F585" i="19"/>
  <c r="E585" i="19"/>
  <c r="D585" i="19"/>
  <c r="C585" i="19"/>
  <c r="B585" i="19"/>
  <c r="F584" i="19"/>
  <c r="E584" i="19"/>
  <c r="D584" i="19"/>
  <c r="C584" i="19"/>
  <c r="B584" i="19"/>
  <c r="F582" i="19"/>
  <c r="E582" i="19"/>
  <c r="D582" i="19"/>
  <c r="C582" i="19"/>
  <c r="B582" i="19"/>
  <c r="F581" i="19"/>
  <c r="E581" i="19"/>
  <c r="D581" i="19"/>
  <c r="C581" i="19"/>
  <c r="B581" i="19"/>
  <c r="F580" i="19"/>
  <c r="E580" i="19"/>
  <c r="D580" i="19"/>
  <c r="C580" i="19"/>
  <c r="B580" i="19"/>
  <c r="F578" i="19"/>
  <c r="E578" i="19"/>
  <c r="D578" i="19"/>
  <c r="C578" i="19"/>
  <c r="B578" i="19"/>
  <c r="F577" i="19"/>
  <c r="E577" i="19"/>
  <c r="D577" i="19"/>
  <c r="C577" i="19"/>
  <c r="B577" i="19"/>
  <c r="F575" i="19"/>
  <c r="E575" i="19"/>
  <c r="D575" i="19"/>
  <c r="C575" i="19"/>
  <c r="B575" i="19"/>
  <c r="F574" i="19"/>
  <c r="E574" i="19"/>
  <c r="D574" i="19"/>
  <c r="C574" i="19"/>
  <c r="B574" i="19"/>
  <c r="F573" i="19"/>
  <c r="E573" i="19"/>
  <c r="D573" i="19"/>
  <c r="C573" i="19"/>
  <c r="B573" i="19"/>
  <c r="F571" i="19"/>
  <c r="E571" i="19"/>
  <c r="D571" i="19"/>
  <c r="C571" i="19"/>
  <c r="B571" i="19"/>
  <c r="F570" i="19"/>
  <c r="E570" i="19"/>
  <c r="D570" i="19"/>
  <c r="C570" i="19"/>
  <c r="B570" i="19"/>
  <c r="F569" i="19"/>
  <c r="E569" i="19"/>
  <c r="D569" i="19"/>
  <c r="C569" i="19"/>
  <c r="B569" i="19"/>
  <c r="F567" i="19"/>
  <c r="E567" i="19"/>
  <c r="D567" i="19"/>
  <c r="C567" i="19"/>
  <c r="B567" i="19"/>
  <c r="F566" i="19"/>
  <c r="E566" i="19"/>
  <c r="D566" i="19"/>
  <c r="C566" i="19"/>
  <c r="B566" i="19"/>
  <c r="F565" i="19"/>
  <c r="E565" i="19"/>
  <c r="D565" i="19"/>
  <c r="C565" i="19"/>
  <c r="B565" i="19"/>
  <c r="F563" i="19"/>
  <c r="E563" i="19"/>
  <c r="D563" i="19"/>
  <c r="C563" i="19"/>
  <c r="B563" i="19"/>
  <c r="F562" i="19"/>
  <c r="E562" i="19"/>
  <c r="D562" i="19"/>
  <c r="C562" i="19"/>
  <c r="B562" i="19"/>
  <c r="F561" i="19"/>
  <c r="E561" i="19"/>
  <c r="D561" i="19"/>
  <c r="C561" i="19"/>
  <c r="B561" i="19"/>
  <c r="F559" i="19"/>
  <c r="E559" i="19"/>
  <c r="D559" i="19"/>
  <c r="C559" i="19"/>
  <c r="B559" i="19"/>
  <c r="F558" i="19"/>
  <c r="E558" i="19"/>
  <c r="D558" i="19"/>
  <c r="C558" i="19"/>
  <c r="B558" i="19"/>
  <c r="F557" i="19"/>
  <c r="E557" i="19"/>
  <c r="D557" i="19"/>
  <c r="C557" i="19"/>
  <c r="B557" i="19"/>
  <c r="F555" i="19"/>
  <c r="E555" i="19"/>
  <c r="D555" i="19"/>
  <c r="C555" i="19"/>
  <c r="B555" i="19"/>
  <c r="F554" i="19"/>
  <c r="E554" i="19"/>
  <c r="D554" i="19"/>
  <c r="C554" i="19"/>
  <c r="B554" i="19"/>
  <c r="F553" i="19"/>
  <c r="E553" i="19"/>
  <c r="D553" i="19"/>
  <c r="C553" i="19"/>
  <c r="B553" i="19"/>
  <c r="F551" i="19"/>
  <c r="E551" i="19"/>
  <c r="D551" i="19"/>
  <c r="C551" i="19"/>
  <c r="B551" i="19"/>
  <c r="F550" i="19"/>
  <c r="E550" i="19"/>
  <c r="D550" i="19"/>
  <c r="C550" i="19"/>
  <c r="B550" i="19"/>
  <c r="F548" i="19"/>
  <c r="E548" i="19"/>
  <c r="D548" i="19"/>
  <c r="C548" i="19"/>
  <c r="B548" i="19"/>
  <c r="F547" i="19"/>
  <c r="E547" i="19"/>
  <c r="D547" i="19"/>
  <c r="C547" i="19"/>
  <c r="B547" i="19"/>
  <c r="F545" i="19"/>
  <c r="E545" i="19"/>
  <c r="D545" i="19"/>
  <c r="C545" i="19"/>
  <c r="B545" i="19"/>
  <c r="F544" i="19"/>
  <c r="E544" i="19"/>
  <c r="D544" i="19"/>
  <c r="C544" i="19"/>
  <c r="B544" i="19"/>
  <c r="F543" i="19"/>
  <c r="E543" i="19"/>
  <c r="D543" i="19"/>
  <c r="C543" i="19"/>
  <c r="B543" i="19"/>
  <c r="F541" i="19"/>
  <c r="E541" i="19"/>
  <c r="D541" i="19"/>
  <c r="C541" i="19"/>
  <c r="B541" i="19"/>
  <c r="F540" i="19"/>
  <c r="E540" i="19"/>
  <c r="D540" i="19"/>
  <c r="C540" i="19"/>
  <c r="B540" i="19"/>
  <c r="F539" i="19"/>
  <c r="E539" i="19"/>
  <c r="D539" i="19"/>
  <c r="C539" i="19"/>
  <c r="B539" i="19"/>
  <c r="F537" i="19"/>
  <c r="E537" i="19"/>
  <c r="D537" i="19"/>
  <c r="C537" i="19"/>
  <c r="B537" i="19"/>
  <c r="F536" i="19"/>
  <c r="E536" i="19"/>
  <c r="D536" i="19"/>
  <c r="C536" i="19"/>
  <c r="B536" i="19"/>
  <c r="F535" i="19"/>
  <c r="E535" i="19"/>
  <c r="D535" i="19"/>
  <c r="C535" i="19"/>
  <c r="B535" i="19"/>
  <c r="F533" i="19"/>
  <c r="E533" i="19"/>
  <c r="D533" i="19"/>
  <c r="C533" i="19"/>
  <c r="B533" i="19"/>
  <c r="F531" i="19"/>
  <c r="E531" i="19"/>
  <c r="D531" i="19"/>
  <c r="C531" i="19"/>
  <c r="B531" i="19"/>
  <c r="F529" i="19"/>
  <c r="E529" i="19"/>
  <c r="D529" i="19"/>
  <c r="C529" i="19"/>
  <c r="B529" i="19"/>
  <c r="F528" i="19"/>
  <c r="E528" i="19"/>
  <c r="D528" i="19"/>
  <c r="C528" i="19"/>
  <c r="B528" i="19"/>
  <c r="F527" i="19"/>
  <c r="E527" i="19"/>
  <c r="D527" i="19"/>
  <c r="C527" i="19"/>
  <c r="B527" i="19"/>
  <c r="F525" i="19"/>
  <c r="E525" i="19"/>
  <c r="D525" i="19"/>
  <c r="C525" i="19"/>
  <c r="B525" i="19"/>
  <c r="F524" i="19"/>
  <c r="E524" i="19"/>
  <c r="D524" i="19"/>
  <c r="C524" i="19"/>
  <c r="B524" i="19"/>
  <c r="F523" i="19"/>
  <c r="E523" i="19"/>
  <c r="D523" i="19"/>
  <c r="C523" i="19"/>
  <c r="B523" i="19"/>
  <c r="F522" i="19"/>
  <c r="E522" i="19"/>
  <c r="D522" i="19"/>
  <c r="C522" i="19"/>
  <c r="B522" i="19"/>
  <c r="F521" i="19"/>
  <c r="E521" i="19"/>
  <c r="D521" i="19"/>
  <c r="C521" i="19"/>
  <c r="B521" i="19"/>
  <c r="F520" i="19"/>
  <c r="E520" i="19"/>
  <c r="D520" i="19"/>
  <c r="C520" i="19"/>
  <c r="B520" i="19"/>
  <c r="F518" i="19"/>
  <c r="E518" i="19"/>
  <c r="D518" i="19"/>
  <c r="C518" i="19"/>
  <c r="B518" i="19"/>
  <c r="F517" i="19"/>
  <c r="E517" i="19"/>
  <c r="D517" i="19"/>
  <c r="C517" i="19"/>
  <c r="B517" i="19"/>
  <c r="F516" i="19"/>
  <c r="E516" i="19"/>
  <c r="D516" i="19"/>
  <c r="C516" i="19"/>
  <c r="B516" i="19"/>
  <c r="F514" i="19"/>
  <c r="E514" i="19"/>
  <c r="D514" i="19"/>
  <c r="C514" i="19"/>
  <c r="B514" i="19"/>
  <c r="F513" i="19"/>
  <c r="E513" i="19"/>
  <c r="D513" i="19"/>
  <c r="C513" i="19"/>
  <c r="B513" i="19"/>
  <c r="F512" i="19"/>
  <c r="E512" i="19"/>
  <c r="D512" i="19"/>
  <c r="C512" i="19"/>
  <c r="B512" i="19"/>
  <c r="F511" i="19"/>
  <c r="E511" i="19"/>
  <c r="D511" i="19"/>
  <c r="C511" i="19"/>
  <c r="B511" i="19"/>
  <c r="F510" i="19"/>
  <c r="E510" i="19"/>
  <c r="D510" i="19"/>
  <c r="C510" i="19"/>
  <c r="B510" i="19"/>
  <c r="F509" i="19"/>
  <c r="E509" i="19"/>
  <c r="D509" i="19"/>
  <c r="C509" i="19"/>
  <c r="B509" i="19"/>
  <c r="F507" i="19"/>
  <c r="E507" i="19"/>
  <c r="D507" i="19"/>
  <c r="C507" i="19"/>
  <c r="B507" i="19"/>
  <c r="F506" i="19"/>
  <c r="E506" i="19"/>
  <c r="D506" i="19"/>
  <c r="C506" i="19"/>
  <c r="B506" i="19"/>
  <c r="F505" i="19"/>
  <c r="E505" i="19"/>
  <c r="D505" i="19"/>
  <c r="C505" i="19"/>
  <c r="B505" i="19"/>
  <c r="B287" i="6"/>
  <c r="C287" i="6"/>
  <c r="G287" i="6"/>
  <c r="G288" i="6"/>
  <c r="E328" i="6"/>
  <c r="H287" i="6"/>
  <c r="B288" i="6"/>
  <c r="H288" i="6"/>
  <c r="F328" i="6"/>
  <c r="D287" i="6"/>
  <c r="D288" i="6"/>
  <c r="B328" i="6"/>
  <c r="E287" i="6"/>
  <c r="E288" i="6"/>
  <c r="C328" i="6"/>
  <c r="F287" i="6"/>
  <c r="F288" i="6"/>
  <c r="D328" i="6"/>
  <c r="I287" i="6"/>
  <c r="I288" i="6"/>
  <c r="G328" i="6"/>
  <c r="E244" i="19"/>
  <c r="B284" i="6"/>
  <c r="C284" i="6"/>
  <c r="G284" i="6"/>
  <c r="G285" i="6"/>
  <c r="E327" i="6"/>
  <c r="H284" i="6"/>
  <c r="B285" i="6"/>
  <c r="H285" i="6"/>
  <c r="F327" i="6"/>
  <c r="D284" i="6"/>
  <c r="D285" i="6"/>
  <c r="B327" i="6"/>
  <c r="E284" i="6"/>
  <c r="E285" i="6"/>
  <c r="C327" i="6"/>
  <c r="F284" i="6"/>
  <c r="F285" i="6"/>
  <c r="D327" i="6"/>
  <c r="I284" i="6"/>
  <c r="I285" i="6"/>
  <c r="G327" i="6"/>
  <c r="E243" i="19"/>
  <c r="B281" i="6"/>
  <c r="C281" i="6"/>
  <c r="G281" i="6"/>
  <c r="G282" i="6"/>
  <c r="E326" i="6"/>
  <c r="H281" i="6"/>
  <c r="B282" i="6"/>
  <c r="H282" i="6"/>
  <c r="F326" i="6"/>
  <c r="D281" i="6"/>
  <c r="D282" i="6"/>
  <c r="B326" i="6"/>
  <c r="E281" i="6"/>
  <c r="E282" i="6"/>
  <c r="C326" i="6"/>
  <c r="F281" i="6"/>
  <c r="F282" i="6"/>
  <c r="D326" i="6"/>
  <c r="I281" i="6"/>
  <c r="I282" i="6"/>
  <c r="G326" i="6"/>
  <c r="E242" i="19"/>
  <c r="B278" i="6"/>
  <c r="C278" i="6"/>
  <c r="G278" i="6"/>
  <c r="G279" i="6"/>
  <c r="E325" i="6"/>
  <c r="H278" i="6"/>
  <c r="B279" i="6"/>
  <c r="H279" i="6"/>
  <c r="F325" i="6"/>
  <c r="D278" i="6"/>
  <c r="D279" i="6"/>
  <c r="B325" i="6"/>
  <c r="E278" i="6"/>
  <c r="E279" i="6"/>
  <c r="C325" i="6"/>
  <c r="F278" i="6"/>
  <c r="F279" i="6"/>
  <c r="D325" i="6"/>
  <c r="I278" i="6"/>
  <c r="I279" i="6"/>
  <c r="G325" i="6"/>
  <c r="E241" i="19"/>
  <c r="B274" i="6"/>
  <c r="C274" i="6"/>
  <c r="G274" i="6"/>
  <c r="G275" i="6"/>
  <c r="G276" i="6"/>
  <c r="E324" i="6"/>
  <c r="H274" i="6"/>
  <c r="B275" i="6"/>
  <c r="H275" i="6"/>
  <c r="B276" i="6"/>
  <c r="H276" i="6"/>
  <c r="F324" i="6"/>
  <c r="D274" i="6"/>
  <c r="D275" i="6"/>
  <c r="D276" i="6"/>
  <c r="B324" i="6"/>
  <c r="E274" i="6"/>
  <c r="E275" i="6"/>
  <c r="E276" i="6"/>
  <c r="C324" i="6"/>
  <c r="F274" i="6"/>
  <c r="F275" i="6"/>
  <c r="F276" i="6"/>
  <c r="D324" i="6"/>
  <c r="I274" i="6"/>
  <c r="I275" i="6"/>
  <c r="I276" i="6"/>
  <c r="G324" i="6"/>
  <c r="E240" i="19"/>
  <c r="B270" i="6"/>
  <c r="C270" i="6"/>
  <c r="G270" i="6"/>
  <c r="G271" i="6"/>
  <c r="G272" i="6"/>
  <c r="E323" i="6"/>
  <c r="H270" i="6"/>
  <c r="B271" i="6"/>
  <c r="H271" i="6"/>
  <c r="B272" i="6"/>
  <c r="H272" i="6"/>
  <c r="F323" i="6"/>
  <c r="D270" i="6"/>
  <c r="D271" i="6"/>
  <c r="D272" i="6"/>
  <c r="B323" i="6"/>
  <c r="E270" i="6"/>
  <c r="E271" i="6"/>
  <c r="E272" i="6"/>
  <c r="C323" i="6"/>
  <c r="F270" i="6"/>
  <c r="F271" i="6"/>
  <c r="F272" i="6"/>
  <c r="D323" i="6"/>
  <c r="I270" i="6"/>
  <c r="I271" i="6"/>
  <c r="I272" i="6"/>
  <c r="G323" i="6"/>
  <c r="E239" i="19"/>
  <c r="B267" i="6"/>
  <c r="C267" i="6"/>
  <c r="G267" i="6"/>
  <c r="G268" i="6"/>
  <c r="E322" i="6"/>
  <c r="H267" i="6"/>
  <c r="B268" i="6"/>
  <c r="H268" i="6"/>
  <c r="F322" i="6"/>
  <c r="D267" i="6"/>
  <c r="D268" i="6"/>
  <c r="B322" i="6"/>
  <c r="E267" i="6"/>
  <c r="E268" i="6"/>
  <c r="C322" i="6"/>
  <c r="F267" i="6"/>
  <c r="F268" i="6"/>
  <c r="D322" i="6"/>
  <c r="I267" i="6"/>
  <c r="I268" i="6"/>
  <c r="G322" i="6"/>
  <c r="E238" i="19"/>
  <c r="B263" i="6"/>
  <c r="C263" i="6"/>
  <c r="G263" i="6"/>
  <c r="G264" i="6"/>
  <c r="G265" i="6"/>
  <c r="E321" i="6"/>
  <c r="H263" i="6"/>
  <c r="B264" i="6"/>
  <c r="H264" i="6"/>
  <c r="B265" i="6"/>
  <c r="H265" i="6"/>
  <c r="F321" i="6"/>
  <c r="D263" i="6"/>
  <c r="D264" i="6"/>
  <c r="D265" i="6"/>
  <c r="B321" i="6"/>
  <c r="E263" i="6"/>
  <c r="E264" i="6"/>
  <c r="E265" i="6"/>
  <c r="C321" i="6"/>
  <c r="F263" i="6"/>
  <c r="F264" i="6"/>
  <c r="F265" i="6"/>
  <c r="D321" i="6"/>
  <c r="I263" i="6"/>
  <c r="I264" i="6"/>
  <c r="I265" i="6"/>
  <c r="G321" i="6"/>
  <c r="E237" i="19"/>
  <c r="B259" i="6"/>
  <c r="C259" i="6"/>
  <c r="G259" i="6"/>
  <c r="G260" i="6"/>
  <c r="G261" i="6"/>
  <c r="E320" i="6"/>
  <c r="H259" i="6"/>
  <c r="B260" i="6"/>
  <c r="H260" i="6"/>
  <c r="B261" i="6"/>
  <c r="H261" i="6"/>
  <c r="F320" i="6"/>
  <c r="I259" i="6"/>
  <c r="I260" i="6"/>
  <c r="I261" i="6"/>
  <c r="G320" i="6"/>
  <c r="B255" i="6"/>
  <c r="C255" i="6"/>
  <c r="G255" i="6"/>
  <c r="G256" i="6"/>
  <c r="G257" i="6"/>
  <c r="E319" i="6"/>
  <c r="H255" i="6"/>
  <c r="B256" i="6"/>
  <c r="H256" i="6"/>
  <c r="B257" i="6"/>
  <c r="H257" i="6"/>
  <c r="F319" i="6"/>
  <c r="I255" i="6"/>
  <c r="I256" i="6"/>
  <c r="I257" i="6"/>
  <c r="G319" i="6"/>
  <c r="B251" i="6"/>
  <c r="C251" i="6"/>
  <c r="G251" i="6"/>
  <c r="G252" i="6"/>
  <c r="G253" i="6"/>
  <c r="E318" i="6"/>
  <c r="H251" i="6"/>
  <c r="B252" i="6"/>
  <c r="H252" i="6"/>
  <c r="B253" i="6"/>
  <c r="H253" i="6"/>
  <c r="F318" i="6"/>
  <c r="I251" i="6"/>
  <c r="I252" i="6"/>
  <c r="I253" i="6"/>
  <c r="G318" i="6"/>
  <c r="B247" i="6"/>
  <c r="C247" i="6"/>
  <c r="G247" i="6"/>
  <c r="G248" i="6"/>
  <c r="G249" i="6"/>
  <c r="E317" i="6"/>
  <c r="H247" i="6"/>
  <c r="B248" i="6"/>
  <c r="H248" i="6"/>
  <c r="B249" i="6"/>
  <c r="H249" i="6"/>
  <c r="F317" i="6"/>
  <c r="I247" i="6"/>
  <c r="I248" i="6"/>
  <c r="I249" i="6"/>
  <c r="G317" i="6"/>
  <c r="C243" i="6"/>
  <c r="G243" i="6"/>
  <c r="G244" i="6"/>
  <c r="G245" i="6"/>
  <c r="E316" i="6"/>
  <c r="H243" i="6"/>
  <c r="H244" i="6"/>
  <c r="H245" i="6"/>
  <c r="F316" i="6"/>
  <c r="I243" i="6"/>
  <c r="I244" i="6"/>
  <c r="I245" i="6"/>
  <c r="G316" i="6"/>
  <c r="B240" i="6"/>
  <c r="C240" i="6"/>
  <c r="G240" i="6"/>
  <c r="G241" i="6"/>
  <c r="E315" i="6"/>
  <c r="H240" i="6"/>
  <c r="H241" i="6"/>
  <c r="F315" i="6"/>
  <c r="D240" i="6"/>
  <c r="D241" i="6"/>
  <c r="B315" i="6"/>
  <c r="E240" i="6"/>
  <c r="E241" i="6"/>
  <c r="C315" i="6"/>
  <c r="F240" i="6"/>
  <c r="F241" i="6"/>
  <c r="D315" i="6"/>
  <c r="I240" i="6"/>
  <c r="I241" i="6"/>
  <c r="G315" i="6"/>
  <c r="B237" i="6"/>
  <c r="C237" i="6"/>
  <c r="G237" i="6"/>
  <c r="G238" i="6"/>
  <c r="E314" i="6"/>
  <c r="H237" i="6"/>
  <c r="H238" i="6"/>
  <c r="F314" i="6"/>
  <c r="D237" i="6"/>
  <c r="D238" i="6"/>
  <c r="B314" i="6"/>
  <c r="E237" i="6"/>
  <c r="E238" i="6"/>
  <c r="C314" i="6"/>
  <c r="F237" i="6"/>
  <c r="F238" i="6"/>
  <c r="D314" i="6"/>
  <c r="I237" i="6"/>
  <c r="I238" i="6"/>
  <c r="G314" i="6"/>
  <c r="B233" i="6"/>
  <c r="C233" i="6"/>
  <c r="G233" i="6"/>
  <c r="G234" i="6"/>
  <c r="G235" i="6"/>
  <c r="E313" i="6"/>
  <c r="H233" i="6"/>
  <c r="H234" i="6"/>
  <c r="H235" i="6"/>
  <c r="F313" i="6"/>
  <c r="D233" i="6"/>
  <c r="D234" i="6"/>
  <c r="D235" i="6"/>
  <c r="B313" i="6"/>
  <c r="E233" i="6"/>
  <c r="E234" i="6"/>
  <c r="E235" i="6"/>
  <c r="C313" i="6"/>
  <c r="F233" i="6"/>
  <c r="F234" i="6"/>
  <c r="F235" i="6"/>
  <c r="D313" i="6"/>
  <c r="I233" i="6"/>
  <c r="I234" i="6"/>
  <c r="I235" i="6"/>
  <c r="G313" i="6"/>
  <c r="B229" i="6"/>
  <c r="C229" i="6"/>
  <c r="G229" i="6"/>
  <c r="G230" i="6"/>
  <c r="G231" i="6"/>
  <c r="E312" i="6"/>
  <c r="H229" i="6"/>
  <c r="B230" i="6"/>
  <c r="H230" i="6"/>
  <c r="B231" i="6"/>
  <c r="H231" i="6"/>
  <c r="F312" i="6"/>
  <c r="D229" i="6"/>
  <c r="D230" i="6"/>
  <c r="D231" i="6"/>
  <c r="B312" i="6"/>
  <c r="E229" i="6"/>
  <c r="E230" i="6"/>
  <c r="E231" i="6"/>
  <c r="C312" i="6"/>
  <c r="F229" i="6"/>
  <c r="F230" i="6"/>
  <c r="F231" i="6"/>
  <c r="D312" i="6"/>
  <c r="I229" i="6"/>
  <c r="I230" i="6"/>
  <c r="I231" i="6"/>
  <c r="G312" i="6"/>
  <c r="B225" i="6"/>
  <c r="C225" i="6"/>
  <c r="G225" i="6"/>
  <c r="G226" i="6"/>
  <c r="G227" i="6"/>
  <c r="E311" i="6"/>
  <c r="H225" i="6"/>
  <c r="B226" i="6"/>
  <c r="H226" i="6"/>
  <c r="B227" i="6"/>
  <c r="H227" i="6"/>
  <c r="F311" i="6"/>
  <c r="D225" i="6"/>
  <c r="D226" i="6"/>
  <c r="D227" i="6"/>
  <c r="B311" i="6"/>
  <c r="E225" i="6"/>
  <c r="E226" i="6"/>
  <c r="E227" i="6"/>
  <c r="C311" i="6"/>
  <c r="F225" i="6"/>
  <c r="F226" i="6"/>
  <c r="F227" i="6"/>
  <c r="D311" i="6"/>
  <c r="I225" i="6"/>
  <c r="I226" i="6"/>
  <c r="I227" i="6"/>
  <c r="G311" i="6"/>
  <c r="B223" i="6"/>
  <c r="C223" i="6"/>
  <c r="G223" i="6"/>
  <c r="E310" i="6"/>
  <c r="H223" i="6"/>
  <c r="F310" i="6"/>
  <c r="D223" i="6"/>
  <c r="B310" i="6"/>
  <c r="E223" i="6"/>
  <c r="C310" i="6"/>
  <c r="F223" i="6"/>
  <c r="D310" i="6"/>
  <c r="I223" i="6"/>
  <c r="G310" i="6"/>
  <c r="B221" i="6"/>
  <c r="C221" i="6"/>
  <c r="G221" i="6"/>
  <c r="E309" i="6"/>
  <c r="H221" i="6"/>
  <c r="F309" i="6"/>
  <c r="D221" i="6"/>
  <c r="B309" i="6"/>
  <c r="E221" i="6"/>
  <c r="C309" i="6"/>
  <c r="F221" i="6"/>
  <c r="D309" i="6"/>
  <c r="I221" i="6"/>
  <c r="G309" i="6"/>
  <c r="B217" i="6"/>
  <c r="C217" i="6"/>
  <c r="G217" i="6"/>
  <c r="G218" i="6"/>
  <c r="G219" i="6"/>
  <c r="E308" i="6"/>
  <c r="H217" i="6"/>
  <c r="B218" i="6"/>
  <c r="H218" i="6"/>
  <c r="B219" i="6"/>
  <c r="H219" i="6"/>
  <c r="F308" i="6"/>
  <c r="D217" i="6"/>
  <c r="D218" i="6"/>
  <c r="D219" i="6"/>
  <c r="B308" i="6"/>
  <c r="E217" i="6"/>
  <c r="E218" i="6"/>
  <c r="E219" i="6"/>
  <c r="C308" i="6"/>
  <c r="F217" i="6"/>
  <c r="F218" i="6"/>
  <c r="F219" i="6"/>
  <c r="D308" i="6"/>
  <c r="I217" i="6"/>
  <c r="I218" i="6"/>
  <c r="I219" i="6"/>
  <c r="G308" i="6"/>
  <c r="B213" i="6"/>
  <c r="C213" i="6"/>
  <c r="G213" i="6"/>
  <c r="G214" i="6"/>
  <c r="G215" i="6"/>
  <c r="E307" i="6"/>
  <c r="H213" i="6"/>
  <c r="B214" i="6"/>
  <c r="H214" i="6"/>
  <c r="B215" i="6"/>
  <c r="H215" i="6"/>
  <c r="F307" i="6"/>
  <c r="D213" i="6"/>
  <c r="D214" i="6"/>
  <c r="D215" i="6"/>
  <c r="B307" i="6"/>
  <c r="E213" i="6"/>
  <c r="E214" i="6"/>
  <c r="E215" i="6"/>
  <c r="C307" i="6"/>
  <c r="F213" i="6"/>
  <c r="F214" i="6"/>
  <c r="F215" i="6"/>
  <c r="D307" i="6"/>
  <c r="I213" i="6"/>
  <c r="I214" i="6"/>
  <c r="I215" i="6"/>
  <c r="G307" i="6"/>
  <c r="B209" i="6"/>
  <c r="C209" i="6"/>
  <c r="G209" i="6"/>
  <c r="G210" i="6"/>
  <c r="G211" i="6"/>
  <c r="E306" i="6"/>
  <c r="H209" i="6"/>
  <c r="B210" i="6"/>
  <c r="H210" i="6"/>
  <c r="B211" i="6"/>
  <c r="H211" i="6"/>
  <c r="F306" i="6"/>
  <c r="D209" i="6"/>
  <c r="D210" i="6"/>
  <c r="D211" i="6"/>
  <c r="B306" i="6"/>
  <c r="E209" i="6"/>
  <c r="E210" i="6"/>
  <c r="E211" i="6"/>
  <c r="C306" i="6"/>
  <c r="F209" i="6"/>
  <c r="F210" i="6"/>
  <c r="F211" i="6"/>
  <c r="D306" i="6"/>
  <c r="I209" i="6"/>
  <c r="I210" i="6"/>
  <c r="I211" i="6"/>
  <c r="G306" i="6"/>
  <c r="B205" i="6"/>
  <c r="C205" i="6"/>
  <c r="G205" i="6"/>
  <c r="G206" i="6"/>
  <c r="G207" i="6"/>
  <c r="E305" i="6"/>
  <c r="H205" i="6"/>
  <c r="B206" i="6"/>
  <c r="H206" i="6"/>
  <c r="B207" i="6"/>
  <c r="H207" i="6"/>
  <c r="F305" i="6"/>
  <c r="D205" i="6"/>
  <c r="D206" i="6"/>
  <c r="D207" i="6"/>
  <c r="B305" i="6"/>
  <c r="E205" i="6"/>
  <c r="E206" i="6"/>
  <c r="E207" i="6"/>
  <c r="C305" i="6"/>
  <c r="F205" i="6"/>
  <c r="F206" i="6"/>
  <c r="F207" i="6"/>
  <c r="D305" i="6"/>
  <c r="I205" i="6"/>
  <c r="I206" i="6"/>
  <c r="I207" i="6"/>
  <c r="G305" i="6"/>
  <c r="B201" i="6"/>
  <c r="C201" i="6"/>
  <c r="G201" i="6"/>
  <c r="G202" i="6"/>
  <c r="G203" i="6"/>
  <c r="E304" i="6"/>
  <c r="H201" i="6"/>
  <c r="B202" i="6"/>
  <c r="H202" i="6"/>
  <c r="B203" i="6"/>
  <c r="H203" i="6"/>
  <c r="F304" i="6"/>
  <c r="D201" i="6"/>
  <c r="D202" i="6"/>
  <c r="D203" i="6"/>
  <c r="B304" i="6"/>
  <c r="E201" i="6"/>
  <c r="E202" i="6"/>
  <c r="E203" i="6"/>
  <c r="C304" i="6"/>
  <c r="F201" i="6"/>
  <c r="F202" i="6"/>
  <c r="F203" i="6"/>
  <c r="D304" i="6"/>
  <c r="I201" i="6"/>
  <c r="I202" i="6"/>
  <c r="I203" i="6"/>
  <c r="G304" i="6"/>
  <c r="B197" i="6"/>
  <c r="C197" i="6"/>
  <c r="G197" i="6"/>
  <c r="G198" i="6"/>
  <c r="G199" i="6"/>
  <c r="E303" i="6"/>
  <c r="H197" i="6"/>
  <c r="B198" i="6"/>
  <c r="H198" i="6"/>
  <c r="B199" i="6"/>
  <c r="H199" i="6"/>
  <c r="F303" i="6"/>
  <c r="D197" i="6"/>
  <c r="D198" i="6"/>
  <c r="D199" i="6"/>
  <c r="B303" i="6"/>
  <c r="E197" i="6"/>
  <c r="E198" i="6"/>
  <c r="E199" i="6"/>
  <c r="C303" i="6"/>
  <c r="F197" i="6"/>
  <c r="F198" i="6"/>
  <c r="F199" i="6"/>
  <c r="D303" i="6"/>
  <c r="I197" i="6"/>
  <c r="I198" i="6"/>
  <c r="I199" i="6"/>
  <c r="G303" i="6"/>
  <c r="B48" i="15"/>
  <c r="B47" i="15"/>
  <c r="D138" i="19"/>
  <c r="C138" i="19"/>
  <c r="B46" i="15"/>
  <c r="F137" i="19"/>
  <c r="B45" i="15"/>
  <c r="F136" i="19"/>
  <c r="D136" i="19"/>
  <c r="C136" i="19"/>
  <c r="B188" i="3"/>
  <c r="B224" i="3"/>
  <c r="B44" i="15"/>
  <c r="F135" i="19"/>
  <c r="B43" i="15"/>
  <c r="F134" i="19"/>
  <c r="D134" i="19"/>
  <c r="C134" i="19"/>
  <c r="B186" i="3"/>
  <c r="B222" i="3"/>
  <c r="G133" i="19"/>
  <c r="F133" i="19"/>
  <c r="D133" i="19"/>
  <c r="C133" i="19"/>
  <c r="B185" i="3"/>
  <c r="B221" i="3"/>
  <c r="G132" i="19"/>
  <c r="F132" i="19"/>
  <c r="D132" i="19"/>
  <c r="C132" i="19"/>
  <c r="B184" i="3"/>
  <c r="B220" i="3"/>
  <c r="G131" i="19"/>
  <c r="G130" i="19"/>
  <c r="D130" i="19"/>
  <c r="C130" i="19"/>
  <c r="G129" i="19"/>
  <c r="D129" i="19"/>
  <c r="C129" i="19"/>
  <c r="G128" i="19"/>
  <c r="D128" i="19"/>
  <c r="C128" i="19"/>
  <c r="G127" i="19"/>
  <c r="D127" i="19"/>
  <c r="C127" i="19"/>
  <c r="B53" i="9"/>
  <c r="B177" i="3"/>
  <c r="B213" i="3"/>
  <c r="B52" i="9"/>
  <c r="B176" i="3"/>
  <c r="B212" i="3"/>
  <c r="G123" i="19"/>
  <c r="F123" i="19"/>
  <c r="B51" i="9"/>
  <c r="G122" i="19"/>
  <c r="F122" i="19"/>
  <c r="B50" i="9"/>
  <c r="G121" i="19"/>
  <c r="F121" i="19"/>
  <c r="D121" i="19"/>
  <c r="B49" i="9"/>
  <c r="G120" i="19"/>
  <c r="F120" i="19"/>
  <c r="D120" i="19"/>
  <c r="B48" i="9"/>
  <c r="G119" i="19"/>
  <c r="F119" i="19"/>
  <c r="D119" i="19"/>
  <c r="B47" i="9"/>
  <c r="G118" i="19"/>
  <c r="D118" i="19"/>
  <c r="C118" i="19"/>
  <c r="G117" i="19"/>
  <c r="F117" i="19"/>
  <c r="D117" i="19"/>
  <c r="B45" i="9"/>
  <c r="G116" i="19"/>
  <c r="F116" i="19"/>
  <c r="D116" i="19"/>
  <c r="C116" i="19"/>
  <c r="B44" i="9"/>
  <c r="G115" i="19"/>
  <c r="D115" i="19"/>
  <c r="C115" i="19"/>
  <c r="G114" i="19"/>
  <c r="F114" i="19"/>
  <c r="D114" i="19"/>
  <c r="B42" i="9"/>
  <c r="G113" i="19"/>
  <c r="F113" i="19"/>
  <c r="D113" i="19"/>
  <c r="C113" i="19"/>
  <c r="B41" i="9"/>
  <c r="D92" i="19"/>
  <c r="C92" i="19"/>
  <c r="F91" i="19"/>
  <c r="F90" i="19"/>
  <c r="D90" i="19"/>
  <c r="C90" i="19"/>
  <c r="F89" i="19"/>
  <c r="F88" i="19"/>
  <c r="D88" i="19"/>
  <c r="C88" i="19"/>
  <c r="G87" i="19"/>
  <c r="F87" i="19"/>
  <c r="D87" i="19"/>
  <c r="C87" i="19"/>
  <c r="G86" i="19"/>
  <c r="F86" i="19"/>
  <c r="D86" i="19"/>
  <c r="C86" i="19"/>
  <c r="G85" i="19"/>
  <c r="G84" i="19"/>
  <c r="D84" i="19"/>
  <c r="C84" i="19"/>
  <c r="G83" i="19"/>
  <c r="D83" i="19"/>
  <c r="C83" i="19"/>
  <c r="G82" i="19"/>
  <c r="D82" i="19"/>
  <c r="C82" i="19"/>
  <c r="G81" i="19"/>
  <c r="D81" i="19"/>
  <c r="C81" i="19"/>
  <c r="G77" i="19"/>
  <c r="F77" i="19"/>
  <c r="G76" i="19"/>
  <c r="F76" i="19"/>
  <c r="G75" i="19"/>
  <c r="F75" i="19"/>
  <c r="D75" i="19"/>
  <c r="G74" i="19"/>
  <c r="F74" i="19"/>
  <c r="D74" i="19"/>
  <c r="G73" i="19"/>
  <c r="F73" i="19"/>
  <c r="D73" i="19"/>
  <c r="G72" i="19"/>
  <c r="D72" i="19"/>
  <c r="C72" i="19"/>
  <c r="G71" i="19"/>
  <c r="F71" i="19"/>
  <c r="D71" i="19"/>
  <c r="G70" i="19"/>
  <c r="F70" i="19"/>
  <c r="D70" i="19"/>
  <c r="C70" i="19"/>
  <c r="G69" i="19"/>
  <c r="D69" i="19"/>
  <c r="C69" i="19"/>
  <c r="G68" i="19"/>
  <c r="F68" i="19"/>
  <c r="D68" i="19"/>
  <c r="G67" i="19"/>
  <c r="F67" i="19"/>
  <c r="D67" i="19"/>
  <c r="C67" i="19"/>
  <c r="D46" i="19"/>
  <c r="C46" i="19"/>
  <c r="F45" i="19"/>
  <c r="F44" i="19"/>
  <c r="D44" i="19"/>
  <c r="C44" i="19"/>
  <c r="F43" i="19"/>
  <c r="F42" i="19"/>
  <c r="D42" i="19"/>
  <c r="C42" i="19"/>
  <c r="G41" i="19"/>
  <c r="F41" i="19"/>
  <c r="D41" i="19"/>
  <c r="C41" i="19"/>
  <c r="G40" i="19"/>
  <c r="F40" i="19"/>
  <c r="D40" i="19"/>
  <c r="C40" i="19"/>
  <c r="G39" i="19"/>
  <c r="G38" i="19"/>
  <c r="D38" i="19"/>
  <c r="C38" i="19"/>
  <c r="G37" i="19"/>
  <c r="D37" i="19"/>
  <c r="C37" i="19"/>
  <c r="G36" i="19"/>
  <c r="D36" i="19"/>
  <c r="C36" i="19"/>
  <c r="G35" i="19"/>
  <c r="D35" i="19"/>
  <c r="C35" i="19"/>
  <c r="G31" i="19"/>
  <c r="F31" i="19"/>
  <c r="G30" i="19"/>
  <c r="F30" i="19"/>
  <c r="G29" i="19"/>
  <c r="F29" i="19"/>
  <c r="D29" i="19"/>
  <c r="G28" i="19"/>
  <c r="F28" i="19"/>
  <c r="D28" i="19"/>
  <c r="G27" i="19"/>
  <c r="F27" i="19"/>
  <c r="D27" i="19"/>
  <c r="G26" i="19"/>
  <c r="D26" i="19"/>
  <c r="C26" i="19"/>
  <c r="G25" i="19"/>
  <c r="F25" i="19"/>
  <c r="D25" i="19"/>
  <c r="G24" i="19"/>
  <c r="F24" i="19"/>
  <c r="D24" i="19"/>
  <c r="C24" i="19"/>
  <c r="G23" i="19"/>
  <c r="D23" i="19"/>
  <c r="C23" i="19"/>
  <c r="G22" i="19"/>
  <c r="F22" i="19"/>
  <c r="D22" i="19"/>
  <c r="G21" i="19"/>
  <c r="F21" i="19"/>
  <c r="D21" i="19"/>
  <c r="C21" i="19"/>
  <c r="A1" i="19"/>
  <c r="H442" i="18"/>
  <c r="H441" i="18"/>
  <c r="H440" i="18"/>
  <c r="H439" i="18"/>
  <c r="H438" i="18"/>
  <c r="H437" i="18"/>
  <c r="H436" i="18"/>
  <c r="H435" i="18"/>
  <c r="B58" i="17"/>
  <c r="B165" i="3"/>
  <c r="B201" i="3"/>
  <c r="G108" i="18"/>
  <c r="C373" i="18"/>
  <c r="G107" i="18"/>
  <c r="C372" i="18"/>
  <c r="G106" i="18"/>
  <c r="C371" i="18"/>
  <c r="G105" i="18"/>
  <c r="C370" i="18"/>
  <c r="G104" i="18"/>
  <c r="C369" i="18"/>
  <c r="G103" i="18"/>
  <c r="C368" i="18"/>
  <c r="B367" i="18"/>
  <c r="D367" i="18"/>
  <c r="G102" i="18"/>
  <c r="C367" i="18"/>
  <c r="B366" i="18"/>
  <c r="D366" i="18"/>
  <c r="G101" i="18"/>
  <c r="C366" i="18"/>
  <c r="B365" i="18"/>
  <c r="D365" i="18"/>
  <c r="B364" i="18"/>
  <c r="D364" i="18"/>
  <c r="B363" i="18"/>
  <c r="D363" i="18"/>
  <c r="B362" i="18"/>
  <c r="D362" i="18"/>
  <c r="B361" i="18"/>
  <c r="D361" i="18"/>
  <c r="G95" i="18"/>
  <c r="C360" i="18"/>
  <c r="G94" i="18"/>
  <c r="C359" i="18"/>
  <c r="G93" i="18"/>
  <c r="C358" i="18"/>
  <c r="B357" i="18"/>
  <c r="D357" i="18"/>
  <c r="B356" i="18"/>
  <c r="D356" i="18"/>
  <c r="B355" i="18"/>
  <c r="D355" i="18"/>
  <c r="B354" i="18"/>
  <c r="D354" i="18"/>
  <c r="B353" i="18"/>
  <c r="D353" i="18"/>
  <c r="B352" i="18"/>
  <c r="D352" i="18"/>
  <c r="B351" i="18"/>
  <c r="D351" i="18"/>
  <c r="B350" i="18"/>
  <c r="D350" i="18"/>
  <c r="B349" i="18"/>
  <c r="D349" i="18"/>
  <c r="B348" i="18"/>
  <c r="D348" i="18"/>
  <c r="B347" i="18"/>
  <c r="D347" i="18"/>
  <c r="B346" i="18"/>
  <c r="D346" i="18"/>
  <c r="B345" i="18"/>
  <c r="D345" i="18"/>
  <c r="B344" i="18"/>
  <c r="D344" i="18"/>
  <c r="B343" i="18"/>
  <c r="D343" i="18"/>
  <c r="B342" i="18"/>
  <c r="D342" i="18"/>
  <c r="B341" i="18"/>
  <c r="D341" i="18"/>
  <c r="B340" i="18"/>
  <c r="D340" i="18"/>
  <c r="B339" i="18"/>
  <c r="D339" i="18"/>
  <c r="B338" i="18"/>
  <c r="D338" i="18"/>
  <c r="B337" i="18"/>
  <c r="D337" i="18"/>
  <c r="B336" i="18"/>
  <c r="D336" i="18"/>
  <c r="B335" i="18"/>
  <c r="D335" i="18"/>
  <c r="B334" i="18"/>
  <c r="D334" i="18"/>
  <c r="B330" i="18"/>
  <c r="D330" i="18"/>
  <c r="B329" i="18"/>
  <c r="D329" i="18"/>
  <c r="B328" i="18"/>
  <c r="D328" i="18"/>
  <c r="B327" i="18"/>
  <c r="D327" i="18"/>
  <c r="B326" i="18"/>
  <c r="D326" i="18"/>
  <c r="B325" i="18"/>
  <c r="D325" i="18"/>
  <c r="B324" i="18"/>
  <c r="D324" i="18"/>
  <c r="B323" i="18"/>
  <c r="D323" i="18"/>
  <c r="B322" i="18"/>
  <c r="D322" i="18"/>
  <c r="B321" i="18"/>
  <c r="D321" i="18"/>
  <c r="B320" i="18"/>
  <c r="D320" i="18"/>
  <c r="B311" i="18"/>
  <c r="D311" i="18"/>
  <c r="B310" i="18"/>
  <c r="D310" i="18"/>
  <c r="B309" i="18"/>
  <c r="D309" i="18"/>
  <c r="B308" i="18"/>
  <c r="D308" i="18"/>
  <c r="B307" i="18"/>
  <c r="D307" i="18"/>
  <c r="B298" i="18"/>
  <c r="D298" i="18"/>
  <c r="B295" i="18"/>
  <c r="D295" i="18"/>
  <c r="D108" i="18"/>
  <c r="C292" i="18"/>
  <c r="B291" i="18"/>
  <c r="D291" i="18"/>
  <c r="D107" i="18"/>
  <c r="C291" i="18"/>
  <c r="D106" i="18"/>
  <c r="C290" i="18"/>
  <c r="B289" i="18"/>
  <c r="D289" i="18"/>
  <c r="D105" i="18"/>
  <c r="C289" i="18"/>
  <c r="D104" i="18"/>
  <c r="C288" i="18"/>
  <c r="B287" i="18"/>
  <c r="D287" i="18"/>
  <c r="D103" i="18"/>
  <c r="C287" i="18"/>
  <c r="B286" i="18"/>
  <c r="D286" i="18"/>
  <c r="D102" i="18"/>
  <c r="C286" i="18"/>
  <c r="B285" i="18"/>
  <c r="D285" i="18"/>
  <c r="D101" i="18"/>
  <c r="C285" i="18"/>
  <c r="B283" i="18"/>
  <c r="D283" i="18"/>
  <c r="B282" i="18"/>
  <c r="D282" i="18"/>
  <c r="B281" i="18"/>
  <c r="D281" i="18"/>
  <c r="B280" i="18"/>
  <c r="D280" i="18"/>
  <c r="B274" i="18"/>
  <c r="D274" i="18"/>
  <c r="B273" i="18"/>
  <c r="D273" i="18"/>
  <c r="B272" i="18"/>
  <c r="D272" i="18"/>
  <c r="B271" i="18"/>
  <c r="D271" i="18"/>
  <c r="B270" i="18"/>
  <c r="D270" i="18"/>
  <c r="B269" i="18"/>
  <c r="D269" i="18"/>
  <c r="B268" i="18"/>
  <c r="D268" i="18"/>
  <c r="B267" i="18"/>
  <c r="D267" i="18"/>
  <c r="B266" i="18"/>
  <c r="D266" i="18"/>
  <c r="C108" i="18"/>
  <c r="C265" i="18"/>
  <c r="B264" i="18"/>
  <c r="D264" i="18"/>
  <c r="C107" i="18"/>
  <c r="C264" i="18"/>
  <c r="C106" i="18"/>
  <c r="C263" i="18"/>
  <c r="B262" i="18"/>
  <c r="D262" i="18"/>
  <c r="C105" i="18"/>
  <c r="C262" i="18"/>
  <c r="C104" i="18"/>
  <c r="C261" i="18"/>
  <c r="B260" i="18"/>
  <c r="D260" i="18"/>
  <c r="C103" i="18"/>
  <c r="C260" i="18"/>
  <c r="B259" i="18"/>
  <c r="D259" i="18"/>
  <c r="C102" i="18"/>
  <c r="C259" i="18"/>
  <c r="B258" i="18"/>
  <c r="D258" i="18"/>
  <c r="C101" i="18"/>
  <c r="C258" i="18"/>
  <c r="B256" i="18"/>
  <c r="D256" i="18"/>
  <c r="B255" i="18"/>
  <c r="D255" i="18"/>
  <c r="B254" i="18"/>
  <c r="D254" i="18"/>
  <c r="B253" i="18"/>
  <c r="D253" i="18"/>
  <c r="B244" i="18"/>
  <c r="D244" i="18"/>
  <c r="B242" i="18"/>
  <c r="D242" i="18"/>
  <c r="B241" i="18"/>
  <c r="D241" i="18"/>
  <c r="B239" i="18"/>
  <c r="D239" i="18"/>
  <c r="B108" i="18"/>
  <c r="C238" i="18"/>
  <c r="B107" i="18"/>
  <c r="C237" i="18"/>
  <c r="B106" i="18"/>
  <c r="C236" i="18"/>
  <c r="B105" i="18"/>
  <c r="C235" i="18"/>
  <c r="B104" i="18"/>
  <c r="C234" i="18"/>
  <c r="B103" i="18"/>
  <c r="C233" i="18"/>
  <c r="B102" i="18"/>
  <c r="C232" i="18"/>
  <c r="B101" i="18"/>
  <c r="C231" i="18"/>
  <c r="H211" i="18"/>
  <c r="A1" i="18"/>
  <c r="F12" i="2"/>
  <c r="F13" i="2"/>
  <c r="F14" i="2"/>
  <c r="F16" i="2"/>
  <c r="F17" i="2"/>
  <c r="F18" i="2"/>
  <c r="F19" i="2"/>
  <c r="F20" i="2"/>
  <c r="F22" i="2"/>
  <c r="F23" i="2"/>
  <c r="F24" i="2"/>
  <c r="F25" i="2"/>
  <c r="F26" i="2"/>
  <c r="F27" i="2"/>
  <c r="F28" i="2"/>
  <c r="F29" i="2"/>
  <c r="F30" i="2"/>
  <c r="F31" i="2"/>
  <c r="F32" i="2"/>
  <c r="F33" i="2"/>
  <c r="F35" i="2"/>
  <c r="F36" i="2"/>
  <c r="F38" i="2"/>
  <c r="F39" i="2"/>
  <c r="F40" i="2"/>
  <c r="F41" i="2"/>
  <c r="F42" i="2"/>
  <c r="F45" i="2"/>
  <c r="F46" i="2"/>
  <c r="F47" i="2"/>
  <c r="F48" i="2"/>
  <c r="F50" i="2"/>
  <c r="C58" i="17"/>
  <c r="F264" i="16"/>
  <c r="F263" i="16"/>
  <c r="E256" i="16"/>
  <c r="F256" i="16"/>
  <c r="E255" i="16"/>
  <c r="F255" i="16"/>
  <c r="E254" i="16"/>
  <c r="F254" i="16"/>
  <c r="E253" i="16"/>
  <c r="F253" i="16"/>
  <c r="E252" i="16"/>
  <c r="F252" i="16"/>
  <c r="B175" i="3"/>
  <c r="B211" i="3"/>
  <c r="B174" i="3"/>
  <c r="B210" i="3"/>
  <c r="B173" i="3"/>
  <c r="B209" i="3"/>
  <c r="B172" i="3"/>
  <c r="B208" i="3"/>
  <c r="B171" i="3"/>
  <c r="B207" i="3"/>
  <c r="E243" i="16"/>
  <c r="F243" i="16"/>
  <c r="B169" i="3"/>
  <c r="B205" i="3"/>
  <c r="B168" i="3"/>
  <c r="B204" i="3"/>
  <c r="E240" i="16"/>
  <c r="F240" i="16"/>
  <c r="B166" i="3"/>
  <c r="B202" i="3"/>
  <c r="A1" i="17"/>
  <c r="D263" i="16"/>
  <c r="C263" i="16"/>
  <c r="F262" i="16"/>
  <c r="F261" i="16"/>
  <c r="D261" i="16"/>
  <c r="C261" i="16"/>
  <c r="F260" i="16"/>
  <c r="F259" i="16"/>
  <c r="D259" i="16"/>
  <c r="C259" i="16"/>
  <c r="G258" i="16"/>
  <c r="F258" i="16"/>
  <c r="D258" i="16"/>
  <c r="C258" i="16"/>
  <c r="G257" i="16"/>
  <c r="F257" i="16"/>
  <c r="D257" i="16"/>
  <c r="C257" i="16"/>
  <c r="G256" i="16"/>
  <c r="G255" i="16"/>
  <c r="D255" i="16"/>
  <c r="C255" i="16"/>
  <c r="G254" i="16"/>
  <c r="D254" i="16"/>
  <c r="C254" i="16"/>
  <c r="G253" i="16"/>
  <c r="D253" i="16"/>
  <c r="C253" i="16"/>
  <c r="G252" i="16"/>
  <c r="D252" i="16"/>
  <c r="C252" i="16"/>
  <c r="G248" i="16"/>
  <c r="F248" i="16"/>
  <c r="G247" i="16"/>
  <c r="F247" i="16"/>
  <c r="G246" i="16"/>
  <c r="F246" i="16"/>
  <c r="D246" i="16"/>
  <c r="G245" i="16"/>
  <c r="F245" i="16"/>
  <c r="D245" i="16"/>
  <c r="G244" i="16"/>
  <c r="F244" i="16"/>
  <c r="D244" i="16"/>
  <c r="G243" i="16"/>
  <c r="D243" i="16"/>
  <c r="C243" i="16"/>
  <c r="G242" i="16"/>
  <c r="F242" i="16"/>
  <c r="D242" i="16"/>
  <c r="G241" i="16"/>
  <c r="F241" i="16"/>
  <c r="D241" i="16"/>
  <c r="C241" i="16"/>
  <c r="G240" i="16"/>
  <c r="D240" i="16"/>
  <c r="C240" i="16"/>
  <c r="G239" i="16"/>
  <c r="F239" i="16"/>
  <c r="D239" i="16"/>
  <c r="G238" i="16"/>
  <c r="F238" i="16"/>
  <c r="D238" i="16"/>
  <c r="C238" i="16"/>
  <c r="J54" i="9"/>
  <c r="I54" i="9"/>
  <c r="H54" i="9"/>
  <c r="F54" i="9"/>
  <c r="E54" i="9"/>
  <c r="D54" i="9"/>
  <c r="K26" i="9"/>
  <c r="C54" i="9"/>
  <c r="J53" i="9"/>
  <c r="I53" i="9"/>
  <c r="H53" i="9"/>
  <c r="F53" i="9"/>
  <c r="E53" i="9"/>
  <c r="D53" i="9"/>
  <c r="K25" i="9"/>
  <c r="C53" i="9"/>
  <c r="J52" i="9"/>
  <c r="I52" i="9"/>
  <c r="H52" i="9"/>
  <c r="F52" i="9"/>
  <c r="E52" i="9"/>
  <c r="D52" i="9"/>
  <c r="K24" i="9"/>
  <c r="C52" i="9"/>
  <c r="C130" i="5"/>
  <c r="L153" i="16"/>
  <c r="C129" i="5"/>
  <c r="L152" i="16"/>
  <c r="C128" i="5"/>
  <c r="L151" i="16"/>
  <c r="C127" i="5"/>
  <c r="L150" i="16"/>
  <c r="C126" i="5"/>
  <c r="L149" i="16"/>
  <c r="C125" i="5"/>
  <c r="L148" i="16"/>
  <c r="C118" i="5"/>
  <c r="L141" i="16"/>
  <c r="C117" i="5"/>
  <c r="L140" i="16"/>
  <c r="J51" i="9"/>
  <c r="I51" i="9"/>
  <c r="H51" i="9"/>
  <c r="F51" i="9"/>
  <c r="E51" i="9"/>
  <c r="D51" i="9"/>
  <c r="K23" i="9"/>
  <c r="C51" i="9"/>
  <c r="C116" i="5"/>
  <c r="L139" i="16"/>
  <c r="J50" i="9"/>
  <c r="I50" i="9"/>
  <c r="H50" i="9"/>
  <c r="F50" i="9"/>
  <c r="E50" i="9"/>
  <c r="D50" i="9"/>
  <c r="K22" i="9"/>
  <c r="C50" i="9"/>
  <c r="C115" i="5"/>
  <c r="L138" i="16"/>
  <c r="J49" i="9"/>
  <c r="I49" i="9"/>
  <c r="H49" i="9"/>
  <c r="F49" i="9"/>
  <c r="E49" i="9"/>
  <c r="D49" i="9"/>
  <c r="K21" i="9"/>
  <c r="C49" i="9"/>
  <c r="B114" i="5"/>
  <c r="K137" i="16"/>
  <c r="J48" i="9"/>
  <c r="I48" i="9"/>
  <c r="H48" i="9"/>
  <c r="F48" i="9"/>
  <c r="E48" i="9"/>
  <c r="D48" i="9"/>
  <c r="K20" i="9"/>
  <c r="C48" i="9"/>
  <c r="C113" i="5"/>
  <c r="L136" i="16"/>
  <c r="J47" i="9"/>
  <c r="I47" i="9"/>
  <c r="H47" i="9"/>
  <c r="F47" i="9"/>
  <c r="E47" i="9"/>
  <c r="D47" i="9"/>
  <c r="K19" i="9"/>
  <c r="C47" i="9"/>
  <c r="C112" i="5"/>
  <c r="L135" i="16"/>
  <c r="J45" i="9"/>
  <c r="I45" i="9"/>
  <c r="H45" i="9"/>
  <c r="F45" i="9"/>
  <c r="E45" i="9"/>
  <c r="D45" i="9"/>
  <c r="K17" i="9"/>
  <c r="C45" i="9"/>
  <c r="C110" i="5"/>
  <c r="L133" i="16"/>
  <c r="J44" i="9"/>
  <c r="I44" i="9"/>
  <c r="H44" i="9"/>
  <c r="F44" i="9"/>
  <c r="E44" i="9"/>
  <c r="D44" i="9"/>
  <c r="K16" i="9"/>
  <c r="C44" i="9"/>
  <c r="C109" i="5"/>
  <c r="L132" i="16"/>
  <c r="J42" i="9"/>
  <c r="I42" i="9"/>
  <c r="H42" i="9"/>
  <c r="F42" i="9"/>
  <c r="E42" i="9"/>
  <c r="D42" i="9"/>
  <c r="K14" i="9"/>
  <c r="C42" i="9"/>
  <c r="C107" i="5"/>
  <c r="L130" i="16"/>
  <c r="J41" i="9"/>
  <c r="I41" i="9"/>
  <c r="H41" i="9"/>
  <c r="F41" i="9"/>
  <c r="E41" i="9"/>
  <c r="D41" i="9"/>
  <c r="K13" i="9"/>
  <c r="C41" i="9"/>
  <c r="C106" i="5"/>
  <c r="L129" i="16"/>
  <c r="J46" i="9"/>
  <c r="I46" i="9"/>
  <c r="H46" i="9"/>
  <c r="F46" i="9"/>
  <c r="E46" i="9"/>
  <c r="D46" i="9"/>
  <c r="K18" i="9"/>
  <c r="C46" i="9"/>
  <c r="J43" i="9"/>
  <c r="I43" i="9"/>
  <c r="H43" i="9"/>
  <c r="F43" i="9"/>
  <c r="E43" i="9"/>
  <c r="D43" i="9"/>
  <c r="K15" i="9"/>
  <c r="C43" i="9"/>
  <c r="A1" i="16"/>
  <c r="A1" i="15"/>
  <c r="C35" i="14"/>
  <c r="B129" i="7"/>
  <c r="B35" i="14"/>
  <c r="C34" i="14"/>
  <c r="B128" i="7"/>
  <c r="B34" i="14"/>
  <c r="C33" i="14"/>
  <c r="B127" i="7"/>
  <c r="B33" i="14"/>
  <c r="C32" i="14"/>
  <c r="B126" i="7"/>
  <c r="B32" i="14"/>
  <c r="C31" i="14"/>
  <c r="B125" i="7"/>
  <c r="B31" i="14"/>
  <c r="C30" i="14"/>
  <c r="B123" i="7"/>
  <c r="B30" i="14"/>
  <c r="C29" i="14"/>
  <c r="B122" i="7"/>
  <c r="B29" i="14"/>
  <c r="C28" i="14"/>
  <c r="B120" i="7"/>
  <c r="B28" i="14"/>
  <c r="C27" i="14"/>
  <c r="B119" i="7"/>
  <c r="B27" i="14"/>
  <c r="A1" i="14"/>
  <c r="J59" i="9"/>
  <c r="I59" i="9"/>
  <c r="H59" i="9"/>
  <c r="F59" i="9"/>
  <c r="E59" i="9"/>
  <c r="D59" i="9"/>
  <c r="K31" i="9"/>
  <c r="C59" i="9"/>
  <c r="B59" i="9"/>
  <c r="J58" i="9"/>
  <c r="I58" i="9"/>
  <c r="H58" i="9"/>
  <c r="F58" i="9"/>
  <c r="E58" i="9"/>
  <c r="D58" i="9"/>
  <c r="K30" i="9"/>
  <c r="C58" i="9"/>
  <c r="B58" i="9"/>
  <c r="J57" i="9"/>
  <c r="I57" i="9"/>
  <c r="H57" i="9"/>
  <c r="F57" i="9"/>
  <c r="E57" i="9"/>
  <c r="D57" i="9"/>
  <c r="K29" i="9"/>
  <c r="C57" i="9"/>
  <c r="B57" i="9"/>
  <c r="J56" i="9"/>
  <c r="I56" i="9"/>
  <c r="H56" i="9"/>
  <c r="F56" i="9"/>
  <c r="E56" i="9"/>
  <c r="D56" i="9"/>
  <c r="K28" i="9"/>
  <c r="C56" i="9"/>
  <c r="B56" i="9"/>
  <c r="J55" i="9"/>
  <c r="I55" i="9"/>
  <c r="H55" i="9"/>
  <c r="F55" i="9"/>
  <c r="E55" i="9"/>
  <c r="D55" i="9"/>
  <c r="K27" i="9"/>
  <c r="C55" i="9"/>
  <c r="B55" i="9"/>
  <c r="B183" i="3"/>
  <c r="B219" i="3"/>
  <c r="B182" i="3"/>
  <c r="B218" i="3"/>
  <c r="B181" i="3"/>
  <c r="B217" i="3"/>
  <c r="B180" i="3"/>
  <c r="B216" i="3"/>
  <c r="B179" i="3"/>
  <c r="B215" i="3"/>
  <c r="B170" i="3"/>
  <c r="B206" i="3"/>
  <c r="B167" i="3"/>
  <c r="B203" i="3"/>
  <c r="C48" i="4"/>
  <c r="D48" i="4"/>
  <c r="C49" i="4"/>
  <c r="D49" i="4"/>
  <c r="C50" i="4"/>
  <c r="D50" i="4"/>
  <c r="C51" i="4"/>
  <c r="D51" i="4"/>
  <c r="C52" i="4"/>
  <c r="D52" i="4"/>
  <c r="C53" i="4"/>
  <c r="D53" i="4"/>
  <c r="C54" i="4"/>
  <c r="D54" i="4"/>
  <c r="B185" i="9"/>
  <c r="B202" i="9"/>
  <c r="B11" i="13"/>
  <c r="A1" i="13"/>
  <c r="B191" i="3"/>
  <c r="B227" i="3"/>
  <c r="B189" i="3"/>
  <c r="B225" i="3"/>
  <c r="B187" i="3"/>
  <c r="B223" i="3"/>
  <c r="A1" i="12"/>
  <c r="E49" i="11"/>
  <c r="D49" i="11"/>
  <c r="C49" i="11"/>
  <c r="B49" i="11"/>
  <c r="E48" i="11"/>
  <c r="D48" i="11"/>
  <c r="C48" i="11"/>
  <c r="B48" i="11"/>
  <c r="E47" i="11"/>
  <c r="D47" i="11"/>
  <c r="C47" i="11"/>
  <c r="B47" i="11"/>
  <c r="E46" i="11"/>
  <c r="D46" i="11"/>
  <c r="C46" i="11"/>
  <c r="B46" i="11"/>
  <c r="E45" i="11"/>
  <c r="D45" i="11"/>
  <c r="C45" i="11"/>
  <c r="B45" i="11"/>
  <c r="E44" i="11"/>
  <c r="D44" i="11"/>
  <c r="C44" i="11"/>
  <c r="B44" i="11"/>
  <c r="E43" i="11"/>
  <c r="D43" i="11"/>
  <c r="C43" i="11"/>
  <c r="B43" i="11"/>
  <c r="E42" i="11"/>
  <c r="D42" i="11"/>
  <c r="C42" i="11"/>
  <c r="B42" i="11"/>
  <c r="A1" i="11"/>
  <c r="B99" i="10"/>
  <c r="B79" i="10"/>
  <c r="B10" i="10"/>
  <c r="A1" i="10"/>
  <c r="B192" i="9"/>
  <c r="I202" i="9"/>
  <c r="B191" i="9"/>
  <c r="H202" i="9"/>
  <c r="B190" i="9"/>
  <c r="G202" i="9"/>
  <c r="B189" i="9"/>
  <c r="F202" i="9"/>
  <c r="B188" i="9"/>
  <c r="E202" i="9"/>
  <c r="B187" i="9"/>
  <c r="D202" i="9"/>
  <c r="B186" i="9"/>
  <c r="C202" i="9"/>
  <c r="B193" i="9"/>
  <c r="A1" i="9"/>
  <c r="B144" i="7"/>
  <c r="B142" i="7"/>
  <c r="B140" i="7"/>
  <c r="B139" i="7"/>
  <c r="B138" i="7"/>
  <c r="B145" i="7"/>
  <c r="B143" i="7"/>
  <c r="B141" i="7"/>
  <c r="B132" i="7"/>
  <c r="B131" i="7"/>
  <c r="B130" i="7"/>
  <c r="B124" i="7"/>
  <c r="B121" i="7"/>
  <c r="A1" i="8"/>
  <c r="B646" i="7"/>
  <c r="E646" i="7"/>
  <c r="C646" i="7"/>
  <c r="C659" i="7"/>
  <c r="B671" i="7"/>
  <c r="B700" i="7"/>
  <c r="E700" i="7"/>
  <c r="B736" i="7"/>
  <c r="C736" i="7"/>
  <c r="C660" i="7"/>
  <c r="B672" i="7"/>
  <c r="B701" i="7"/>
  <c r="E701" i="7"/>
  <c r="B737" i="7"/>
  <c r="C737" i="7"/>
  <c r="C661" i="7"/>
  <c r="B673" i="7"/>
  <c r="B702" i="7"/>
  <c r="E702" i="7"/>
  <c r="B738" i="7"/>
  <c r="C738" i="7"/>
  <c r="C662" i="7"/>
  <c r="B674" i="7"/>
  <c r="B703" i="7"/>
  <c r="E703" i="7"/>
  <c r="B739" i="7"/>
  <c r="C739" i="7"/>
  <c r="E722" i="7"/>
  <c r="B740" i="7"/>
  <c r="C740" i="7"/>
  <c r="B749" i="7"/>
  <c r="B255" i="7"/>
  <c r="E255" i="7"/>
  <c r="D775" i="7"/>
  <c r="D793" i="7"/>
  <c r="AK801" i="7"/>
  <c r="AK812" i="7"/>
  <c r="D646" i="7"/>
  <c r="D255" i="7"/>
  <c r="C775" i="7"/>
  <c r="C255" i="7"/>
  <c r="B775" i="7"/>
  <c r="F775" i="7"/>
  <c r="C793" i="7"/>
  <c r="AJ801" i="7"/>
  <c r="AJ812" i="7"/>
  <c r="G775" i="7"/>
  <c r="B793" i="7"/>
  <c r="AI801" i="7"/>
  <c r="AI812" i="7"/>
  <c r="B254" i="7"/>
  <c r="E254" i="7"/>
  <c r="D774" i="7"/>
  <c r="D792" i="7"/>
  <c r="AG801" i="7"/>
  <c r="AG812" i="7"/>
  <c r="D254" i="7"/>
  <c r="C774" i="7"/>
  <c r="C254" i="7"/>
  <c r="B774" i="7"/>
  <c r="F774" i="7"/>
  <c r="C792" i="7"/>
  <c r="AF801" i="7"/>
  <c r="AF812" i="7"/>
  <c r="G774" i="7"/>
  <c r="B792" i="7"/>
  <c r="AE801" i="7"/>
  <c r="AE812" i="7"/>
  <c r="B253" i="7"/>
  <c r="E253" i="7"/>
  <c r="D773" i="7"/>
  <c r="D791" i="7"/>
  <c r="AC801" i="7"/>
  <c r="AC812" i="7"/>
  <c r="D253" i="7"/>
  <c r="C773" i="7"/>
  <c r="C253" i="7"/>
  <c r="B773" i="7"/>
  <c r="F773" i="7"/>
  <c r="C791" i="7"/>
  <c r="AB801" i="7"/>
  <c r="AB812" i="7"/>
  <c r="G773" i="7"/>
  <c r="B791" i="7"/>
  <c r="AA801" i="7"/>
  <c r="AA812" i="7"/>
  <c r="B252" i="7"/>
  <c r="E252" i="7"/>
  <c r="D772" i="7"/>
  <c r="D790" i="7"/>
  <c r="Y801" i="7"/>
  <c r="Y812" i="7"/>
  <c r="D252" i="7"/>
  <c r="C772" i="7"/>
  <c r="E772" i="7"/>
  <c r="F772" i="7"/>
  <c r="C790" i="7"/>
  <c r="X801" i="7"/>
  <c r="X812" i="7"/>
  <c r="G772" i="7"/>
  <c r="B790" i="7"/>
  <c r="W801" i="7"/>
  <c r="W812" i="7"/>
  <c r="B251" i="7"/>
  <c r="E251" i="7"/>
  <c r="D771" i="7"/>
  <c r="D789" i="7"/>
  <c r="U801" i="7"/>
  <c r="U812" i="7"/>
  <c r="D251" i="7"/>
  <c r="C771" i="7"/>
  <c r="C251" i="7"/>
  <c r="B771" i="7"/>
  <c r="F771" i="7"/>
  <c r="C789" i="7"/>
  <c r="T801" i="7"/>
  <c r="T812" i="7"/>
  <c r="G771" i="7"/>
  <c r="B789" i="7"/>
  <c r="S801" i="7"/>
  <c r="S812" i="7"/>
  <c r="B250" i="7"/>
  <c r="E250" i="7"/>
  <c r="D770" i="7"/>
  <c r="D788" i="7"/>
  <c r="Q801" i="7"/>
  <c r="Q812" i="7"/>
  <c r="D250" i="7"/>
  <c r="C770" i="7"/>
  <c r="C250" i="7"/>
  <c r="B770" i="7"/>
  <c r="F770" i="7"/>
  <c r="C788" i="7"/>
  <c r="P801" i="7"/>
  <c r="P812" i="7"/>
  <c r="G770" i="7"/>
  <c r="B788" i="7"/>
  <c r="O801" i="7"/>
  <c r="O812" i="7"/>
  <c r="B249" i="7"/>
  <c r="E249" i="7"/>
  <c r="D769" i="7"/>
  <c r="D787" i="7"/>
  <c r="M801" i="7"/>
  <c r="M812" i="7"/>
  <c r="D249" i="7"/>
  <c r="C769" i="7"/>
  <c r="C249" i="7"/>
  <c r="B769" i="7"/>
  <c r="F769" i="7"/>
  <c r="C787" i="7"/>
  <c r="L801" i="7"/>
  <c r="L812" i="7"/>
  <c r="G769" i="7"/>
  <c r="B787" i="7"/>
  <c r="K801" i="7"/>
  <c r="K812" i="7"/>
  <c r="B248" i="7"/>
  <c r="E248" i="7"/>
  <c r="D768" i="7"/>
  <c r="D786" i="7"/>
  <c r="I801" i="7"/>
  <c r="I812" i="7"/>
  <c r="D248" i="7"/>
  <c r="C768" i="7"/>
  <c r="C248" i="7"/>
  <c r="B768" i="7"/>
  <c r="F768" i="7"/>
  <c r="C786" i="7"/>
  <c r="H801" i="7"/>
  <c r="H812" i="7"/>
  <c r="G768" i="7"/>
  <c r="B786" i="7"/>
  <c r="G801" i="7"/>
  <c r="G812" i="7"/>
  <c r="B247" i="7"/>
  <c r="E247" i="7"/>
  <c r="D767" i="7"/>
  <c r="D785" i="7"/>
  <c r="E801" i="7"/>
  <c r="E812" i="7"/>
  <c r="D247" i="7"/>
  <c r="C767" i="7"/>
  <c r="C247" i="7"/>
  <c r="B767" i="7"/>
  <c r="F767" i="7"/>
  <c r="C785" i="7"/>
  <c r="D801" i="7"/>
  <c r="D812" i="7"/>
  <c r="G767" i="7"/>
  <c r="B785" i="7"/>
  <c r="C801" i="7"/>
  <c r="C812" i="7"/>
  <c r="B13" i="7"/>
  <c r="D13" i="7"/>
  <c r="E775" i="7"/>
  <c r="E774" i="7"/>
  <c r="E773" i="7"/>
  <c r="C252" i="7"/>
  <c r="B772" i="7"/>
  <c r="E771" i="7"/>
  <c r="E770" i="7"/>
  <c r="E769" i="7"/>
  <c r="E768" i="7"/>
  <c r="E767" i="7"/>
  <c r="D740" i="7"/>
  <c r="D739" i="7"/>
  <c r="D738" i="7"/>
  <c r="D737" i="7"/>
  <c r="D736" i="7"/>
  <c r="D722" i="7"/>
  <c r="C722" i="7"/>
  <c r="B722" i="7"/>
  <c r="B662" i="7"/>
  <c r="E662" i="7"/>
  <c r="D674" i="7"/>
  <c r="D703" i="7"/>
  <c r="D662" i="7"/>
  <c r="C674" i="7"/>
  <c r="C703" i="7"/>
  <c r="B661" i="7"/>
  <c r="E661" i="7"/>
  <c r="D673" i="7"/>
  <c r="D702" i="7"/>
  <c r="D661" i="7"/>
  <c r="C673" i="7"/>
  <c r="C702" i="7"/>
  <c r="B660" i="7"/>
  <c r="E660" i="7"/>
  <c r="D672" i="7"/>
  <c r="D701" i="7"/>
  <c r="D660" i="7"/>
  <c r="C672" i="7"/>
  <c r="C701" i="7"/>
  <c r="B659" i="7"/>
  <c r="E659" i="7"/>
  <c r="D671" i="7"/>
  <c r="D700" i="7"/>
  <c r="D659" i="7"/>
  <c r="C671" i="7"/>
  <c r="C700" i="7"/>
  <c r="E13" i="7"/>
  <c r="AK263" i="7"/>
  <c r="AK290" i="7"/>
  <c r="AK572" i="7"/>
  <c r="AJ263" i="7"/>
  <c r="AJ290" i="7"/>
  <c r="AJ572" i="7"/>
  <c r="C13" i="7"/>
  <c r="AI263" i="7"/>
  <c r="AI290" i="7"/>
  <c r="AI572" i="7"/>
  <c r="AG263" i="7"/>
  <c r="AG290" i="7"/>
  <c r="AG572" i="7"/>
  <c r="AF263" i="7"/>
  <c r="AF290" i="7"/>
  <c r="AF572" i="7"/>
  <c r="AE263" i="7"/>
  <c r="AE290" i="7"/>
  <c r="AE572" i="7"/>
  <c r="AC263" i="7"/>
  <c r="AC290" i="7"/>
  <c r="AC572" i="7"/>
  <c r="AB263" i="7"/>
  <c r="AB290" i="7"/>
  <c r="AB572" i="7"/>
  <c r="AA263" i="7"/>
  <c r="AA290" i="7"/>
  <c r="AA572" i="7"/>
  <c r="Y263" i="7"/>
  <c r="Y290" i="7"/>
  <c r="Y572" i="7"/>
  <c r="X263" i="7"/>
  <c r="X290" i="7"/>
  <c r="X572" i="7"/>
  <c r="W263" i="7"/>
  <c r="W290" i="7"/>
  <c r="W572" i="7"/>
  <c r="U263" i="7"/>
  <c r="U290" i="7"/>
  <c r="U572" i="7"/>
  <c r="T263" i="7"/>
  <c r="T290" i="7"/>
  <c r="T572" i="7"/>
  <c r="S263" i="7"/>
  <c r="S290" i="7"/>
  <c r="S572" i="7"/>
  <c r="Q263" i="7"/>
  <c r="Q290" i="7"/>
  <c r="Q572" i="7"/>
  <c r="P263" i="7"/>
  <c r="P290" i="7"/>
  <c r="P572" i="7"/>
  <c r="O263" i="7"/>
  <c r="O290" i="7"/>
  <c r="O572" i="7"/>
  <c r="M263" i="7"/>
  <c r="M290" i="7"/>
  <c r="M572" i="7"/>
  <c r="L263" i="7"/>
  <c r="L290" i="7"/>
  <c r="L572" i="7"/>
  <c r="K263" i="7"/>
  <c r="K290" i="7"/>
  <c r="K572" i="7"/>
  <c r="I263" i="7"/>
  <c r="I290" i="7"/>
  <c r="I572" i="7"/>
  <c r="H263" i="7"/>
  <c r="H290" i="7"/>
  <c r="H572" i="7"/>
  <c r="G263" i="7"/>
  <c r="G290" i="7"/>
  <c r="G572" i="7"/>
  <c r="E263" i="7"/>
  <c r="E290" i="7"/>
  <c r="E572" i="7"/>
  <c r="D263" i="7"/>
  <c r="D290" i="7"/>
  <c r="D572" i="7"/>
  <c r="C263" i="7"/>
  <c r="C290" i="7"/>
  <c r="C572" i="7"/>
  <c r="AK289" i="7"/>
  <c r="AK571" i="7"/>
  <c r="AJ289" i="7"/>
  <c r="AJ571" i="7"/>
  <c r="AI289" i="7"/>
  <c r="AI571" i="7"/>
  <c r="AG289" i="7"/>
  <c r="AG571" i="7"/>
  <c r="AF289" i="7"/>
  <c r="AF571" i="7"/>
  <c r="AE289" i="7"/>
  <c r="AE571" i="7"/>
  <c r="AC289" i="7"/>
  <c r="AC571" i="7"/>
  <c r="AB289" i="7"/>
  <c r="AB571" i="7"/>
  <c r="AA289" i="7"/>
  <c r="AA571" i="7"/>
  <c r="Y289" i="7"/>
  <c r="Y571" i="7"/>
  <c r="X289" i="7"/>
  <c r="X571" i="7"/>
  <c r="W289" i="7"/>
  <c r="W571" i="7"/>
  <c r="U289" i="7"/>
  <c r="U571" i="7"/>
  <c r="T289" i="7"/>
  <c r="T571" i="7"/>
  <c r="S289" i="7"/>
  <c r="S571" i="7"/>
  <c r="Q289" i="7"/>
  <c r="Q571" i="7"/>
  <c r="P289" i="7"/>
  <c r="P571" i="7"/>
  <c r="O289" i="7"/>
  <c r="O571" i="7"/>
  <c r="M289" i="7"/>
  <c r="M571" i="7"/>
  <c r="L289" i="7"/>
  <c r="L571" i="7"/>
  <c r="K289" i="7"/>
  <c r="K571" i="7"/>
  <c r="I289" i="7"/>
  <c r="I571" i="7"/>
  <c r="H289" i="7"/>
  <c r="H571" i="7"/>
  <c r="G289" i="7"/>
  <c r="G571" i="7"/>
  <c r="E289" i="7"/>
  <c r="E571" i="7"/>
  <c r="D289" i="7"/>
  <c r="D571" i="7"/>
  <c r="C289" i="7"/>
  <c r="C571" i="7"/>
  <c r="AK288" i="7"/>
  <c r="AK570" i="7"/>
  <c r="AJ288" i="7"/>
  <c r="AJ570" i="7"/>
  <c r="AI288" i="7"/>
  <c r="AI570" i="7"/>
  <c r="AG288" i="7"/>
  <c r="AG570" i="7"/>
  <c r="AF288" i="7"/>
  <c r="AF570" i="7"/>
  <c r="AE288" i="7"/>
  <c r="AE570" i="7"/>
  <c r="AC288" i="7"/>
  <c r="AC570" i="7"/>
  <c r="AB288" i="7"/>
  <c r="AB570" i="7"/>
  <c r="AA288" i="7"/>
  <c r="AA570" i="7"/>
  <c r="Y288" i="7"/>
  <c r="Y570" i="7"/>
  <c r="X288" i="7"/>
  <c r="X570" i="7"/>
  <c r="W288" i="7"/>
  <c r="W570" i="7"/>
  <c r="U288" i="7"/>
  <c r="U570" i="7"/>
  <c r="T288" i="7"/>
  <c r="T570" i="7"/>
  <c r="S288" i="7"/>
  <c r="S570" i="7"/>
  <c r="Q288" i="7"/>
  <c r="Q570" i="7"/>
  <c r="P288" i="7"/>
  <c r="P570" i="7"/>
  <c r="O288" i="7"/>
  <c r="O570" i="7"/>
  <c r="M288" i="7"/>
  <c r="M570" i="7"/>
  <c r="L288" i="7"/>
  <c r="L570" i="7"/>
  <c r="K288" i="7"/>
  <c r="K570" i="7"/>
  <c r="I288" i="7"/>
  <c r="I570" i="7"/>
  <c r="H288" i="7"/>
  <c r="H570" i="7"/>
  <c r="G288" i="7"/>
  <c r="G570" i="7"/>
  <c r="E288" i="7"/>
  <c r="E570" i="7"/>
  <c r="D288" i="7"/>
  <c r="D570" i="7"/>
  <c r="C288" i="7"/>
  <c r="C570" i="7"/>
  <c r="E205" i="7"/>
  <c r="B231" i="7"/>
  <c r="C231" i="7"/>
  <c r="AK287" i="7"/>
  <c r="AK569" i="7"/>
  <c r="AJ287" i="7"/>
  <c r="AJ569" i="7"/>
  <c r="AI287" i="7"/>
  <c r="AI569" i="7"/>
  <c r="AG287" i="7"/>
  <c r="AG569" i="7"/>
  <c r="AF287" i="7"/>
  <c r="AF569" i="7"/>
  <c r="AE287" i="7"/>
  <c r="AE569" i="7"/>
  <c r="AC287" i="7"/>
  <c r="AC569" i="7"/>
  <c r="AB287" i="7"/>
  <c r="AB569" i="7"/>
  <c r="AA287" i="7"/>
  <c r="AA569" i="7"/>
  <c r="Y287" i="7"/>
  <c r="Y569" i="7"/>
  <c r="X287" i="7"/>
  <c r="X569" i="7"/>
  <c r="W287" i="7"/>
  <c r="W569" i="7"/>
  <c r="U287" i="7"/>
  <c r="U569" i="7"/>
  <c r="T287" i="7"/>
  <c r="T569" i="7"/>
  <c r="S287" i="7"/>
  <c r="S569" i="7"/>
  <c r="Q287" i="7"/>
  <c r="Q569" i="7"/>
  <c r="P287" i="7"/>
  <c r="P569" i="7"/>
  <c r="O287" i="7"/>
  <c r="O569" i="7"/>
  <c r="M287" i="7"/>
  <c r="M569" i="7"/>
  <c r="L287" i="7"/>
  <c r="L569" i="7"/>
  <c r="K287" i="7"/>
  <c r="K569" i="7"/>
  <c r="I287" i="7"/>
  <c r="I569" i="7"/>
  <c r="H287" i="7"/>
  <c r="H569" i="7"/>
  <c r="G287" i="7"/>
  <c r="G569" i="7"/>
  <c r="E287" i="7"/>
  <c r="E569" i="7"/>
  <c r="D287" i="7"/>
  <c r="D569" i="7"/>
  <c r="C287" i="7"/>
  <c r="C569" i="7"/>
  <c r="E204" i="7"/>
  <c r="B230" i="7"/>
  <c r="C230" i="7"/>
  <c r="AK286" i="7"/>
  <c r="AK568" i="7"/>
  <c r="AJ286" i="7"/>
  <c r="AJ568" i="7"/>
  <c r="AI286" i="7"/>
  <c r="AI568" i="7"/>
  <c r="AG286" i="7"/>
  <c r="AG568" i="7"/>
  <c r="AF286" i="7"/>
  <c r="AF568" i="7"/>
  <c r="AE286" i="7"/>
  <c r="AE568" i="7"/>
  <c r="AC286" i="7"/>
  <c r="AC568" i="7"/>
  <c r="AB286" i="7"/>
  <c r="AB568" i="7"/>
  <c r="AA286" i="7"/>
  <c r="AA568" i="7"/>
  <c r="Y286" i="7"/>
  <c r="Y568" i="7"/>
  <c r="X286" i="7"/>
  <c r="X568" i="7"/>
  <c r="W286" i="7"/>
  <c r="W568" i="7"/>
  <c r="U286" i="7"/>
  <c r="U568" i="7"/>
  <c r="T286" i="7"/>
  <c r="T568" i="7"/>
  <c r="S286" i="7"/>
  <c r="S568" i="7"/>
  <c r="Q286" i="7"/>
  <c r="Q568" i="7"/>
  <c r="P286" i="7"/>
  <c r="P568" i="7"/>
  <c r="O286" i="7"/>
  <c r="O568" i="7"/>
  <c r="M286" i="7"/>
  <c r="M568" i="7"/>
  <c r="L286" i="7"/>
  <c r="L568" i="7"/>
  <c r="K286" i="7"/>
  <c r="K568" i="7"/>
  <c r="I286" i="7"/>
  <c r="I568" i="7"/>
  <c r="H286" i="7"/>
  <c r="H568" i="7"/>
  <c r="G286" i="7"/>
  <c r="G568" i="7"/>
  <c r="E286" i="7"/>
  <c r="E568" i="7"/>
  <c r="D286" i="7"/>
  <c r="D568" i="7"/>
  <c r="C286" i="7"/>
  <c r="C568" i="7"/>
  <c r="E203" i="7"/>
  <c r="B229" i="7"/>
  <c r="C229" i="7"/>
  <c r="AK285" i="7"/>
  <c r="AK567" i="7"/>
  <c r="AJ285" i="7"/>
  <c r="AJ567" i="7"/>
  <c r="AI285" i="7"/>
  <c r="AI567" i="7"/>
  <c r="AG285" i="7"/>
  <c r="AG567" i="7"/>
  <c r="AF285" i="7"/>
  <c r="AF567" i="7"/>
  <c r="AE285" i="7"/>
  <c r="AE567" i="7"/>
  <c r="AC285" i="7"/>
  <c r="AC567" i="7"/>
  <c r="AB285" i="7"/>
  <c r="AB567" i="7"/>
  <c r="AA285" i="7"/>
  <c r="AA567" i="7"/>
  <c r="Y285" i="7"/>
  <c r="Y567" i="7"/>
  <c r="X285" i="7"/>
  <c r="X567" i="7"/>
  <c r="W285" i="7"/>
  <c r="W567" i="7"/>
  <c r="U285" i="7"/>
  <c r="U567" i="7"/>
  <c r="T285" i="7"/>
  <c r="T567" i="7"/>
  <c r="S285" i="7"/>
  <c r="S567" i="7"/>
  <c r="Q285" i="7"/>
  <c r="Q567" i="7"/>
  <c r="P285" i="7"/>
  <c r="P567" i="7"/>
  <c r="O285" i="7"/>
  <c r="O567" i="7"/>
  <c r="M285" i="7"/>
  <c r="M567" i="7"/>
  <c r="L285" i="7"/>
  <c r="L567" i="7"/>
  <c r="K285" i="7"/>
  <c r="K567" i="7"/>
  <c r="I285" i="7"/>
  <c r="I567" i="7"/>
  <c r="H285" i="7"/>
  <c r="H567" i="7"/>
  <c r="G285" i="7"/>
  <c r="G567" i="7"/>
  <c r="E285" i="7"/>
  <c r="E567" i="7"/>
  <c r="D285" i="7"/>
  <c r="D567" i="7"/>
  <c r="C285" i="7"/>
  <c r="C567" i="7"/>
  <c r="E202" i="7"/>
  <c r="B228" i="7"/>
  <c r="C228" i="7"/>
  <c r="AK284" i="7"/>
  <c r="AK419" i="7"/>
  <c r="B308" i="7"/>
  <c r="AJ284" i="7"/>
  <c r="AJ419" i="7"/>
  <c r="AI284" i="7"/>
  <c r="AI419" i="7"/>
  <c r="AG284" i="7"/>
  <c r="AG419" i="7"/>
  <c r="AF284" i="7"/>
  <c r="AF419" i="7"/>
  <c r="AE284" i="7"/>
  <c r="AE419" i="7"/>
  <c r="AC284" i="7"/>
  <c r="AC419" i="7"/>
  <c r="AB284" i="7"/>
  <c r="AB419" i="7"/>
  <c r="AA284" i="7"/>
  <c r="AA419" i="7"/>
  <c r="Y284" i="7"/>
  <c r="Y419" i="7"/>
  <c r="X284" i="7"/>
  <c r="X419" i="7"/>
  <c r="W284" i="7"/>
  <c r="W419" i="7"/>
  <c r="U284" i="7"/>
  <c r="U419" i="7"/>
  <c r="T284" i="7"/>
  <c r="T419" i="7"/>
  <c r="S284" i="7"/>
  <c r="S419" i="7"/>
  <c r="Q284" i="7"/>
  <c r="Q419" i="7"/>
  <c r="P284" i="7"/>
  <c r="P419" i="7"/>
  <c r="O284" i="7"/>
  <c r="O419" i="7"/>
  <c r="M284" i="7"/>
  <c r="M419" i="7"/>
  <c r="L284" i="7"/>
  <c r="L419" i="7"/>
  <c r="K284" i="7"/>
  <c r="K419" i="7"/>
  <c r="I284" i="7"/>
  <c r="I419" i="7"/>
  <c r="H284" i="7"/>
  <c r="H419" i="7"/>
  <c r="G284" i="7"/>
  <c r="G419" i="7"/>
  <c r="E284" i="7"/>
  <c r="E419" i="7"/>
  <c r="D284" i="7"/>
  <c r="D419" i="7"/>
  <c r="C284" i="7"/>
  <c r="C419" i="7"/>
  <c r="E201" i="7"/>
  <c r="B227" i="7"/>
  <c r="C227" i="7"/>
  <c r="AK283" i="7"/>
  <c r="AK418" i="7"/>
  <c r="B307" i="7"/>
  <c r="AJ283" i="7"/>
  <c r="AJ418" i="7"/>
  <c r="AI283" i="7"/>
  <c r="AI418" i="7"/>
  <c r="AG283" i="7"/>
  <c r="AG418" i="7"/>
  <c r="AF283" i="7"/>
  <c r="AF418" i="7"/>
  <c r="AE283" i="7"/>
  <c r="AE418" i="7"/>
  <c r="AC283" i="7"/>
  <c r="AC418" i="7"/>
  <c r="AB283" i="7"/>
  <c r="AB418" i="7"/>
  <c r="AA283" i="7"/>
  <c r="AA418" i="7"/>
  <c r="Y283" i="7"/>
  <c r="Y418" i="7"/>
  <c r="X283" i="7"/>
  <c r="X418" i="7"/>
  <c r="W283" i="7"/>
  <c r="W418" i="7"/>
  <c r="U283" i="7"/>
  <c r="U418" i="7"/>
  <c r="T283" i="7"/>
  <c r="T418" i="7"/>
  <c r="S283" i="7"/>
  <c r="S418" i="7"/>
  <c r="Q283" i="7"/>
  <c r="Q418" i="7"/>
  <c r="P283" i="7"/>
  <c r="P418" i="7"/>
  <c r="O283" i="7"/>
  <c r="O418" i="7"/>
  <c r="M283" i="7"/>
  <c r="M418" i="7"/>
  <c r="L283" i="7"/>
  <c r="L418" i="7"/>
  <c r="K283" i="7"/>
  <c r="K418" i="7"/>
  <c r="I283" i="7"/>
  <c r="I418" i="7"/>
  <c r="H283" i="7"/>
  <c r="H418" i="7"/>
  <c r="G283" i="7"/>
  <c r="G418" i="7"/>
  <c r="E283" i="7"/>
  <c r="E418" i="7"/>
  <c r="D283" i="7"/>
  <c r="D418" i="7"/>
  <c r="C283" i="7"/>
  <c r="C418" i="7"/>
  <c r="C34" i="7"/>
  <c r="B51" i="7"/>
  <c r="C76" i="7"/>
  <c r="B89" i="7"/>
  <c r="B182" i="7"/>
  <c r="E182" i="7"/>
  <c r="B226" i="7"/>
  <c r="C226" i="7"/>
  <c r="AK282" i="7"/>
  <c r="AK564" i="7"/>
  <c r="AJ282" i="7"/>
  <c r="AJ564" i="7"/>
  <c r="AI282" i="7"/>
  <c r="AI564" i="7"/>
  <c r="AG282" i="7"/>
  <c r="AG564" i="7"/>
  <c r="AF282" i="7"/>
  <c r="AF564" i="7"/>
  <c r="AE282" i="7"/>
  <c r="AE564" i="7"/>
  <c r="AC282" i="7"/>
  <c r="AC564" i="7"/>
  <c r="AB282" i="7"/>
  <c r="AB564" i="7"/>
  <c r="AA282" i="7"/>
  <c r="AA564" i="7"/>
  <c r="Y282" i="7"/>
  <c r="Y564" i="7"/>
  <c r="X282" i="7"/>
  <c r="X564" i="7"/>
  <c r="W282" i="7"/>
  <c r="W564" i="7"/>
  <c r="U282" i="7"/>
  <c r="U564" i="7"/>
  <c r="T282" i="7"/>
  <c r="T564" i="7"/>
  <c r="S282" i="7"/>
  <c r="S564" i="7"/>
  <c r="Q282" i="7"/>
  <c r="Q564" i="7"/>
  <c r="P282" i="7"/>
  <c r="P564" i="7"/>
  <c r="O282" i="7"/>
  <c r="O564" i="7"/>
  <c r="M282" i="7"/>
  <c r="M564" i="7"/>
  <c r="L282" i="7"/>
  <c r="L564" i="7"/>
  <c r="K282" i="7"/>
  <c r="K564" i="7"/>
  <c r="I282" i="7"/>
  <c r="I564" i="7"/>
  <c r="H282" i="7"/>
  <c r="H564" i="7"/>
  <c r="G282" i="7"/>
  <c r="G564" i="7"/>
  <c r="E282" i="7"/>
  <c r="E564" i="7"/>
  <c r="D282" i="7"/>
  <c r="D564" i="7"/>
  <c r="C282" i="7"/>
  <c r="C564" i="7"/>
  <c r="B181" i="7"/>
  <c r="E181" i="7"/>
  <c r="B225" i="7"/>
  <c r="C225" i="7"/>
  <c r="AK281" i="7"/>
  <c r="AK563" i="7"/>
  <c r="AJ281" i="7"/>
  <c r="AJ563" i="7"/>
  <c r="AI281" i="7"/>
  <c r="AI563" i="7"/>
  <c r="AG281" i="7"/>
  <c r="AG563" i="7"/>
  <c r="AF281" i="7"/>
  <c r="AF563" i="7"/>
  <c r="AE281" i="7"/>
  <c r="AE563" i="7"/>
  <c r="AC281" i="7"/>
  <c r="AC563" i="7"/>
  <c r="AB281" i="7"/>
  <c r="AB563" i="7"/>
  <c r="AA281" i="7"/>
  <c r="AA563" i="7"/>
  <c r="Y281" i="7"/>
  <c r="Y563" i="7"/>
  <c r="X281" i="7"/>
  <c r="X563" i="7"/>
  <c r="W281" i="7"/>
  <c r="W563" i="7"/>
  <c r="U281" i="7"/>
  <c r="U563" i="7"/>
  <c r="T281" i="7"/>
  <c r="T563" i="7"/>
  <c r="S281" i="7"/>
  <c r="S563" i="7"/>
  <c r="Q281" i="7"/>
  <c r="Q563" i="7"/>
  <c r="P281" i="7"/>
  <c r="P563" i="7"/>
  <c r="O281" i="7"/>
  <c r="O563" i="7"/>
  <c r="M281" i="7"/>
  <c r="M563" i="7"/>
  <c r="L281" i="7"/>
  <c r="L563" i="7"/>
  <c r="K281" i="7"/>
  <c r="K563" i="7"/>
  <c r="I281" i="7"/>
  <c r="I563" i="7"/>
  <c r="H281" i="7"/>
  <c r="H563" i="7"/>
  <c r="G281" i="7"/>
  <c r="G563" i="7"/>
  <c r="E281" i="7"/>
  <c r="E563" i="7"/>
  <c r="D281" i="7"/>
  <c r="D563" i="7"/>
  <c r="C281" i="7"/>
  <c r="C563" i="7"/>
  <c r="B180" i="7"/>
  <c r="E180" i="7"/>
  <c r="B224" i="7"/>
  <c r="C224" i="7"/>
  <c r="AK280" i="7"/>
  <c r="AK562" i="7"/>
  <c r="AJ280" i="7"/>
  <c r="AJ562" i="7"/>
  <c r="AI280" i="7"/>
  <c r="AI562" i="7"/>
  <c r="AG280" i="7"/>
  <c r="AG562" i="7"/>
  <c r="AF280" i="7"/>
  <c r="AF562" i="7"/>
  <c r="AE280" i="7"/>
  <c r="AE562" i="7"/>
  <c r="AC280" i="7"/>
  <c r="AC562" i="7"/>
  <c r="AB280" i="7"/>
  <c r="AB562" i="7"/>
  <c r="AA280" i="7"/>
  <c r="AA562" i="7"/>
  <c r="Y280" i="7"/>
  <c r="Y562" i="7"/>
  <c r="X280" i="7"/>
  <c r="X562" i="7"/>
  <c r="W280" i="7"/>
  <c r="W562" i="7"/>
  <c r="U280" i="7"/>
  <c r="U562" i="7"/>
  <c r="T280" i="7"/>
  <c r="T562" i="7"/>
  <c r="S280" i="7"/>
  <c r="S562" i="7"/>
  <c r="Q280" i="7"/>
  <c r="Q562" i="7"/>
  <c r="P280" i="7"/>
  <c r="P562" i="7"/>
  <c r="O280" i="7"/>
  <c r="O562" i="7"/>
  <c r="M280" i="7"/>
  <c r="M562" i="7"/>
  <c r="L280" i="7"/>
  <c r="L562" i="7"/>
  <c r="K280" i="7"/>
  <c r="K562" i="7"/>
  <c r="I280" i="7"/>
  <c r="I562" i="7"/>
  <c r="H280" i="7"/>
  <c r="H562" i="7"/>
  <c r="G280" i="7"/>
  <c r="G562" i="7"/>
  <c r="E280" i="7"/>
  <c r="E562" i="7"/>
  <c r="D280" i="7"/>
  <c r="D562" i="7"/>
  <c r="C280" i="7"/>
  <c r="C562" i="7"/>
  <c r="AK279" i="7"/>
  <c r="AK382" i="7"/>
  <c r="AJ279" i="7"/>
  <c r="AJ382" i="7"/>
  <c r="AI279" i="7"/>
  <c r="AI382" i="7"/>
  <c r="AG279" i="7"/>
  <c r="AG382" i="7"/>
  <c r="AF279" i="7"/>
  <c r="AF382" i="7"/>
  <c r="AE279" i="7"/>
  <c r="AE382" i="7"/>
  <c r="AC279" i="7"/>
  <c r="AC382" i="7"/>
  <c r="AB279" i="7"/>
  <c r="AB382" i="7"/>
  <c r="AA279" i="7"/>
  <c r="AA382" i="7"/>
  <c r="Y279" i="7"/>
  <c r="Y382" i="7"/>
  <c r="X279" i="7"/>
  <c r="X382" i="7"/>
  <c r="W279" i="7"/>
  <c r="W382" i="7"/>
  <c r="U279" i="7"/>
  <c r="U382" i="7"/>
  <c r="T279" i="7"/>
  <c r="T382" i="7"/>
  <c r="S279" i="7"/>
  <c r="S382" i="7"/>
  <c r="Q279" i="7"/>
  <c r="Q382" i="7"/>
  <c r="P279" i="7"/>
  <c r="P382" i="7"/>
  <c r="O279" i="7"/>
  <c r="O382" i="7"/>
  <c r="M279" i="7"/>
  <c r="M382" i="7"/>
  <c r="L279" i="7"/>
  <c r="L382" i="7"/>
  <c r="K279" i="7"/>
  <c r="K382" i="7"/>
  <c r="I279" i="7"/>
  <c r="I382" i="7"/>
  <c r="H279" i="7"/>
  <c r="H382" i="7"/>
  <c r="G279" i="7"/>
  <c r="G382" i="7"/>
  <c r="E279" i="7"/>
  <c r="E382" i="7"/>
  <c r="D279" i="7"/>
  <c r="D382" i="7"/>
  <c r="C279" i="7"/>
  <c r="C382" i="7"/>
  <c r="C30" i="7"/>
  <c r="B47" i="7"/>
  <c r="C73" i="7"/>
  <c r="B86" i="7"/>
  <c r="B179" i="7"/>
  <c r="E179" i="7"/>
  <c r="B222" i="7"/>
  <c r="C222" i="7"/>
  <c r="AK278" i="7"/>
  <c r="AK345" i="7"/>
  <c r="AJ278" i="7"/>
  <c r="AJ345" i="7"/>
  <c r="AI278" i="7"/>
  <c r="AI345" i="7"/>
  <c r="AG278" i="7"/>
  <c r="AG345" i="7"/>
  <c r="AF278" i="7"/>
  <c r="AF345" i="7"/>
  <c r="AE278" i="7"/>
  <c r="AE345" i="7"/>
  <c r="AC278" i="7"/>
  <c r="AC345" i="7"/>
  <c r="AB278" i="7"/>
  <c r="AB345" i="7"/>
  <c r="AA278" i="7"/>
  <c r="AA345" i="7"/>
  <c r="Y278" i="7"/>
  <c r="Y345" i="7"/>
  <c r="X278" i="7"/>
  <c r="X345" i="7"/>
  <c r="W278" i="7"/>
  <c r="W345" i="7"/>
  <c r="U278" i="7"/>
  <c r="U345" i="7"/>
  <c r="T278" i="7"/>
  <c r="T345" i="7"/>
  <c r="S278" i="7"/>
  <c r="S345" i="7"/>
  <c r="Q278" i="7"/>
  <c r="Q345" i="7"/>
  <c r="P278" i="7"/>
  <c r="P345" i="7"/>
  <c r="O278" i="7"/>
  <c r="O345" i="7"/>
  <c r="M278" i="7"/>
  <c r="M345" i="7"/>
  <c r="L278" i="7"/>
  <c r="L345" i="7"/>
  <c r="K278" i="7"/>
  <c r="K345" i="7"/>
  <c r="I278" i="7"/>
  <c r="I345" i="7"/>
  <c r="H278" i="7"/>
  <c r="H345" i="7"/>
  <c r="G278" i="7"/>
  <c r="G345" i="7"/>
  <c r="E278" i="7"/>
  <c r="E345" i="7"/>
  <c r="D278" i="7"/>
  <c r="D345" i="7"/>
  <c r="C278" i="7"/>
  <c r="C345" i="7"/>
  <c r="C29" i="7"/>
  <c r="B46" i="7"/>
  <c r="B161" i="7"/>
  <c r="E161" i="7"/>
  <c r="B221" i="7"/>
  <c r="C221" i="7"/>
  <c r="AK277" i="7"/>
  <c r="AK299" i="7"/>
  <c r="AJ277" i="7"/>
  <c r="AJ299" i="7"/>
  <c r="AI277" i="7"/>
  <c r="AI299" i="7"/>
  <c r="AG277" i="7"/>
  <c r="AG299" i="7"/>
  <c r="AF277" i="7"/>
  <c r="AF299" i="7"/>
  <c r="AE277" i="7"/>
  <c r="AE299" i="7"/>
  <c r="AC277" i="7"/>
  <c r="AC299" i="7"/>
  <c r="AB277" i="7"/>
  <c r="AB299" i="7"/>
  <c r="AA277" i="7"/>
  <c r="AA299" i="7"/>
  <c r="Y277" i="7"/>
  <c r="Y299" i="7"/>
  <c r="X277" i="7"/>
  <c r="X299" i="7"/>
  <c r="W277" i="7"/>
  <c r="W299" i="7"/>
  <c r="U277" i="7"/>
  <c r="U299" i="7"/>
  <c r="T277" i="7"/>
  <c r="T299" i="7"/>
  <c r="S277" i="7"/>
  <c r="S299" i="7"/>
  <c r="Q277" i="7"/>
  <c r="Q299" i="7"/>
  <c r="P277" i="7"/>
  <c r="P299" i="7"/>
  <c r="O277" i="7"/>
  <c r="O299" i="7"/>
  <c r="M277" i="7"/>
  <c r="M299" i="7"/>
  <c r="L277" i="7"/>
  <c r="L299" i="7"/>
  <c r="K277" i="7"/>
  <c r="K299" i="7"/>
  <c r="I277" i="7"/>
  <c r="I299" i="7"/>
  <c r="H277" i="7"/>
  <c r="H299" i="7"/>
  <c r="G277" i="7"/>
  <c r="G299" i="7"/>
  <c r="E277" i="7"/>
  <c r="E299" i="7"/>
  <c r="D277" i="7"/>
  <c r="D299" i="7"/>
  <c r="C277" i="7"/>
  <c r="C299" i="7"/>
  <c r="AK276" i="7"/>
  <c r="AK381" i="7"/>
  <c r="AJ276" i="7"/>
  <c r="AJ381" i="7"/>
  <c r="AI276" i="7"/>
  <c r="AI381" i="7"/>
  <c r="AG276" i="7"/>
  <c r="AG381" i="7"/>
  <c r="AF276" i="7"/>
  <c r="AF381" i="7"/>
  <c r="AE276" i="7"/>
  <c r="AE381" i="7"/>
  <c r="AC276" i="7"/>
  <c r="AC381" i="7"/>
  <c r="AB276" i="7"/>
  <c r="AB381" i="7"/>
  <c r="AA276" i="7"/>
  <c r="AA381" i="7"/>
  <c r="Y276" i="7"/>
  <c r="Y381" i="7"/>
  <c r="X276" i="7"/>
  <c r="X381" i="7"/>
  <c r="W276" i="7"/>
  <c r="W381" i="7"/>
  <c r="U276" i="7"/>
  <c r="U381" i="7"/>
  <c r="T276" i="7"/>
  <c r="T381" i="7"/>
  <c r="S276" i="7"/>
  <c r="S381" i="7"/>
  <c r="Q276" i="7"/>
  <c r="Q381" i="7"/>
  <c r="P276" i="7"/>
  <c r="P381" i="7"/>
  <c r="O276" i="7"/>
  <c r="O381" i="7"/>
  <c r="M276" i="7"/>
  <c r="M381" i="7"/>
  <c r="L276" i="7"/>
  <c r="L381" i="7"/>
  <c r="K276" i="7"/>
  <c r="K381" i="7"/>
  <c r="I276" i="7"/>
  <c r="I381" i="7"/>
  <c r="H276" i="7"/>
  <c r="H381" i="7"/>
  <c r="G276" i="7"/>
  <c r="G381" i="7"/>
  <c r="E276" i="7"/>
  <c r="E381" i="7"/>
  <c r="D276" i="7"/>
  <c r="D381" i="7"/>
  <c r="C276" i="7"/>
  <c r="C381" i="7"/>
  <c r="C27" i="7"/>
  <c r="B44" i="7"/>
  <c r="C72" i="7"/>
  <c r="B85" i="7"/>
  <c r="B178" i="7"/>
  <c r="E178" i="7"/>
  <c r="B219" i="7"/>
  <c r="C219" i="7"/>
  <c r="AK275" i="7"/>
  <c r="AK344" i="7"/>
  <c r="AJ275" i="7"/>
  <c r="AJ344" i="7"/>
  <c r="AI275" i="7"/>
  <c r="AI344" i="7"/>
  <c r="AG275" i="7"/>
  <c r="AG344" i="7"/>
  <c r="AF275" i="7"/>
  <c r="AF344" i="7"/>
  <c r="AE275" i="7"/>
  <c r="AE344" i="7"/>
  <c r="AC275" i="7"/>
  <c r="AC344" i="7"/>
  <c r="AB275" i="7"/>
  <c r="AB344" i="7"/>
  <c r="AA275" i="7"/>
  <c r="AA344" i="7"/>
  <c r="Y275" i="7"/>
  <c r="Y344" i="7"/>
  <c r="X275" i="7"/>
  <c r="X344" i="7"/>
  <c r="W275" i="7"/>
  <c r="W344" i="7"/>
  <c r="U275" i="7"/>
  <c r="U344" i="7"/>
  <c r="T275" i="7"/>
  <c r="T344" i="7"/>
  <c r="S275" i="7"/>
  <c r="S344" i="7"/>
  <c r="Q275" i="7"/>
  <c r="Q344" i="7"/>
  <c r="P275" i="7"/>
  <c r="P344" i="7"/>
  <c r="O275" i="7"/>
  <c r="O344" i="7"/>
  <c r="M275" i="7"/>
  <c r="M344" i="7"/>
  <c r="L275" i="7"/>
  <c r="L344" i="7"/>
  <c r="K275" i="7"/>
  <c r="K344" i="7"/>
  <c r="I275" i="7"/>
  <c r="I344" i="7"/>
  <c r="H275" i="7"/>
  <c r="H344" i="7"/>
  <c r="G275" i="7"/>
  <c r="G344" i="7"/>
  <c r="E275" i="7"/>
  <c r="E344" i="7"/>
  <c r="D275" i="7"/>
  <c r="D344" i="7"/>
  <c r="C275" i="7"/>
  <c r="C344" i="7"/>
  <c r="C26" i="7"/>
  <c r="B43" i="7"/>
  <c r="B160" i="7"/>
  <c r="E160" i="7"/>
  <c r="B218" i="7"/>
  <c r="C218" i="7"/>
  <c r="AK274" i="7"/>
  <c r="AK298" i="7"/>
  <c r="AJ274" i="7"/>
  <c r="AJ298" i="7"/>
  <c r="AI274" i="7"/>
  <c r="AI298" i="7"/>
  <c r="AG274" i="7"/>
  <c r="AG298" i="7"/>
  <c r="AF274" i="7"/>
  <c r="AF298" i="7"/>
  <c r="AE274" i="7"/>
  <c r="AE298" i="7"/>
  <c r="AC274" i="7"/>
  <c r="AC298" i="7"/>
  <c r="AB274" i="7"/>
  <c r="AB298" i="7"/>
  <c r="AA274" i="7"/>
  <c r="AA298" i="7"/>
  <c r="Y274" i="7"/>
  <c r="Y298" i="7"/>
  <c r="X274" i="7"/>
  <c r="X298" i="7"/>
  <c r="W274" i="7"/>
  <c r="W298" i="7"/>
  <c r="U274" i="7"/>
  <c r="U298" i="7"/>
  <c r="T274" i="7"/>
  <c r="T298" i="7"/>
  <c r="S274" i="7"/>
  <c r="S298" i="7"/>
  <c r="Q274" i="7"/>
  <c r="Q298" i="7"/>
  <c r="P274" i="7"/>
  <c r="P298" i="7"/>
  <c r="O274" i="7"/>
  <c r="O298" i="7"/>
  <c r="M274" i="7"/>
  <c r="M298" i="7"/>
  <c r="L274" i="7"/>
  <c r="L298" i="7"/>
  <c r="K274" i="7"/>
  <c r="K298" i="7"/>
  <c r="I274" i="7"/>
  <c r="I298" i="7"/>
  <c r="H274" i="7"/>
  <c r="H298" i="7"/>
  <c r="G274" i="7"/>
  <c r="G298" i="7"/>
  <c r="E274" i="7"/>
  <c r="E298" i="7"/>
  <c r="D274" i="7"/>
  <c r="D298" i="7"/>
  <c r="C274" i="7"/>
  <c r="C298" i="7"/>
  <c r="B29" i="7"/>
  <c r="E29" i="7"/>
  <c r="D46" i="7"/>
  <c r="D317" i="7"/>
  <c r="B336" i="7"/>
  <c r="B30" i="7"/>
  <c r="E30" i="7"/>
  <c r="D47" i="7"/>
  <c r="B73" i="7"/>
  <c r="E73" i="7"/>
  <c r="D86" i="7"/>
  <c r="D179" i="7"/>
  <c r="D354" i="7"/>
  <c r="B373" i="7"/>
  <c r="B31" i="7"/>
  <c r="E31" i="7"/>
  <c r="D48" i="7"/>
  <c r="D391" i="7"/>
  <c r="D466" i="7"/>
  <c r="D29" i="7"/>
  <c r="C46" i="7"/>
  <c r="C317" i="7"/>
  <c r="D30" i="7"/>
  <c r="C47" i="7"/>
  <c r="D73" i="7"/>
  <c r="C86" i="7"/>
  <c r="C179" i="7"/>
  <c r="C354" i="7"/>
  <c r="D31" i="7"/>
  <c r="C48" i="7"/>
  <c r="C391" i="7"/>
  <c r="C466" i="7"/>
  <c r="B317" i="7"/>
  <c r="B354" i="7"/>
  <c r="C31" i="7"/>
  <c r="B48" i="7"/>
  <c r="B391" i="7"/>
  <c r="B466" i="7"/>
  <c r="B26" i="7"/>
  <c r="E26" i="7"/>
  <c r="D43" i="7"/>
  <c r="D316" i="7"/>
  <c r="B335" i="7"/>
  <c r="B27" i="7"/>
  <c r="E27" i="7"/>
  <c r="D44" i="7"/>
  <c r="B72" i="7"/>
  <c r="E72" i="7"/>
  <c r="D85" i="7"/>
  <c r="D178" i="7"/>
  <c r="D353" i="7"/>
  <c r="B372" i="7"/>
  <c r="B28" i="7"/>
  <c r="E28" i="7"/>
  <c r="D45" i="7"/>
  <c r="D390" i="7"/>
  <c r="D465" i="7"/>
  <c r="D26" i="7"/>
  <c r="C43" i="7"/>
  <c r="C316" i="7"/>
  <c r="D27" i="7"/>
  <c r="C44" i="7"/>
  <c r="D72" i="7"/>
  <c r="C85" i="7"/>
  <c r="C178" i="7"/>
  <c r="C353" i="7"/>
  <c r="D28" i="7"/>
  <c r="C45" i="7"/>
  <c r="C390" i="7"/>
  <c r="C465" i="7"/>
  <c r="B316" i="7"/>
  <c r="B353" i="7"/>
  <c r="C28" i="7"/>
  <c r="B45" i="7"/>
  <c r="B390" i="7"/>
  <c r="B465" i="7"/>
  <c r="D202" i="7"/>
  <c r="D428" i="7"/>
  <c r="C202" i="7"/>
  <c r="C428" i="7"/>
  <c r="B202" i="7"/>
  <c r="B428" i="7"/>
  <c r="D201" i="7"/>
  <c r="D427" i="7"/>
  <c r="C201" i="7"/>
  <c r="C427" i="7"/>
  <c r="B201" i="7"/>
  <c r="B427" i="7"/>
  <c r="B410" i="7"/>
  <c r="B409" i="7"/>
  <c r="J401" i="7"/>
  <c r="I401" i="7"/>
  <c r="H401" i="7"/>
  <c r="G401" i="7"/>
  <c r="F401" i="7"/>
  <c r="E401" i="7"/>
  <c r="D401" i="7"/>
  <c r="C401" i="7"/>
  <c r="B401" i="7"/>
  <c r="J400" i="7"/>
  <c r="I400" i="7"/>
  <c r="H400" i="7"/>
  <c r="G400" i="7"/>
  <c r="F400" i="7"/>
  <c r="E400" i="7"/>
  <c r="D400" i="7"/>
  <c r="C400" i="7"/>
  <c r="B400" i="7"/>
  <c r="J364" i="7"/>
  <c r="I364" i="7"/>
  <c r="H364" i="7"/>
  <c r="G364" i="7"/>
  <c r="F364" i="7"/>
  <c r="E364" i="7"/>
  <c r="D364" i="7"/>
  <c r="C364" i="7"/>
  <c r="B364" i="7"/>
  <c r="J363" i="7"/>
  <c r="I363" i="7"/>
  <c r="H363" i="7"/>
  <c r="G363" i="7"/>
  <c r="F363" i="7"/>
  <c r="E363" i="7"/>
  <c r="D363" i="7"/>
  <c r="C363" i="7"/>
  <c r="B363" i="7"/>
  <c r="C234" i="7"/>
  <c r="C233" i="7"/>
  <c r="C232" i="7"/>
  <c r="C223" i="7"/>
  <c r="C220" i="7"/>
  <c r="D205" i="7"/>
  <c r="C205" i="7"/>
  <c r="B205" i="7"/>
  <c r="D204" i="7"/>
  <c r="C204" i="7"/>
  <c r="B204" i="7"/>
  <c r="D203" i="7"/>
  <c r="C203" i="7"/>
  <c r="B203" i="7"/>
  <c r="B34" i="7"/>
  <c r="E34" i="7"/>
  <c r="D51" i="7"/>
  <c r="B76" i="7"/>
  <c r="E76" i="7"/>
  <c r="D89" i="7"/>
  <c r="D182" i="7"/>
  <c r="D34" i="7"/>
  <c r="C51" i="7"/>
  <c r="D76" i="7"/>
  <c r="C89" i="7"/>
  <c r="C182" i="7"/>
  <c r="D181" i="7"/>
  <c r="C181" i="7"/>
  <c r="D180" i="7"/>
  <c r="C180" i="7"/>
  <c r="D161" i="7"/>
  <c r="C161" i="7"/>
  <c r="D160" i="7"/>
  <c r="C160" i="7"/>
  <c r="B75" i="7"/>
  <c r="E75" i="7"/>
  <c r="D88" i="7"/>
  <c r="D75" i="7"/>
  <c r="C88" i="7"/>
  <c r="C75" i="7"/>
  <c r="B88" i="7"/>
  <c r="B74" i="7"/>
  <c r="E74" i="7"/>
  <c r="D87" i="7"/>
  <c r="D74" i="7"/>
  <c r="C87" i="7"/>
  <c r="C74" i="7"/>
  <c r="B87" i="7"/>
  <c r="B33" i="7"/>
  <c r="E33" i="7"/>
  <c r="D50" i="7"/>
  <c r="D33" i="7"/>
  <c r="C50" i="7"/>
  <c r="C33" i="7"/>
  <c r="B50" i="7"/>
  <c r="B32" i="7"/>
  <c r="E32" i="7"/>
  <c r="D49" i="7"/>
  <c r="D32" i="7"/>
  <c r="C49" i="7"/>
  <c r="C32" i="7"/>
  <c r="B49" i="7"/>
  <c r="A1" i="7"/>
  <c r="C261" i="6"/>
  <c r="C260" i="6"/>
  <c r="C257" i="6"/>
  <c r="C256" i="6"/>
  <c r="C253" i="6"/>
  <c r="C252" i="6"/>
  <c r="C249" i="6"/>
  <c r="C248" i="6"/>
  <c r="C245" i="6"/>
  <c r="C244" i="6"/>
  <c r="B241" i="6"/>
  <c r="C241" i="6"/>
  <c r="B238" i="6"/>
  <c r="C238" i="6"/>
  <c r="B235" i="6"/>
  <c r="C235" i="6"/>
  <c r="B234" i="6"/>
  <c r="C234" i="6"/>
  <c r="C231" i="6"/>
  <c r="C230" i="6"/>
  <c r="C227" i="6"/>
  <c r="C226" i="6"/>
  <c r="C219" i="6"/>
  <c r="C218" i="6"/>
  <c r="C215" i="6"/>
  <c r="C214" i="6"/>
  <c r="C211" i="6"/>
  <c r="C210" i="6"/>
  <c r="C207" i="6"/>
  <c r="C206" i="6"/>
  <c r="C203" i="6"/>
  <c r="C202" i="6"/>
  <c r="C199" i="6"/>
  <c r="C198" i="6"/>
  <c r="C195" i="6"/>
  <c r="C194" i="6"/>
  <c r="A1" i="6"/>
  <c r="D132" i="5"/>
  <c r="D131" i="5"/>
  <c r="B124" i="5"/>
  <c r="C124" i="5"/>
  <c r="D124" i="5"/>
  <c r="B123" i="5"/>
  <c r="C123" i="5"/>
  <c r="D123" i="5"/>
  <c r="B122" i="5"/>
  <c r="C122" i="5"/>
  <c r="D122" i="5"/>
  <c r="B121" i="5"/>
  <c r="C121" i="5"/>
  <c r="D121" i="5"/>
  <c r="B120" i="5"/>
  <c r="C120" i="5"/>
  <c r="D120" i="5"/>
  <c r="D119" i="5"/>
  <c r="B54" i="5"/>
  <c r="C74" i="5"/>
  <c r="C114" i="5"/>
  <c r="D114" i="5"/>
  <c r="B111" i="5"/>
  <c r="C111" i="5"/>
  <c r="D111" i="5"/>
  <c r="B108" i="5"/>
  <c r="C108" i="5"/>
  <c r="D108" i="5"/>
  <c r="A1" i="5"/>
  <c r="F101" i="4"/>
  <c r="B135" i="3"/>
  <c r="E101" i="4"/>
  <c r="B127" i="3"/>
  <c r="D100" i="4"/>
  <c r="B119" i="3"/>
  <c r="C99" i="4"/>
  <c r="B49" i="4"/>
  <c r="B50" i="4"/>
  <c r="B51" i="4"/>
  <c r="B52" i="4"/>
  <c r="B53" i="4"/>
  <c r="B54" i="4"/>
  <c r="B55" i="4"/>
  <c r="B70" i="4"/>
  <c r="C55" i="4"/>
  <c r="I21" i="4"/>
  <c r="B38" i="4"/>
  <c r="B86" i="4"/>
  <c r="B69" i="4"/>
  <c r="H21" i="4"/>
  <c r="B37" i="4"/>
  <c r="B85" i="4"/>
  <c r="B68" i="4"/>
  <c r="G21" i="4"/>
  <c r="B36" i="4"/>
  <c r="B84" i="4"/>
  <c r="B67" i="4"/>
  <c r="F21" i="4"/>
  <c r="B35" i="4"/>
  <c r="B83" i="4"/>
  <c r="B66" i="4"/>
  <c r="E21" i="4"/>
  <c r="B34" i="4"/>
  <c r="B82" i="4"/>
  <c r="B65" i="4"/>
  <c r="D21" i="4"/>
  <c r="B33" i="4"/>
  <c r="B81" i="4"/>
  <c r="B64" i="4"/>
  <c r="C21" i="4"/>
  <c r="B32" i="4"/>
  <c r="B80" i="4"/>
  <c r="C38" i="4"/>
  <c r="C37" i="4"/>
  <c r="C36" i="4"/>
  <c r="C35" i="4"/>
  <c r="C34" i="4"/>
  <c r="C33" i="4"/>
  <c r="B31" i="4"/>
  <c r="C32" i="4"/>
  <c r="A1" i="4"/>
  <c r="J191" i="3"/>
  <c r="J227" i="3"/>
  <c r="I191" i="3"/>
  <c r="I227" i="3"/>
  <c r="H191" i="3"/>
  <c r="H227" i="3"/>
  <c r="F153" i="3"/>
  <c r="G191" i="3"/>
  <c r="G227" i="3"/>
  <c r="F152" i="3"/>
  <c r="F191" i="3"/>
  <c r="F227" i="3"/>
  <c r="E151" i="3"/>
  <c r="E191" i="3"/>
  <c r="E227" i="3"/>
  <c r="D150" i="3"/>
  <c r="D191" i="3"/>
  <c r="D227" i="3"/>
  <c r="C191" i="3"/>
  <c r="C227" i="3"/>
  <c r="J190" i="3"/>
  <c r="J226" i="3"/>
  <c r="I190" i="3"/>
  <c r="I226" i="3"/>
  <c r="H190" i="3"/>
  <c r="H226" i="3"/>
  <c r="G190" i="3"/>
  <c r="G226" i="3"/>
  <c r="F190" i="3"/>
  <c r="F226" i="3"/>
  <c r="E190" i="3"/>
  <c r="E226" i="3"/>
  <c r="D190" i="3"/>
  <c r="D226" i="3"/>
  <c r="C190" i="3"/>
  <c r="C226" i="3"/>
  <c r="J189" i="3"/>
  <c r="J225" i="3"/>
  <c r="I189" i="3"/>
  <c r="I225" i="3"/>
  <c r="H189" i="3"/>
  <c r="H225" i="3"/>
  <c r="G189" i="3"/>
  <c r="G225" i="3"/>
  <c r="F189" i="3"/>
  <c r="F225" i="3"/>
  <c r="E189" i="3"/>
  <c r="E225" i="3"/>
  <c r="D189" i="3"/>
  <c r="D225" i="3"/>
  <c r="C189" i="3"/>
  <c r="C225" i="3"/>
  <c r="J188" i="3"/>
  <c r="J224" i="3"/>
  <c r="I188" i="3"/>
  <c r="I224" i="3"/>
  <c r="H188" i="3"/>
  <c r="H224" i="3"/>
  <c r="G188" i="3"/>
  <c r="G224" i="3"/>
  <c r="F188" i="3"/>
  <c r="F224" i="3"/>
  <c r="E188" i="3"/>
  <c r="E224" i="3"/>
  <c r="D188" i="3"/>
  <c r="D224" i="3"/>
  <c r="C188" i="3"/>
  <c r="C224" i="3"/>
  <c r="J187" i="3"/>
  <c r="J223" i="3"/>
  <c r="I187" i="3"/>
  <c r="I223" i="3"/>
  <c r="H187" i="3"/>
  <c r="H223" i="3"/>
  <c r="G187" i="3"/>
  <c r="G223" i="3"/>
  <c r="F187" i="3"/>
  <c r="F223" i="3"/>
  <c r="E187" i="3"/>
  <c r="E223" i="3"/>
  <c r="D187" i="3"/>
  <c r="D223" i="3"/>
  <c r="C187" i="3"/>
  <c r="C223" i="3"/>
  <c r="J186" i="3"/>
  <c r="J222" i="3"/>
  <c r="I186" i="3"/>
  <c r="I222" i="3"/>
  <c r="H186" i="3"/>
  <c r="H222" i="3"/>
  <c r="G186" i="3"/>
  <c r="G222" i="3"/>
  <c r="F186" i="3"/>
  <c r="F222" i="3"/>
  <c r="E186" i="3"/>
  <c r="E222" i="3"/>
  <c r="D186" i="3"/>
  <c r="D222" i="3"/>
  <c r="C186" i="3"/>
  <c r="C222" i="3"/>
  <c r="J185" i="3"/>
  <c r="J221" i="3"/>
  <c r="I185" i="3"/>
  <c r="I221" i="3"/>
  <c r="H185" i="3"/>
  <c r="H221" i="3"/>
  <c r="G185" i="3"/>
  <c r="G221" i="3"/>
  <c r="F185" i="3"/>
  <c r="F221" i="3"/>
  <c r="E185" i="3"/>
  <c r="E221" i="3"/>
  <c r="D185" i="3"/>
  <c r="D221" i="3"/>
  <c r="C185" i="3"/>
  <c r="C221" i="3"/>
  <c r="J184" i="3"/>
  <c r="J220" i="3"/>
  <c r="I184" i="3"/>
  <c r="I220" i="3"/>
  <c r="H184" i="3"/>
  <c r="H220" i="3"/>
  <c r="G184" i="3"/>
  <c r="G220" i="3"/>
  <c r="F184" i="3"/>
  <c r="F220" i="3"/>
  <c r="E184" i="3"/>
  <c r="E220" i="3"/>
  <c r="D184" i="3"/>
  <c r="D220" i="3"/>
  <c r="C184" i="3"/>
  <c r="C220" i="3"/>
  <c r="J183" i="3"/>
  <c r="J219" i="3"/>
  <c r="I183" i="3"/>
  <c r="I219" i="3"/>
  <c r="H183" i="3"/>
  <c r="H219" i="3"/>
  <c r="G183" i="3"/>
  <c r="G219" i="3"/>
  <c r="F183" i="3"/>
  <c r="F219" i="3"/>
  <c r="E183" i="3"/>
  <c r="E219" i="3"/>
  <c r="D183" i="3"/>
  <c r="D219" i="3"/>
  <c r="C183" i="3"/>
  <c r="C219" i="3"/>
  <c r="J182" i="3"/>
  <c r="J218" i="3"/>
  <c r="I182" i="3"/>
  <c r="I218" i="3"/>
  <c r="H182" i="3"/>
  <c r="H218" i="3"/>
  <c r="G182" i="3"/>
  <c r="G218" i="3"/>
  <c r="F182" i="3"/>
  <c r="F218" i="3"/>
  <c r="E182" i="3"/>
  <c r="E218" i="3"/>
  <c r="D182" i="3"/>
  <c r="D218" i="3"/>
  <c r="C182" i="3"/>
  <c r="C218" i="3"/>
  <c r="J181" i="3"/>
  <c r="J217" i="3"/>
  <c r="I181" i="3"/>
  <c r="I217" i="3"/>
  <c r="H181" i="3"/>
  <c r="H217" i="3"/>
  <c r="G181" i="3"/>
  <c r="G217" i="3"/>
  <c r="F181" i="3"/>
  <c r="F217" i="3"/>
  <c r="E181" i="3"/>
  <c r="E217" i="3"/>
  <c r="D181" i="3"/>
  <c r="D217" i="3"/>
  <c r="C181" i="3"/>
  <c r="C217" i="3"/>
  <c r="J180" i="3"/>
  <c r="J216" i="3"/>
  <c r="I180" i="3"/>
  <c r="I216" i="3"/>
  <c r="H180" i="3"/>
  <c r="H216" i="3"/>
  <c r="G180" i="3"/>
  <c r="G216" i="3"/>
  <c r="F180" i="3"/>
  <c r="F216" i="3"/>
  <c r="E180" i="3"/>
  <c r="E216" i="3"/>
  <c r="D180" i="3"/>
  <c r="D216" i="3"/>
  <c r="C180" i="3"/>
  <c r="C216" i="3"/>
  <c r="J179" i="3"/>
  <c r="J215" i="3"/>
  <c r="I179" i="3"/>
  <c r="I215" i="3"/>
  <c r="H179" i="3"/>
  <c r="H215" i="3"/>
  <c r="G179" i="3"/>
  <c r="G215" i="3"/>
  <c r="F179" i="3"/>
  <c r="F215" i="3"/>
  <c r="E179" i="3"/>
  <c r="E215" i="3"/>
  <c r="D179" i="3"/>
  <c r="D215" i="3"/>
  <c r="C179" i="3"/>
  <c r="C215" i="3"/>
  <c r="J178" i="3"/>
  <c r="J214" i="3"/>
  <c r="I178" i="3"/>
  <c r="I214" i="3"/>
  <c r="H178" i="3"/>
  <c r="H214" i="3"/>
  <c r="G178" i="3"/>
  <c r="G214" i="3"/>
  <c r="F178" i="3"/>
  <c r="F214" i="3"/>
  <c r="E178" i="3"/>
  <c r="E214" i="3"/>
  <c r="D178" i="3"/>
  <c r="D214" i="3"/>
  <c r="C178" i="3"/>
  <c r="C214" i="3"/>
  <c r="J177" i="3"/>
  <c r="J213" i="3"/>
  <c r="I177" i="3"/>
  <c r="I213" i="3"/>
  <c r="H177" i="3"/>
  <c r="H213" i="3"/>
  <c r="G177" i="3"/>
  <c r="G213" i="3"/>
  <c r="F177" i="3"/>
  <c r="F213" i="3"/>
  <c r="E177" i="3"/>
  <c r="E213" i="3"/>
  <c r="D177" i="3"/>
  <c r="D213" i="3"/>
  <c r="C177" i="3"/>
  <c r="C213" i="3"/>
  <c r="J176" i="3"/>
  <c r="J212" i="3"/>
  <c r="I176" i="3"/>
  <c r="I212" i="3"/>
  <c r="H176" i="3"/>
  <c r="H212" i="3"/>
  <c r="G176" i="3"/>
  <c r="G212" i="3"/>
  <c r="F176" i="3"/>
  <c r="F212" i="3"/>
  <c r="E176" i="3"/>
  <c r="E212" i="3"/>
  <c r="D176" i="3"/>
  <c r="D212" i="3"/>
  <c r="C176" i="3"/>
  <c r="C212" i="3"/>
  <c r="J175" i="3"/>
  <c r="J211" i="3"/>
  <c r="I175" i="3"/>
  <c r="I211" i="3"/>
  <c r="H175" i="3"/>
  <c r="H211" i="3"/>
  <c r="G175" i="3"/>
  <c r="G211" i="3"/>
  <c r="F175" i="3"/>
  <c r="F211" i="3"/>
  <c r="E175" i="3"/>
  <c r="E211" i="3"/>
  <c r="D175" i="3"/>
  <c r="D211" i="3"/>
  <c r="C175" i="3"/>
  <c r="C211" i="3"/>
  <c r="J174" i="3"/>
  <c r="J210" i="3"/>
  <c r="I174" i="3"/>
  <c r="I210" i="3"/>
  <c r="H174" i="3"/>
  <c r="H210" i="3"/>
  <c r="G174" i="3"/>
  <c r="G210" i="3"/>
  <c r="F174" i="3"/>
  <c r="F210" i="3"/>
  <c r="E174" i="3"/>
  <c r="E210" i="3"/>
  <c r="D174" i="3"/>
  <c r="D210" i="3"/>
  <c r="C174" i="3"/>
  <c r="C210" i="3"/>
  <c r="J173" i="3"/>
  <c r="J209" i="3"/>
  <c r="I173" i="3"/>
  <c r="I209" i="3"/>
  <c r="H173" i="3"/>
  <c r="H209" i="3"/>
  <c r="G173" i="3"/>
  <c r="G209" i="3"/>
  <c r="F173" i="3"/>
  <c r="F209" i="3"/>
  <c r="E173" i="3"/>
  <c r="E209" i="3"/>
  <c r="D173" i="3"/>
  <c r="D209" i="3"/>
  <c r="C173" i="3"/>
  <c r="C209" i="3"/>
  <c r="J172" i="3"/>
  <c r="J208" i="3"/>
  <c r="I172" i="3"/>
  <c r="I208" i="3"/>
  <c r="H172" i="3"/>
  <c r="H208" i="3"/>
  <c r="G172" i="3"/>
  <c r="G208" i="3"/>
  <c r="F172" i="3"/>
  <c r="F208" i="3"/>
  <c r="E172" i="3"/>
  <c r="E208" i="3"/>
  <c r="D172" i="3"/>
  <c r="D208" i="3"/>
  <c r="C172" i="3"/>
  <c r="C208" i="3"/>
  <c r="J171" i="3"/>
  <c r="J207" i="3"/>
  <c r="I171" i="3"/>
  <c r="I207" i="3"/>
  <c r="H171" i="3"/>
  <c r="H207" i="3"/>
  <c r="G171" i="3"/>
  <c r="G207" i="3"/>
  <c r="F171" i="3"/>
  <c r="F207" i="3"/>
  <c r="E171" i="3"/>
  <c r="E207" i="3"/>
  <c r="D171" i="3"/>
  <c r="D207" i="3"/>
  <c r="C171" i="3"/>
  <c r="C207" i="3"/>
  <c r="J170" i="3"/>
  <c r="J206" i="3"/>
  <c r="I170" i="3"/>
  <c r="I206" i="3"/>
  <c r="H170" i="3"/>
  <c r="H206" i="3"/>
  <c r="G170" i="3"/>
  <c r="G206" i="3"/>
  <c r="F170" i="3"/>
  <c r="F206" i="3"/>
  <c r="E170" i="3"/>
  <c r="E206" i="3"/>
  <c r="D170" i="3"/>
  <c r="D206" i="3"/>
  <c r="C170" i="3"/>
  <c r="C206" i="3"/>
  <c r="J169" i="3"/>
  <c r="J205" i="3"/>
  <c r="I169" i="3"/>
  <c r="I205" i="3"/>
  <c r="H169" i="3"/>
  <c r="H205" i="3"/>
  <c r="G169" i="3"/>
  <c r="G205" i="3"/>
  <c r="F169" i="3"/>
  <c r="F205" i="3"/>
  <c r="E169" i="3"/>
  <c r="E205" i="3"/>
  <c r="D169" i="3"/>
  <c r="D205" i="3"/>
  <c r="C169" i="3"/>
  <c r="C205" i="3"/>
  <c r="J168" i="3"/>
  <c r="J204" i="3"/>
  <c r="I168" i="3"/>
  <c r="I204" i="3"/>
  <c r="H168" i="3"/>
  <c r="H204" i="3"/>
  <c r="G168" i="3"/>
  <c r="G204" i="3"/>
  <c r="F168" i="3"/>
  <c r="F204" i="3"/>
  <c r="E168" i="3"/>
  <c r="E204" i="3"/>
  <c r="D168" i="3"/>
  <c r="D204" i="3"/>
  <c r="C168" i="3"/>
  <c r="C204" i="3"/>
  <c r="J167" i="3"/>
  <c r="J203" i="3"/>
  <c r="I167" i="3"/>
  <c r="I203" i="3"/>
  <c r="H167" i="3"/>
  <c r="H203" i="3"/>
  <c r="G167" i="3"/>
  <c r="G203" i="3"/>
  <c r="F167" i="3"/>
  <c r="F203" i="3"/>
  <c r="E167" i="3"/>
  <c r="E203" i="3"/>
  <c r="D167" i="3"/>
  <c r="D203" i="3"/>
  <c r="C167" i="3"/>
  <c r="C203" i="3"/>
  <c r="J166" i="3"/>
  <c r="J202" i="3"/>
  <c r="I166" i="3"/>
  <c r="I202" i="3"/>
  <c r="H166" i="3"/>
  <c r="H202" i="3"/>
  <c r="G166" i="3"/>
  <c r="G202" i="3"/>
  <c r="F166" i="3"/>
  <c r="F202" i="3"/>
  <c r="E166" i="3"/>
  <c r="E202" i="3"/>
  <c r="D166" i="3"/>
  <c r="D202" i="3"/>
  <c r="C166" i="3"/>
  <c r="C202" i="3"/>
  <c r="J165" i="3"/>
  <c r="J201" i="3"/>
  <c r="I165" i="3"/>
  <c r="I201" i="3"/>
  <c r="H165" i="3"/>
  <c r="H201" i="3"/>
  <c r="G165" i="3"/>
  <c r="G201" i="3"/>
  <c r="F165" i="3"/>
  <c r="F201" i="3"/>
  <c r="E165" i="3"/>
  <c r="E201" i="3"/>
  <c r="D165" i="3"/>
  <c r="D201" i="3"/>
  <c r="C165" i="3"/>
  <c r="C201" i="3"/>
  <c r="A1" i="3"/>
  <c r="F49" i="2"/>
  <c r="F44" i="2"/>
  <c r="F43" i="2"/>
  <c r="F37" i="2"/>
  <c r="F34" i="2"/>
  <c r="F21" i="2"/>
  <c r="F15" i="2"/>
  <c r="A1" i="2"/>
  <c r="A1" i="1"/>
  <c r="B35" i="5"/>
  <c r="B45" i="5"/>
  <c r="B11" i="5"/>
  <c r="B66" i="5"/>
  <c r="B106" i="5"/>
  <c r="D106" i="5"/>
  <c r="B12" i="5"/>
  <c r="B67" i="5"/>
  <c r="B107" i="5"/>
  <c r="D107" i="5"/>
  <c r="B13" i="5"/>
  <c r="B69" i="5"/>
  <c r="B109" i="5"/>
  <c r="D109" i="5"/>
  <c r="B14" i="5"/>
  <c r="B70" i="5"/>
  <c r="B110" i="5"/>
  <c r="D110" i="5"/>
  <c r="B15" i="5"/>
  <c r="B72" i="5"/>
  <c r="B112" i="5"/>
  <c r="D112" i="5"/>
  <c r="B16" i="5"/>
  <c r="B73" i="5"/>
  <c r="B113" i="5"/>
  <c r="D113" i="5"/>
  <c r="B17" i="5"/>
  <c r="B75" i="5"/>
  <c r="B115" i="5"/>
  <c r="D115" i="5"/>
  <c r="B18" i="5"/>
  <c r="B76" i="5"/>
  <c r="B116" i="5"/>
  <c r="D116" i="5"/>
  <c r="B19" i="5"/>
  <c r="B77" i="5"/>
  <c r="B117" i="5"/>
  <c r="D117" i="5"/>
  <c r="B20" i="5"/>
  <c r="B78" i="5"/>
  <c r="B118" i="5"/>
  <c r="D118" i="5"/>
  <c r="B21" i="5"/>
  <c r="B85" i="5"/>
  <c r="B125" i="5"/>
  <c r="D125" i="5"/>
  <c r="B22" i="5"/>
  <c r="B86" i="5"/>
  <c r="B126" i="5"/>
  <c r="D126" i="5"/>
  <c r="B23" i="5"/>
  <c r="B87" i="5"/>
  <c r="B127" i="5"/>
  <c r="D127" i="5"/>
  <c r="B24" i="5"/>
  <c r="B88" i="5"/>
  <c r="B128" i="5"/>
  <c r="D128" i="5"/>
  <c r="B25" i="5"/>
  <c r="B89" i="5"/>
  <c r="B129" i="5"/>
  <c r="D129" i="5"/>
  <c r="B26" i="5"/>
  <c r="B90" i="5"/>
  <c r="B130" i="5"/>
  <c r="D130" i="5"/>
  <c r="B437" i="7"/>
  <c r="C437" i="7"/>
  <c r="D437" i="7"/>
  <c r="E437" i="7"/>
  <c r="F437" i="7"/>
  <c r="G437" i="7"/>
  <c r="H437" i="7"/>
  <c r="I437" i="7"/>
  <c r="J437" i="7"/>
  <c r="B438" i="7"/>
  <c r="C438" i="7"/>
  <c r="D438" i="7"/>
  <c r="E438" i="7"/>
  <c r="F438" i="7"/>
  <c r="G438" i="7"/>
  <c r="H438" i="7"/>
  <c r="I438" i="7"/>
  <c r="J438" i="7"/>
  <c r="B475" i="7"/>
  <c r="C475" i="7"/>
  <c r="D475" i="7"/>
  <c r="E475" i="7"/>
  <c r="F475" i="7"/>
  <c r="G475" i="7"/>
  <c r="H475" i="7"/>
  <c r="I475" i="7"/>
  <c r="J475" i="7"/>
  <c r="B476" i="7"/>
  <c r="C476" i="7"/>
  <c r="D476" i="7"/>
  <c r="E476" i="7"/>
  <c r="F476" i="7"/>
  <c r="G476" i="7"/>
  <c r="H476" i="7"/>
  <c r="I476" i="7"/>
  <c r="J476" i="7"/>
  <c r="B326" i="7"/>
  <c r="B451" i="7"/>
  <c r="B485" i="7"/>
  <c r="C326" i="7"/>
  <c r="C451" i="7"/>
  <c r="C485" i="7"/>
  <c r="D326" i="7"/>
  <c r="D451" i="7"/>
  <c r="D485" i="7"/>
  <c r="E326" i="7"/>
  <c r="E451" i="7"/>
  <c r="E485" i="7"/>
  <c r="F326" i="7"/>
  <c r="F451" i="7"/>
  <c r="F485" i="7"/>
  <c r="G326" i="7"/>
  <c r="G451" i="7"/>
  <c r="G485" i="7"/>
  <c r="H326" i="7"/>
  <c r="H451" i="7"/>
  <c r="H485" i="7"/>
  <c r="I326" i="7"/>
  <c r="I451" i="7"/>
  <c r="I485" i="7"/>
  <c r="J326" i="7"/>
  <c r="J451" i="7"/>
  <c r="J485" i="7"/>
  <c r="B327" i="7"/>
  <c r="B452" i="7"/>
  <c r="B486" i="7"/>
  <c r="C327" i="7"/>
  <c r="C452" i="7"/>
  <c r="C486" i="7"/>
  <c r="D327" i="7"/>
  <c r="D452" i="7"/>
  <c r="D486" i="7"/>
  <c r="E327" i="7"/>
  <c r="E452" i="7"/>
  <c r="E486" i="7"/>
  <c r="F327" i="7"/>
  <c r="F452" i="7"/>
  <c r="F486" i="7"/>
  <c r="G327" i="7"/>
  <c r="G452" i="7"/>
  <c r="G486" i="7"/>
  <c r="H327" i="7"/>
  <c r="H452" i="7"/>
  <c r="H486" i="7"/>
  <c r="I327" i="7"/>
  <c r="I452" i="7"/>
  <c r="I486" i="7"/>
  <c r="J327" i="7"/>
  <c r="J452" i="7"/>
  <c r="J486" i="7"/>
  <c r="B502" i="7"/>
  <c r="C512" i="7"/>
  <c r="C556" i="7"/>
  <c r="D512" i="7"/>
  <c r="D556" i="7"/>
  <c r="E512" i="7"/>
  <c r="E556" i="7"/>
  <c r="C502" i="7"/>
  <c r="G512" i="7"/>
  <c r="G556" i="7"/>
  <c r="H512" i="7"/>
  <c r="H556" i="7"/>
  <c r="I512" i="7"/>
  <c r="I556" i="7"/>
  <c r="D502" i="7"/>
  <c r="K512" i="7"/>
  <c r="K556" i="7"/>
  <c r="L512" i="7"/>
  <c r="L556" i="7"/>
  <c r="M512" i="7"/>
  <c r="M556" i="7"/>
  <c r="E502" i="7"/>
  <c r="O512" i="7"/>
  <c r="O556" i="7"/>
  <c r="P512" i="7"/>
  <c r="P556" i="7"/>
  <c r="Q512" i="7"/>
  <c r="Q556" i="7"/>
  <c r="F502" i="7"/>
  <c r="S512" i="7"/>
  <c r="S556" i="7"/>
  <c r="T512" i="7"/>
  <c r="T556" i="7"/>
  <c r="U512" i="7"/>
  <c r="U556" i="7"/>
  <c r="G502" i="7"/>
  <c r="W512" i="7"/>
  <c r="W556" i="7"/>
  <c r="X512" i="7"/>
  <c r="X556" i="7"/>
  <c r="Y512" i="7"/>
  <c r="Y556" i="7"/>
  <c r="H502" i="7"/>
  <c r="AA512" i="7"/>
  <c r="AA556" i="7"/>
  <c r="AB512" i="7"/>
  <c r="AB556" i="7"/>
  <c r="AC512" i="7"/>
  <c r="AC556" i="7"/>
  <c r="I502" i="7"/>
  <c r="AE512" i="7"/>
  <c r="AE556" i="7"/>
  <c r="AF512" i="7"/>
  <c r="AF556" i="7"/>
  <c r="AG512" i="7"/>
  <c r="AG556" i="7"/>
  <c r="J502" i="7"/>
  <c r="AI512" i="7"/>
  <c r="AI556" i="7"/>
  <c r="AJ512" i="7"/>
  <c r="AJ556" i="7"/>
  <c r="AK512" i="7"/>
  <c r="AK556" i="7"/>
  <c r="C522" i="7"/>
  <c r="C557" i="7"/>
  <c r="D522" i="7"/>
  <c r="D557" i="7"/>
  <c r="E522" i="7"/>
  <c r="E557" i="7"/>
  <c r="G522" i="7"/>
  <c r="G557" i="7"/>
  <c r="H522" i="7"/>
  <c r="H557" i="7"/>
  <c r="I522" i="7"/>
  <c r="I557" i="7"/>
  <c r="K522" i="7"/>
  <c r="K557" i="7"/>
  <c r="L522" i="7"/>
  <c r="L557" i="7"/>
  <c r="M522" i="7"/>
  <c r="M557" i="7"/>
  <c r="O522" i="7"/>
  <c r="O557" i="7"/>
  <c r="P522" i="7"/>
  <c r="P557" i="7"/>
  <c r="Q522" i="7"/>
  <c r="Q557" i="7"/>
  <c r="S522" i="7"/>
  <c r="S557" i="7"/>
  <c r="T522" i="7"/>
  <c r="T557" i="7"/>
  <c r="U522" i="7"/>
  <c r="U557" i="7"/>
  <c r="W522" i="7"/>
  <c r="W557" i="7"/>
  <c r="X522" i="7"/>
  <c r="X557" i="7"/>
  <c r="Y522" i="7"/>
  <c r="Y557" i="7"/>
  <c r="AA522" i="7"/>
  <c r="AA557" i="7"/>
  <c r="AB522" i="7"/>
  <c r="AB557" i="7"/>
  <c r="AC522" i="7"/>
  <c r="AC557" i="7"/>
  <c r="AE522" i="7"/>
  <c r="AE557" i="7"/>
  <c r="AF522" i="7"/>
  <c r="AF557" i="7"/>
  <c r="AG522" i="7"/>
  <c r="AG557" i="7"/>
  <c r="AI522" i="7"/>
  <c r="AI557" i="7"/>
  <c r="AJ522" i="7"/>
  <c r="AJ557" i="7"/>
  <c r="AK522" i="7"/>
  <c r="AK557" i="7"/>
  <c r="C532" i="7"/>
  <c r="C558" i="7"/>
  <c r="D532" i="7"/>
  <c r="D558" i="7"/>
  <c r="E532" i="7"/>
  <c r="E558" i="7"/>
  <c r="G532" i="7"/>
  <c r="G558" i="7"/>
  <c r="H532" i="7"/>
  <c r="H558" i="7"/>
  <c r="I532" i="7"/>
  <c r="I558" i="7"/>
  <c r="K532" i="7"/>
  <c r="K558" i="7"/>
  <c r="L532" i="7"/>
  <c r="L558" i="7"/>
  <c r="M532" i="7"/>
  <c r="M558" i="7"/>
  <c r="O532" i="7"/>
  <c r="O558" i="7"/>
  <c r="P532" i="7"/>
  <c r="P558" i="7"/>
  <c r="Q532" i="7"/>
  <c r="Q558" i="7"/>
  <c r="S532" i="7"/>
  <c r="S558" i="7"/>
  <c r="T532" i="7"/>
  <c r="T558" i="7"/>
  <c r="U532" i="7"/>
  <c r="U558" i="7"/>
  <c r="W532" i="7"/>
  <c r="W558" i="7"/>
  <c r="X532" i="7"/>
  <c r="X558" i="7"/>
  <c r="Y532" i="7"/>
  <c r="Y558" i="7"/>
  <c r="AA532" i="7"/>
  <c r="AA558" i="7"/>
  <c r="AB532" i="7"/>
  <c r="AB558" i="7"/>
  <c r="AC532" i="7"/>
  <c r="AC558" i="7"/>
  <c r="AE532" i="7"/>
  <c r="AE558" i="7"/>
  <c r="AF532" i="7"/>
  <c r="AF558" i="7"/>
  <c r="AG532" i="7"/>
  <c r="AG558" i="7"/>
  <c r="AI532" i="7"/>
  <c r="AI558" i="7"/>
  <c r="AJ532" i="7"/>
  <c r="AJ558" i="7"/>
  <c r="AK532" i="7"/>
  <c r="AK558" i="7"/>
  <c r="B503" i="7"/>
  <c r="C513" i="7"/>
  <c r="C559" i="7"/>
  <c r="D513" i="7"/>
  <c r="D559" i="7"/>
  <c r="E513" i="7"/>
  <c r="E559" i="7"/>
  <c r="C503" i="7"/>
  <c r="G513" i="7"/>
  <c r="G559" i="7"/>
  <c r="H513" i="7"/>
  <c r="H559" i="7"/>
  <c r="I513" i="7"/>
  <c r="I559" i="7"/>
  <c r="D503" i="7"/>
  <c r="K513" i="7"/>
  <c r="K559" i="7"/>
  <c r="L513" i="7"/>
  <c r="L559" i="7"/>
  <c r="M513" i="7"/>
  <c r="M559" i="7"/>
  <c r="E503" i="7"/>
  <c r="O513" i="7"/>
  <c r="O559" i="7"/>
  <c r="P513" i="7"/>
  <c r="P559" i="7"/>
  <c r="Q513" i="7"/>
  <c r="Q559" i="7"/>
  <c r="F503" i="7"/>
  <c r="S513" i="7"/>
  <c r="S559" i="7"/>
  <c r="T513" i="7"/>
  <c r="T559" i="7"/>
  <c r="U513" i="7"/>
  <c r="U559" i="7"/>
  <c r="G503" i="7"/>
  <c r="W513" i="7"/>
  <c r="W559" i="7"/>
  <c r="X513" i="7"/>
  <c r="X559" i="7"/>
  <c r="Y513" i="7"/>
  <c r="Y559" i="7"/>
  <c r="H503" i="7"/>
  <c r="AA513" i="7"/>
  <c r="AA559" i="7"/>
  <c r="AB513" i="7"/>
  <c r="AB559" i="7"/>
  <c r="AC513" i="7"/>
  <c r="AC559" i="7"/>
  <c r="I503" i="7"/>
  <c r="AE513" i="7"/>
  <c r="AE559" i="7"/>
  <c r="AF513" i="7"/>
  <c r="AF559" i="7"/>
  <c r="AG513" i="7"/>
  <c r="AG559" i="7"/>
  <c r="J503" i="7"/>
  <c r="AI513" i="7"/>
  <c r="AI559" i="7"/>
  <c r="AJ513" i="7"/>
  <c r="AJ559" i="7"/>
  <c r="AK513" i="7"/>
  <c r="AK559" i="7"/>
  <c r="C523" i="7"/>
  <c r="C560" i="7"/>
  <c r="D523" i="7"/>
  <c r="D560" i="7"/>
  <c r="E523" i="7"/>
  <c r="E560" i="7"/>
  <c r="G523" i="7"/>
  <c r="G560" i="7"/>
  <c r="H523" i="7"/>
  <c r="H560" i="7"/>
  <c r="I523" i="7"/>
  <c r="I560" i="7"/>
  <c r="K523" i="7"/>
  <c r="K560" i="7"/>
  <c r="L523" i="7"/>
  <c r="L560" i="7"/>
  <c r="M523" i="7"/>
  <c r="M560" i="7"/>
  <c r="O523" i="7"/>
  <c r="O560" i="7"/>
  <c r="P523" i="7"/>
  <c r="P560" i="7"/>
  <c r="Q523" i="7"/>
  <c r="Q560" i="7"/>
  <c r="S523" i="7"/>
  <c r="S560" i="7"/>
  <c r="T523" i="7"/>
  <c r="T560" i="7"/>
  <c r="U523" i="7"/>
  <c r="U560" i="7"/>
  <c r="W523" i="7"/>
  <c r="W560" i="7"/>
  <c r="X523" i="7"/>
  <c r="X560" i="7"/>
  <c r="Y523" i="7"/>
  <c r="Y560" i="7"/>
  <c r="AA523" i="7"/>
  <c r="AA560" i="7"/>
  <c r="AB523" i="7"/>
  <c r="AB560" i="7"/>
  <c r="AC523" i="7"/>
  <c r="AC560" i="7"/>
  <c r="AE523" i="7"/>
  <c r="AE560" i="7"/>
  <c r="AF523" i="7"/>
  <c r="AF560" i="7"/>
  <c r="AG523" i="7"/>
  <c r="AG560" i="7"/>
  <c r="AI523" i="7"/>
  <c r="AI560" i="7"/>
  <c r="AJ523" i="7"/>
  <c r="AJ560" i="7"/>
  <c r="AK523" i="7"/>
  <c r="AK560" i="7"/>
  <c r="C533" i="7"/>
  <c r="C561" i="7"/>
  <c r="D533" i="7"/>
  <c r="D561" i="7"/>
  <c r="E533" i="7"/>
  <c r="E561" i="7"/>
  <c r="G533" i="7"/>
  <c r="G561" i="7"/>
  <c r="H533" i="7"/>
  <c r="H561" i="7"/>
  <c r="I533" i="7"/>
  <c r="I561" i="7"/>
  <c r="K533" i="7"/>
  <c r="K561" i="7"/>
  <c r="L533" i="7"/>
  <c r="L561" i="7"/>
  <c r="M533" i="7"/>
  <c r="M561" i="7"/>
  <c r="O533" i="7"/>
  <c r="O561" i="7"/>
  <c r="P533" i="7"/>
  <c r="P561" i="7"/>
  <c r="Q533" i="7"/>
  <c r="Q561" i="7"/>
  <c r="S533" i="7"/>
  <c r="S561" i="7"/>
  <c r="T533" i="7"/>
  <c r="T561" i="7"/>
  <c r="U533" i="7"/>
  <c r="U561" i="7"/>
  <c r="W533" i="7"/>
  <c r="W561" i="7"/>
  <c r="X533" i="7"/>
  <c r="X561" i="7"/>
  <c r="Y533" i="7"/>
  <c r="Y561" i="7"/>
  <c r="AA533" i="7"/>
  <c r="AA561" i="7"/>
  <c r="AB533" i="7"/>
  <c r="AB561" i="7"/>
  <c r="AC533" i="7"/>
  <c r="AC561" i="7"/>
  <c r="AE533" i="7"/>
  <c r="AE561" i="7"/>
  <c r="AF533" i="7"/>
  <c r="AF561" i="7"/>
  <c r="AG533" i="7"/>
  <c r="AG561" i="7"/>
  <c r="AI533" i="7"/>
  <c r="AI561" i="7"/>
  <c r="AJ533" i="7"/>
  <c r="AJ561" i="7"/>
  <c r="AK533" i="7"/>
  <c r="AK561" i="7"/>
  <c r="C543" i="7"/>
  <c r="C565" i="7"/>
  <c r="D543" i="7"/>
  <c r="D565" i="7"/>
  <c r="E543" i="7"/>
  <c r="E565" i="7"/>
  <c r="G543" i="7"/>
  <c r="G565" i="7"/>
  <c r="H543" i="7"/>
  <c r="H565" i="7"/>
  <c r="I543" i="7"/>
  <c r="I565" i="7"/>
  <c r="K543" i="7"/>
  <c r="K565" i="7"/>
  <c r="L543" i="7"/>
  <c r="L565" i="7"/>
  <c r="M543" i="7"/>
  <c r="M565" i="7"/>
  <c r="O543" i="7"/>
  <c r="O565" i="7"/>
  <c r="P543" i="7"/>
  <c r="P565" i="7"/>
  <c r="Q543" i="7"/>
  <c r="Q565" i="7"/>
  <c r="S543" i="7"/>
  <c r="S565" i="7"/>
  <c r="T543" i="7"/>
  <c r="T565" i="7"/>
  <c r="U543" i="7"/>
  <c r="U565" i="7"/>
  <c r="W543" i="7"/>
  <c r="W565" i="7"/>
  <c r="X543" i="7"/>
  <c r="X565" i="7"/>
  <c r="Y543" i="7"/>
  <c r="Y565" i="7"/>
  <c r="AA543" i="7"/>
  <c r="AA565" i="7"/>
  <c r="AB543" i="7"/>
  <c r="AB565" i="7"/>
  <c r="AC543" i="7"/>
  <c r="AC565" i="7"/>
  <c r="AE543" i="7"/>
  <c r="AE565" i="7"/>
  <c r="AF543" i="7"/>
  <c r="AF565" i="7"/>
  <c r="AG543" i="7"/>
  <c r="AG565" i="7"/>
  <c r="AI543" i="7"/>
  <c r="AI565" i="7"/>
  <c r="AJ543" i="7"/>
  <c r="AJ565" i="7"/>
  <c r="AK543" i="7"/>
  <c r="AK565" i="7"/>
  <c r="C544" i="7"/>
  <c r="C566" i="7"/>
  <c r="D544" i="7"/>
  <c r="D566" i="7"/>
  <c r="E544" i="7"/>
  <c r="E566" i="7"/>
  <c r="G544" i="7"/>
  <c r="G566" i="7"/>
  <c r="H544" i="7"/>
  <c r="H566" i="7"/>
  <c r="I544" i="7"/>
  <c r="I566" i="7"/>
  <c r="K544" i="7"/>
  <c r="K566" i="7"/>
  <c r="L544" i="7"/>
  <c r="L566" i="7"/>
  <c r="M544" i="7"/>
  <c r="M566" i="7"/>
  <c r="O544" i="7"/>
  <c r="O566" i="7"/>
  <c r="P544" i="7"/>
  <c r="P566" i="7"/>
  <c r="Q544" i="7"/>
  <c r="Q566" i="7"/>
  <c r="S544" i="7"/>
  <c r="S566" i="7"/>
  <c r="T544" i="7"/>
  <c r="T566" i="7"/>
  <c r="U544" i="7"/>
  <c r="U566" i="7"/>
  <c r="W544" i="7"/>
  <c r="W566" i="7"/>
  <c r="X544" i="7"/>
  <c r="X566" i="7"/>
  <c r="Y544" i="7"/>
  <c r="Y566" i="7"/>
  <c r="AA544" i="7"/>
  <c r="AA566" i="7"/>
  <c r="AB544" i="7"/>
  <c r="AB566" i="7"/>
  <c r="AC544" i="7"/>
  <c r="AC566" i="7"/>
  <c r="AE544" i="7"/>
  <c r="AE566" i="7"/>
  <c r="AF544" i="7"/>
  <c r="AF566" i="7"/>
  <c r="AG544" i="7"/>
  <c r="AG566" i="7"/>
  <c r="AI544" i="7"/>
  <c r="AI566" i="7"/>
  <c r="AJ544" i="7"/>
  <c r="AJ566" i="7"/>
  <c r="AK544" i="7"/>
  <c r="AK566" i="7"/>
  <c r="I14" i="3"/>
  <c r="B237" i="3"/>
  <c r="B70" i="8"/>
  <c r="B61" i="3"/>
  <c r="C77" i="3"/>
  <c r="C237" i="3"/>
  <c r="C70" i="8"/>
  <c r="B62" i="3"/>
  <c r="D77" i="3"/>
  <c r="D237" i="3"/>
  <c r="D70" i="8"/>
  <c r="B63" i="3"/>
  <c r="E77" i="3"/>
  <c r="E237" i="3"/>
  <c r="E70" i="8"/>
  <c r="B64" i="3"/>
  <c r="F77" i="3"/>
  <c r="F237" i="3"/>
  <c r="F70" i="8"/>
  <c r="B65" i="3"/>
  <c r="G77" i="3"/>
  <c r="G237" i="3"/>
  <c r="G70" i="8"/>
  <c r="B66" i="3"/>
  <c r="H77" i="3"/>
  <c r="H237" i="3"/>
  <c r="H70" i="8"/>
  <c r="B67" i="3"/>
  <c r="I77" i="3"/>
  <c r="I237" i="3"/>
  <c r="I70" i="8"/>
  <c r="B68" i="3"/>
  <c r="J77" i="3"/>
  <c r="J237" i="3"/>
  <c r="J70" i="8"/>
  <c r="I15" i="3"/>
  <c r="B238" i="3"/>
  <c r="B71" i="8"/>
  <c r="C238" i="3"/>
  <c r="C71" i="8"/>
  <c r="D238" i="3"/>
  <c r="D71" i="8"/>
  <c r="E238" i="3"/>
  <c r="E71" i="8"/>
  <c r="F238" i="3"/>
  <c r="F71" i="8"/>
  <c r="G238" i="3"/>
  <c r="G71" i="8"/>
  <c r="H238" i="3"/>
  <c r="H71" i="8"/>
  <c r="I238" i="3"/>
  <c r="I71" i="8"/>
  <c r="J238" i="3"/>
  <c r="J71" i="8"/>
  <c r="I16" i="3"/>
  <c r="B239" i="3"/>
  <c r="B72" i="8"/>
  <c r="C239" i="3"/>
  <c r="C72" i="8"/>
  <c r="D239" i="3"/>
  <c r="D72" i="8"/>
  <c r="E239" i="3"/>
  <c r="E72" i="8"/>
  <c r="F239" i="3"/>
  <c r="F72" i="8"/>
  <c r="G239" i="3"/>
  <c r="G72" i="8"/>
  <c r="H239" i="3"/>
  <c r="H72" i="8"/>
  <c r="I239" i="3"/>
  <c r="I72" i="8"/>
  <c r="J239" i="3"/>
  <c r="J72" i="8"/>
  <c r="I17" i="3"/>
  <c r="B240" i="3"/>
  <c r="B73" i="8"/>
  <c r="C240" i="3"/>
  <c r="C73" i="8"/>
  <c r="D240" i="3"/>
  <c r="D73" i="8"/>
  <c r="E240" i="3"/>
  <c r="E73" i="8"/>
  <c r="F240" i="3"/>
  <c r="F73" i="8"/>
  <c r="G240" i="3"/>
  <c r="G73" i="8"/>
  <c r="H240" i="3"/>
  <c r="H73" i="8"/>
  <c r="I240" i="3"/>
  <c r="I73" i="8"/>
  <c r="J240" i="3"/>
  <c r="J73" i="8"/>
  <c r="I18" i="3"/>
  <c r="B241" i="3"/>
  <c r="B74" i="8"/>
  <c r="C241" i="3"/>
  <c r="C74" i="8"/>
  <c r="D241" i="3"/>
  <c r="D74" i="8"/>
  <c r="E241" i="3"/>
  <c r="E74" i="8"/>
  <c r="F241" i="3"/>
  <c r="F74" i="8"/>
  <c r="G241" i="3"/>
  <c r="G74" i="8"/>
  <c r="H241" i="3"/>
  <c r="H74" i="8"/>
  <c r="I241" i="3"/>
  <c r="I74" i="8"/>
  <c r="J241" i="3"/>
  <c r="J74" i="8"/>
  <c r="I19" i="3"/>
  <c r="B242" i="3"/>
  <c r="B75" i="8"/>
  <c r="C242" i="3"/>
  <c r="C75" i="8"/>
  <c r="D242" i="3"/>
  <c r="D75" i="8"/>
  <c r="E242" i="3"/>
  <c r="E75" i="8"/>
  <c r="F242" i="3"/>
  <c r="F75" i="8"/>
  <c r="G242" i="3"/>
  <c r="G75" i="8"/>
  <c r="H242" i="3"/>
  <c r="H75" i="8"/>
  <c r="I242" i="3"/>
  <c r="I75" i="8"/>
  <c r="J242" i="3"/>
  <c r="J75" i="8"/>
  <c r="I20" i="3"/>
  <c r="B243" i="3"/>
  <c r="B76" i="8"/>
  <c r="C243" i="3"/>
  <c r="C76" i="8"/>
  <c r="D243" i="3"/>
  <c r="D76" i="8"/>
  <c r="E243" i="3"/>
  <c r="E76" i="8"/>
  <c r="F243" i="3"/>
  <c r="F76" i="8"/>
  <c r="G243" i="3"/>
  <c r="G76" i="8"/>
  <c r="H243" i="3"/>
  <c r="H76" i="8"/>
  <c r="I243" i="3"/>
  <c r="I76" i="8"/>
  <c r="J243" i="3"/>
  <c r="J76" i="8"/>
  <c r="I21" i="3"/>
  <c r="B244" i="3"/>
  <c r="B77" i="8"/>
  <c r="C244" i="3"/>
  <c r="C77" i="8"/>
  <c r="D244" i="3"/>
  <c r="D77" i="8"/>
  <c r="E244" i="3"/>
  <c r="E77" i="8"/>
  <c r="F244" i="3"/>
  <c r="F77" i="8"/>
  <c r="G244" i="3"/>
  <c r="G77" i="8"/>
  <c r="H244" i="3"/>
  <c r="H77" i="8"/>
  <c r="I244" i="3"/>
  <c r="I77" i="8"/>
  <c r="J244" i="3"/>
  <c r="J77" i="8"/>
  <c r="I22" i="3"/>
  <c r="B245" i="3"/>
  <c r="B78" i="8"/>
  <c r="C245" i="3"/>
  <c r="C78" i="8"/>
  <c r="D245" i="3"/>
  <c r="D78" i="8"/>
  <c r="E245" i="3"/>
  <c r="E78" i="8"/>
  <c r="F245" i="3"/>
  <c r="F78" i="8"/>
  <c r="G245" i="3"/>
  <c r="G78" i="8"/>
  <c r="H245" i="3"/>
  <c r="H78" i="8"/>
  <c r="I245" i="3"/>
  <c r="I78" i="8"/>
  <c r="J245" i="3"/>
  <c r="J78" i="8"/>
  <c r="I23" i="3"/>
  <c r="B246" i="3"/>
  <c r="B79" i="8"/>
  <c r="C246" i="3"/>
  <c r="C79" i="8"/>
  <c r="D246" i="3"/>
  <c r="D79" i="8"/>
  <c r="E246" i="3"/>
  <c r="E79" i="8"/>
  <c r="F246" i="3"/>
  <c r="F79" i="8"/>
  <c r="G246" i="3"/>
  <c r="G79" i="8"/>
  <c r="H246" i="3"/>
  <c r="H79" i="8"/>
  <c r="I246" i="3"/>
  <c r="I79" i="8"/>
  <c r="J246" i="3"/>
  <c r="J79" i="8"/>
  <c r="I24" i="3"/>
  <c r="B247" i="3"/>
  <c r="B80" i="8"/>
  <c r="C247" i="3"/>
  <c r="C80" i="8"/>
  <c r="D247" i="3"/>
  <c r="D80" i="8"/>
  <c r="E247" i="3"/>
  <c r="E80" i="8"/>
  <c r="F247" i="3"/>
  <c r="F80" i="8"/>
  <c r="G247" i="3"/>
  <c r="G80" i="8"/>
  <c r="H247" i="3"/>
  <c r="H80" i="8"/>
  <c r="I247" i="3"/>
  <c r="I80" i="8"/>
  <c r="J247" i="3"/>
  <c r="J80" i="8"/>
  <c r="I25" i="3"/>
  <c r="B248" i="3"/>
  <c r="B81" i="8"/>
  <c r="C248" i="3"/>
  <c r="C81" i="8"/>
  <c r="D248" i="3"/>
  <c r="D81" i="8"/>
  <c r="E248" i="3"/>
  <c r="E81" i="8"/>
  <c r="F248" i="3"/>
  <c r="F81" i="8"/>
  <c r="G248" i="3"/>
  <c r="G81" i="8"/>
  <c r="H248" i="3"/>
  <c r="H81" i="8"/>
  <c r="I248" i="3"/>
  <c r="I81" i="8"/>
  <c r="J248" i="3"/>
  <c r="J81" i="8"/>
  <c r="I26" i="3"/>
  <c r="B249" i="3"/>
  <c r="B82" i="8"/>
  <c r="C249" i="3"/>
  <c r="C82" i="8"/>
  <c r="D249" i="3"/>
  <c r="D82" i="8"/>
  <c r="E249" i="3"/>
  <c r="E82" i="8"/>
  <c r="F249" i="3"/>
  <c r="F82" i="8"/>
  <c r="G249" i="3"/>
  <c r="G82" i="8"/>
  <c r="H249" i="3"/>
  <c r="H82" i="8"/>
  <c r="I249" i="3"/>
  <c r="I82" i="8"/>
  <c r="J249" i="3"/>
  <c r="J82" i="8"/>
  <c r="I27" i="3"/>
  <c r="B250" i="3"/>
  <c r="B83" i="8"/>
  <c r="C250" i="3"/>
  <c r="C83" i="8"/>
  <c r="D250" i="3"/>
  <c r="D83" i="8"/>
  <c r="E250" i="3"/>
  <c r="E83" i="8"/>
  <c r="F250" i="3"/>
  <c r="F83" i="8"/>
  <c r="G250" i="3"/>
  <c r="G83" i="8"/>
  <c r="H250" i="3"/>
  <c r="H83" i="8"/>
  <c r="I250" i="3"/>
  <c r="I83" i="8"/>
  <c r="J250" i="3"/>
  <c r="J83" i="8"/>
  <c r="I28" i="3"/>
  <c r="B251" i="3"/>
  <c r="B84" i="8"/>
  <c r="C251" i="3"/>
  <c r="C84" i="8"/>
  <c r="D251" i="3"/>
  <c r="D84" i="8"/>
  <c r="E251" i="3"/>
  <c r="E84" i="8"/>
  <c r="F251" i="3"/>
  <c r="F84" i="8"/>
  <c r="G251" i="3"/>
  <c r="G84" i="8"/>
  <c r="H251" i="3"/>
  <c r="H84" i="8"/>
  <c r="I251" i="3"/>
  <c r="I84" i="8"/>
  <c r="J251" i="3"/>
  <c r="J84" i="8"/>
  <c r="I29" i="3"/>
  <c r="B252" i="3"/>
  <c r="B85" i="8"/>
  <c r="C252" i="3"/>
  <c r="C85" i="8"/>
  <c r="D252" i="3"/>
  <c r="D85" i="8"/>
  <c r="E252" i="3"/>
  <c r="E85" i="8"/>
  <c r="F252" i="3"/>
  <c r="F85" i="8"/>
  <c r="G252" i="3"/>
  <c r="G85" i="8"/>
  <c r="H252" i="3"/>
  <c r="H85" i="8"/>
  <c r="I252" i="3"/>
  <c r="I85" i="8"/>
  <c r="J252" i="3"/>
  <c r="J85" i="8"/>
  <c r="I30" i="3"/>
  <c r="B253" i="3"/>
  <c r="B86" i="8"/>
  <c r="C253" i="3"/>
  <c r="C86" i="8"/>
  <c r="D253" i="3"/>
  <c r="D86" i="8"/>
  <c r="E253" i="3"/>
  <c r="E86" i="8"/>
  <c r="F253" i="3"/>
  <c r="F86" i="8"/>
  <c r="G253" i="3"/>
  <c r="G86" i="8"/>
  <c r="H253" i="3"/>
  <c r="H86" i="8"/>
  <c r="I253" i="3"/>
  <c r="I86" i="8"/>
  <c r="J253" i="3"/>
  <c r="J86" i="8"/>
  <c r="I31" i="3"/>
  <c r="B254" i="3"/>
  <c r="B87" i="8"/>
  <c r="C254" i="3"/>
  <c r="C87" i="8"/>
  <c r="D254" i="3"/>
  <c r="D87" i="8"/>
  <c r="E254" i="3"/>
  <c r="E87" i="8"/>
  <c r="F254" i="3"/>
  <c r="F87" i="8"/>
  <c r="G254" i="3"/>
  <c r="G87" i="8"/>
  <c r="H254" i="3"/>
  <c r="H87" i="8"/>
  <c r="I254" i="3"/>
  <c r="I87" i="8"/>
  <c r="J254" i="3"/>
  <c r="J87" i="8"/>
  <c r="I32" i="3"/>
  <c r="B255" i="3"/>
  <c r="B88" i="8"/>
  <c r="C255" i="3"/>
  <c r="C88" i="8"/>
  <c r="D255" i="3"/>
  <c r="D88" i="8"/>
  <c r="E255" i="3"/>
  <c r="E88" i="8"/>
  <c r="F255" i="3"/>
  <c r="F88" i="8"/>
  <c r="G255" i="3"/>
  <c r="G88" i="8"/>
  <c r="H255" i="3"/>
  <c r="H88" i="8"/>
  <c r="I255" i="3"/>
  <c r="I88" i="8"/>
  <c r="J255" i="3"/>
  <c r="J88" i="8"/>
  <c r="I36" i="3"/>
  <c r="B259" i="3"/>
  <c r="B92" i="8"/>
  <c r="C259" i="3"/>
  <c r="C92" i="8"/>
  <c r="D259" i="3"/>
  <c r="D92" i="8"/>
  <c r="E259" i="3"/>
  <c r="E92" i="8"/>
  <c r="F259" i="3"/>
  <c r="F92" i="8"/>
  <c r="G259" i="3"/>
  <c r="G92" i="8"/>
  <c r="H259" i="3"/>
  <c r="H92" i="8"/>
  <c r="I259" i="3"/>
  <c r="I92" i="8"/>
  <c r="J259" i="3"/>
  <c r="J92" i="8"/>
  <c r="I38" i="3"/>
  <c r="B261" i="3"/>
  <c r="B94" i="8"/>
  <c r="C261" i="3"/>
  <c r="C94" i="8"/>
  <c r="D261" i="3"/>
  <c r="D94" i="8"/>
  <c r="E261" i="3"/>
  <c r="E94" i="8"/>
  <c r="F261" i="3"/>
  <c r="F94" i="8"/>
  <c r="G261" i="3"/>
  <c r="G94" i="8"/>
  <c r="H261" i="3"/>
  <c r="H94" i="8"/>
  <c r="I261" i="3"/>
  <c r="I94" i="8"/>
  <c r="J261" i="3"/>
  <c r="J94" i="8"/>
  <c r="I40" i="3"/>
  <c r="B263" i="3"/>
  <c r="B96" i="8"/>
  <c r="C263" i="3"/>
  <c r="C96" i="8"/>
  <c r="D263" i="3"/>
  <c r="D96" i="8"/>
  <c r="E263" i="3"/>
  <c r="E96" i="8"/>
  <c r="F263" i="3"/>
  <c r="F96" i="8"/>
  <c r="G263" i="3"/>
  <c r="G96" i="8"/>
  <c r="H263" i="3"/>
  <c r="H96" i="8"/>
  <c r="I263" i="3"/>
  <c r="I96" i="8"/>
  <c r="J263" i="3"/>
  <c r="J96" i="8"/>
  <c r="I33" i="3"/>
  <c r="B256" i="3"/>
  <c r="B89" i="8"/>
  <c r="B126" i="8"/>
  <c r="C256" i="3"/>
  <c r="C89" i="8"/>
  <c r="C126" i="8"/>
  <c r="D256" i="3"/>
  <c r="D89" i="8"/>
  <c r="D126" i="8"/>
  <c r="E256" i="3"/>
  <c r="E89" i="8"/>
  <c r="E126" i="8"/>
  <c r="F256" i="3"/>
  <c r="F89" i="8"/>
  <c r="F126" i="8"/>
  <c r="G256" i="3"/>
  <c r="G89" i="8"/>
  <c r="G126" i="8"/>
  <c r="H256" i="3"/>
  <c r="H89" i="8"/>
  <c r="H126" i="8"/>
  <c r="I256" i="3"/>
  <c r="I89" i="8"/>
  <c r="I126" i="8"/>
  <c r="J256" i="3"/>
  <c r="J89" i="8"/>
  <c r="J126" i="8"/>
  <c r="I34" i="3"/>
  <c r="B257" i="3"/>
  <c r="B90" i="8"/>
  <c r="B127" i="8"/>
  <c r="C257" i="3"/>
  <c r="C90" i="8"/>
  <c r="C127" i="8"/>
  <c r="D257" i="3"/>
  <c r="D90" i="8"/>
  <c r="D127" i="8"/>
  <c r="E257" i="3"/>
  <c r="E90" i="8"/>
  <c r="E127" i="8"/>
  <c r="F257" i="3"/>
  <c r="F90" i="8"/>
  <c r="F127" i="8"/>
  <c r="G257" i="3"/>
  <c r="G90" i="8"/>
  <c r="G127" i="8"/>
  <c r="H257" i="3"/>
  <c r="H90" i="8"/>
  <c r="H127" i="8"/>
  <c r="I257" i="3"/>
  <c r="I90" i="8"/>
  <c r="I127" i="8"/>
  <c r="J257" i="3"/>
  <c r="J90" i="8"/>
  <c r="J127" i="8"/>
  <c r="I35" i="3"/>
  <c r="B258" i="3"/>
  <c r="B91" i="8"/>
  <c r="B128" i="8"/>
  <c r="C258" i="3"/>
  <c r="C91" i="8"/>
  <c r="C128" i="8"/>
  <c r="D258" i="3"/>
  <c r="D91" i="8"/>
  <c r="D128" i="8"/>
  <c r="E258" i="3"/>
  <c r="E91" i="8"/>
  <c r="E128" i="8"/>
  <c r="F258" i="3"/>
  <c r="F91" i="8"/>
  <c r="F128" i="8"/>
  <c r="G258" i="3"/>
  <c r="G91" i="8"/>
  <c r="G128" i="8"/>
  <c r="H258" i="3"/>
  <c r="H91" i="8"/>
  <c r="H128" i="8"/>
  <c r="I258" i="3"/>
  <c r="I91" i="8"/>
  <c r="I128" i="8"/>
  <c r="J258" i="3"/>
  <c r="J91" i="8"/>
  <c r="J128" i="8"/>
  <c r="B595" i="7"/>
  <c r="B871" i="7"/>
  <c r="B616" i="7"/>
  <c r="B893" i="7"/>
  <c r="B632" i="7"/>
  <c r="B910" i="7"/>
  <c r="B57" i="8"/>
  <c r="B129" i="8"/>
  <c r="C595" i="7"/>
  <c r="C871" i="7"/>
  <c r="C616" i="7"/>
  <c r="C893" i="7"/>
  <c r="C632" i="7"/>
  <c r="C910" i="7"/>
  <c r="C57" i="8"/>
  <c r="C129" i="8"/>
  <c r="D595" i="7"/>
  <c r="D871" i="7"/>
  <c r="D616" i="7"/>
  <c r="D893" i="7"/>
  <c r="D632" i="7"/>
  <c r="D910" i="7"/>
  <c r="D57" i="8"/>
  <c r="D129" i="8"/>
  <c r="E595" i="7"/>
  <c r="E871" i="7"/>
  <c r="E616" i="7"/>
  <c r="E893" i="7"/>
  <c r="E632" i="7"/>
  <c r="E910" i="7"/>
  <c r="E57" i="8"/>
  <c r="E129" i="8"/>
  <c r="F595" i="7"/>
  <c r="F871" i="7"/>
  <c r="F616" i="7"/>
  <c r="F893" i="7"/>
  <c r="F632" i="7"/>
  <c r="F910" i="7"/>
  <c r="F57" i="8"/>
  <c r="F129" i="8"/>
  <c r="G595" i="7"/>
  <c r="G871" i="7"/>
  <c r="G616" i="7"/>
  <c r="G893" i="7"/>
  <c r="G632" i="7"/>
  <c r="G910" i="7"/>
  <c r="G57" i="8"/>
  <c r="G129" i="8"/>
  <c r="H595" i="7"/>
  <c r="H871" i="7"/>
  <c r="H616" i="7"/>
  <c r="H893" i="7"/>
  <c r="H632" i="7"/>
  <c r="H910" i="7"/>
  <c r="H57" i="8"/>
  <c r="H129" i="8"/>
  <c r="I595" i="7"/>
  <c r="I871" i="7"/>
  <c r="I616" i="7"/>
  <c r="I893" i="7"/>
  <c r="I632" i="7"/>
  <c r="I910" i="7"/>
  <c r="I57" i="8"/>
  <c r="I129" i="8"/>
  <c r="J595" i="7"/>
  <c r="J871" i="7"/>
  <c r="J616" i="7"/>
  <c r="J893" i="7"/>
  <c r="J632" i="7"/>
  <c r="J910" i="7"/>
  <c r="J57" i="8"/>
  <c r="J129" i="8"/>
  <c r="I37" i="3"/>
  <c r="B260" i="3"/>
  <c r="B93" i="8"/>
  <c r="B130" i="8"/>
  <c r="C260" i="3"/>
  <c r="C93" i="8"/>
  <c r="C130" i="8"/>
  <c r="D260" i="3"/>
  <c r="D93" i="8"/>
  <c r="D130" i="8"/>
  <c r="E260" i="3"/>
  <c r="E93" i="8"/>
  <c r="E130" i="8"/>
  <c r="F260" i="3"/>
  <c r="F93" i="8"/>
  <c r="F130" i="8"/>
  <c r="G260" i="3"/>
  <c r="G93" i="8"/>
  <c r="G130" i="8"/>
  <c r="H260" i="3"/>
  <c r="H93" i="8"/>
  <c r="H130" i="8"/>
  <c r="I260" i="3"/>
  <c r="I93" i="8"/>
  <c r="I130" i="8"/>
  <c r="J260" i="3"/>
  <c r="J93" i="8"/>
  <c r="J130" i="8"/>
  <c r="B596" i="7"/>
  <c r="B872" i="7"/>
  <c r="B617" i="7"/>
  <c r="B894" i="7"/>
  <c r="B633" i="7"/>
  <c r="B911" i="7"/>
  <c r="B58" i="8"/>
  <c r="B131" i="8"/>
  <c r="C596" i="7"/>
  <c r="C872" i="7"/>
  <c r="C617" i="7"/>
  <c r="C894" i="7"/>
  <c r="C633" i="7"/>
  <c r="C911" i="7"/>
  <c r="C58" i="8"/>
  <c r="C131" i="8"/>
  <c r="D596" i="7"/>
  <c r="D872" i="7"/>
  <c r="D617" i="7"/>
  <c r="D894" i="7"/>
  <c r="D633" i="7"/>
  <c r="D911" i="7"/>
  <c r="D58" i="8"/>
  <c r="D131" i="8"/>
  <c r="E596" i="7"/>
  <c r="E872" i="7"/>
  <c r="E617" i="7"/>
  <c r="E894" i="7"/>
  <c r="E633" i="7"/>
  <c r="E911" i="7"/>
  <c r="E58" i="8"/>
  <c r="E131" i="8"/>
  <c r="F596" i="7"/>
  <c r="F872" i="7"/>
  <c r="F617" i="7"/>
  <c r="F894" i="7"/>
  <c r="F633" i="7"/>
  <c r="F911" i="7"/>
  <c r="F58" i="8"/>
  <c r="F131" i="8"/>
  <c r="G596" i="7"/>
  <c r="G872" i="7"/>
  <c r="G617" i="7"/>
  <c r="G894" i="7"/>
  <c r="G633" i="7"/>
  <c r="G911" i="7"/>
  <c r="G58" i="8"/>
  <c r="G131" i="8"/>
  <c r="H596" i="7"/>
  <c r="H872" i="7"/>
  <c r="H617" i="7"/>
  <c r="H894" i="7"/>
  <c r="H633" i="7"/>
  <c r="H911" i="7"/>
  <c r="H58" i="8"/>
  <c r="H131" i="8"/>
  <c r="I596" i="7"/>
  <c r="I872" i="7"/>
  <c r="I617" i="7"/>
  <c r="I894" i="7"/>
  <c r="I633" i="7"/>
  <c r="I911" i="7"/>
  <c r="I58" i="8"/>
  <c r="I131" i="8"/>
  <c r="J596" i="7"/>
  <c r="J872" i="7"/>
  <c r="J617" i="7"/>
  <c r="J894" i="7"/>
  <c r="J633" i="7"/>
  <c r="J911" i="7"/>
  <c r="J58" i="8"/>
  <c r="J131" i="8"/>
  <c r="I39" i="3"/>
  <c r="B262" i="3"/>
  <c r="B95" i="8"/>
  <c r="B132" i="8"/>
  <c r="C262" i="3"/>
  <c r="C95" i="8"/>
  <c r="C132" i="8"/>
  <c r="D262" i="3"/>
  <c r="D95" i="8"/>
  <c r="D132" i="8"/>
  <c r="E262" i="3"/>
  <c r="E95" i="8"/>
  <c r="E132" i="8"/>
  <c r="F262" i="3"/>
  <c r="F95" i="8"/>
  <c r="F132" i="8"/>
  <c r="G262" i="3"/>
  <c r="G95" i="8"/>
  <c r="G132" i="8"/>
  <c r="H262" i="3"/>
  <c r="H95" i="8"/>
  <c r="H132" i="8"/>
  <c r="I262" i="3"/>
  <c r="I95" i="8"/>
  <c r="I132" i="8"/>
  <c r="J262" i="3"/>
  <c r="J95" i="8"/>
  <c r="J132" i="8"/>
  <c r="B597" i="7"/>
  <c r="B873" i="7"/>
  <c r="B618" i="7"/>
  <c r="B895" i="7"/>
  <c r="B634" i="7"/>
  <c r="B912" i="7"/>
  <c r="B59" i="8"/>
  <c r="B133" i="8"/>
  <c r="C597" i="7"/>
  <c r="C873" i="7"/>
  <c r="C618" i="7"/>
  <c r="C895" i="7"/>
  <c r="C634" i="7"/>
  <c r="C912" i="7"/>
  <c r="C59" i="8"/>
  <c r="C133" i="8"/>
  <c r="D597" i="7"/>
  <c r="D873" i="7"/>
  <c r="D618" i="7"/>
  <c r="D895" i="7"/>
  <c r="D634" i="7"/>
  <c r="D912" i="7"/>
  <c r="D59" i="8"/>
  <c r="D133" i="8"/>
  <c r="E597" i="7"/>
  <c r="E873" i="7"/>
  <c r="E618" i="7"/>
  <c r="E895" i="7"/>
  <c r="E634" i="7"/>
  <c r="E912" i="7"/>
  <c r="E59" i="8"/>
  <c r="E133" i="8"/>
  <c r="F597" i="7"/>
  <c r="F873" i="7"/>
  <c r="F618" i="7"/>
  <c r="F895" i="7"/>
  <c r="F634" i="7"/>
  <c r="F912" i="7"/>
  <c r="F59" i="8"/>
  <c r="F133" i="8"/>
  <c r="G597" i="7"/>
  <c r="G873" i="7"/>
  <c r="G618" i="7"/>
  <c r="G895" i="7"/>
  <c r="G634" i="7"/>
  <c r="G912" i="7"/>
  <c r="G59" i="8"/>
  <c r="G133" i="8"/>
  <c r="H597" i="7"/>
  <c r="H873" i="7"/>
  <c r="H618" i="7"/>
  <c r="H895" i="7"/>
  <c r="H634" i="7"/>
  <c r="H912" i="7"/>
  <c r="H59" i="8"/>
  <c r="H133" i="8"/>
  <c r="I597" i="7"/>
  <c r="I873" i="7"/>
  <c r="I618" i="7"/>
  <c r="I895" i="7"/>
  <c r="I634" i="7"/>
  <c r="I912" i="7"/>
  <c r="I59" i="8"/>
  <c r="I133" i="8"/>
  <c r="J597" i="7"/>
  <c r="J873" i="7"/>
  <c r="J618" i="7"/>
  <c r="J895" i="7"/>
  <c r="J634" i="7"/>
  <c r="J912" i="7"/>
  <c r="J59" i="8"/>
  <c r="J133" i="8"/>
  <c r="B85" i="9"/>
  <c r="B102" i="9"/>
  <c r="C85" i="9"/>
  <c r="C102" i="9"/>
  <c r="D85" i="9"/>
  <c r="D102" i="9"/>
  <c r="E85" i="9"/>
  <c r="E102" i="9"/>
  <c r="F85" i="9"/>
  <c r="F102" i="9"/>
  <c r="G85" i="9"/>
  <c r="G102" i="9"/>
  <c r="H85" i="9"/>
  <c r="H102" i="9"/>
  <c r="I85" i="9"/>
  <c r="I102" i="9"/>
  <c r="J85" i="9"/>
  <c r="J102" i="9"/>
  <c r="B86" i="9"/>
  <c r="B103" i="9"/>
  <c r="C86" i="9"/>
  <c r="C103" i="9"/>
  <c r="D86" i="9"/>
  <c r="D103" i="9"/>
  <c r="E86" i="9"/>
  <c r="E103" i="9"/>
  <c r="F86" i="9"/>
  <c r="F103" i="9"/>
  <c r="G86" i="9"/>
  <c r="G103" i="9"/>
  <c r="H86" i="9"/>
  <c r="H103" i="9"/>
  <c r="I86" i="9"/>
  <c r="I103" i="9"/>
  <c r="J86" i="9"/>
  <c r="J103" i="9"/>
  <c r="B87" i="9"/>
  <c r="B104" i="9"/>
  <c r="C87" i="9"/>
  <c r="C104" i="9"/>
  <c r="D87" i="9"/>
  <c r="D104" i="9"/>
  <c r="E87" i="9"/>
  <c r="E104" i="9"/>
  <c r="F87" i="9"/>
  <c r="F104" i="9"/>
  <c r="G87" i="9"/>
  <c r="G104" i="9"/>
  <c r="H87" i="9"/>
  <c r="H104" i="9"/>
  <c r="I87" i="9"/>
  <c r="I104" i="9"/>
  <c r="J87" i="9"/>
  <c r="J104" i="9"/>
  <c r="B88" i="9"/>
  <c r="B105" i="9"/>
  <c r="C88" i="9"/>
  <c r="C105" i="9"/>
  <c r="D88" i="9"/>
  <c r="D105" i="9"/>
  <c r="E88" i="9"/>
  <c r="E105" i="9"/>
  <c r="F88" i="9"/>
  <c r="F105" i="9"/>
  <c r="G88" i="9"/>
  <c r="G105" i="9"/>
  <c r="H88" i="9"/>
  <c r="H105" i="9"/>
  <c r="I88" i="9"/>
  <c r="I105" i="9"/>
  <c r="J88" i="9"/>
  <c r="J105" i="9"/>
  <c r="B89" i="9"/>
  <c r="B106" i="9"/>
  <c r="C89" i="9"/>
  <c r="C106" i="9"/>
  <c r="D89" i="9"/>
  <c r="D106" i="9"/>
  <c r="E89" i="9"/>
  <c r="E106" i="9"/>
  <c r="F89" i="9"/>
  <c r="F106" i="9"/>
  <c r="G89" i="9"/>
  <c r="G106" i="9"/>
  <c r="H89" i="9"/>
  <c r="H106" i="9"/>
  <c r="I89" i="9"/>
  <c r="I106" i="9"/>
  <c r="J89" i="9"/>
  <c r="J106" i="9"/>
  <c r="B90" i="9"/>
  <c r="B107" i="9"/>
  <c r="C90" i="9"/>
  <c r="C107" i="9"/>
  <c r="D90" i="9"/>
  <c r="D107" i="9"/>
  <c r="E90" i="9"/>
  <c r="E107" i="9"/>
  <c r="F90" i="9"/>
  <c r="F107" i="9"/>
  <c r="G90" i="9"/>
  <c r="G107" i="9"/>
  <c r="H90" i="9"/>
  <c r="H107" i="9"/>
  <c r="I90" i="9"/>
  <c r="I107" i="9"/>
  <c r="J90" i="9"/>
  <c r="J107" i="9"/>
  <c r="B91" i="9"/>
  <c r="B108" i="9"/>
  <c r="C91" i="9"/>
  <c r="C108" i="9"/>
  <c r="D91" i="9"/>
  <c r="D108" i="9"/>
  <c r="E91" i="9"/>
  <c r="E108" i="9"/>
  <c r="F91" i="9"/>
  <c r="F108" i="9"/>
  <c r="G91" i="9"/>
  <c r="G108" i="9"/>
  <c r="H91" i="9"/>
  <c r="H108" i="9"/>
  <c r="I91" i="9"/>
  <c r="I108" i="9"/>
  <c r="J91" i="9"/>
  <c r="J108" i="9"/>
  <c r="B92" i="9"/>
  <c r="B109" i="9"/>
  <c r="C92" i="9"/>
  <c r="C109" i="9"/>
  <c r="D92" i="9"/>
  <c r="D109" i="9"/>
  <c r="E92" i="9"/>
  <c r="E109" i="9"/>
  <c r="F92" i="9"/>
  <c r="F109" i="9"/>
  <c r="G92" i="9"/>
  <c r="G109" i="9"/>
  <c r="H92" i="9"/>
  <c r="H109" i="9"/>
  <c r="I92" i="9"/>
  <c r="I109" i="9"/>
  <c r="J92" i="9"/>
  <c r="J109" i="9"/>
  <c r="B70" i="9"/>
  <c r="B110" i="9"/>
  <c r="C70" i="9"/>
  <c r="C110" i="9"/>
  <c r="D70" i="9"/>
  <c r="D110" i="9"/>
  <c r="E70" i="9"/>
  <c r="E110" i="9"/>
  <c r="F70" i="9"/>
  <c r="F110" i="9"/>
  <c r="G70" i="9"/>
  <c r="G110" i="9"/>
  <c r="H70" i="9"/>
  <c r="H110" i="9"/>
  <c r="I70" i="9"/>
  <c r="I110" i="9"/>
  <c r="J70" i="9"/>
  <c r="J110" i="9"/>
  <c r="B71" i="9"/>
  <c r="B111" i="9"/>
  <c r="C71" i="9"/>
  <c r="C111" i="9"/>
  <c r="D71" i="9"/>
  <c r="D111" i="9"/>
  <c r="E71" i="9"/>
  <c r="E111" i="9"/>
  <c r="F71" i="9"/>
  <c r="F111" i="9"/>
  <c r="G71" i="9"/>
  <c r="G111" i="9"/>
  <c r="H71" i="9"/>
  <c r="H111" i="9"/>
  <c r="I71" i="9"/>
  <c r="I111" i="9"/>
  <c r="J71" i="9"/>
  <c r="J111" i="9"/>
  <c r="B72" i="9"/>
  <c r="B112" i="9"/>
  <c r="C72" i="9"/>
  <c r="C112" i="9"/>
  <c r="D72" i="9"/>
  <c r="D112" i="9"/>
  <c r="E72" i="9"/>
  <c r="E112" i="9"/>
  <c r="F72" i="9"/>
  <c r="F112" i="9"/>
  <c r="G72" i="9"/>
  <c r="G112" i="9"/>
  <c r="H72" i="9"/>
  <c r="H112" i="9"/>
  <c r="I72" i="9"/>
  <c r="I112" i="9"/>
  <c r="J72" i="9"/>
  <c r="J112" i="9"/>
  <c r="B84" i="9"/>
  <c r="B101" i="9"/>
  <c r="B120" i="9"/>
  <c r="C84" i="9"/>
  <c r="C101" i="9"/>
  <c r="C120" i="9"/>
  <c r="D84" i="9"/>
  <c r="D101" i="9"/>
  <c r="D120" i="9"/>
  <c r="E84" i="9"/>
  <c r="E101" i="9"/>
  <c r="E120" i="9"/>
  <c r="F84" i="9"/>
  <c r="F101" i="9"/>
  <c r="F120" i="9"/>
  <c r="G84" i="9"/>
  <c r="G101" i="9"/>
  <c r="G120" i="9"/>
  <c r="H84" i="9"/>
  <c r="H101" i="9"/>
  <c r="H120" i="9"/>
  <c r="I84" i="9"/>
  <c r="I101" i="9"/>
  <c r="I120" i="9"/>
  <c r="C582" i="7"/>
  <c r="C853" i="7"/>
  <c r="C606" i="7"/>
  <c r="C882" i="7"/>
  <c r="C32" i="8"/>
  <c r="C108" i="8"/>
  <c r="C130" i="9"/>
  <c r="D582" i="7"/>
  <c r="D853" i="7"/>
  <c r="D606" i="7"/>
  <c r="D882" i="7"/>
  <c r="D32" i="8"/>
  <c r="D108" i="8"/>
  <c r="D130" i="9"/>
  <c r="E582" i="7"/>
  <c r="E853" i="7"/>
  <c r="E606" i="7"/>
  <c r="E882" i="7"/>
  <c r="E32" i="8"/>
  <c r="E108" i="8"/>
  <c r="E130" i="9"/>
  <c r="F582" i="7"/>
  <c r="F853" i="7"/>
  <c r="F606" i="7"/>
  <c r="F882" i="7"/>
  <c r="F32" i="8"/>
  <c r="F108" i="8"/>
  <c r="F130" i="9"/>
  <c r="G582" i="7"/>
  <c r="G853" i="7"/>
  <c r="G606" i="7"/>
  <c r="G882" i="7"/>
  <c r="G32" i="8"/>
  <c r="G108" i="8"/>
  <c r="G130" i="9"/>
  <c r="H582" i="7"/>
  <c r="H853" i="7"/>
  <c r="H606" i="7"/>
  <c r="H882" i="7"/>
  <c r="H32" i="8"/>
  <c r="H108" i="8"/>
  <c r="H130" i="9"/>
  <c r="I582" i="7"/>
  <c r="I853" i="7"/>
  <c r="I606" i="7"/>
  <c r="I882" i="7"/>
  <c r="I32" i="8"/>
  <c r="I108" i="8"/>
  <c r="I130" i="9"/>
  <c r="J582" i="7"/>
  <c r="J853" i="7"/>
  <c r="J606" i="7"/>
  <c r="J882" i="7"/>
  <c r="J32" i="8"/>
  <c r="J108" i="8"/>
  <c r="J130" i="9"/>
  <c r="C583" i="7"/>
  <c r="C854" i="7"/>
  <c r="C13" i="8"/>
  <c r="C109" i="8"/>
  <c r="C131" i="9"/>
  <c r="D583" i="7"/>
  <c r="D854" i="7"/>
  <c r="D13" i="8"/>
  <c r="D109" i="8"/>
  <c r="D131" i="9"/>
  <c r="E583" i="7"/>
  <c r="E854" i="7"/>
  <c r="E13" i="8"/>
  <c r="E109" i="8"/>
  <c r="E131" i="9"/>
  <c r="F583" i="7"/>
  <c r="F854" i="7"/>
  <c r="F13" i="8"/>
  <c r="F109" i="8"/>
  <c r="F131" i="9"/>
  <c r="G583" i="7"/>
  <c r="G854" i="7"/>
  <c r="G13" i="8"/>
  <c r="G109" i="8"/>
  <c r="G131" i="9"/>
  <c r="H583" i="7"/>
  <c r="H854" i="7"/>
  <c r="H13" i="8"/>
  <c r="H109" i="8"/>
  <c r="H131" i="9"/>
  <c r="I583" i="7"/>
  <c r="I854" i="7"/>
  <c r="I13" i="8"/>
  <c r="I109" i="8"/>
  <c r="I131" i="9"/>
  <c r="J583" i="7"/>
  <c r="J854" i="7"/>
  <c r="J13" i="8"/>
  <c r="J109" i="8"/>
  <c r="J131" i="9"/>
  <c r="C584" i="7"/>
  <c r="C855" i="7"/>
  <c r="C14" i="8"/>
  <c r="C110" i="8"/>
  <c r="C132" i="9"/>
  <c r="D584" i="7"/>
  <c r="D855" i="7"/>
  <c r="D14" i="8"/>
  <c r="D110" i="8"/>
  <c r="D132" i="9"/>
  <c r="E584" i="7"/>
  <c r="E855" i="7"/>
  <c r="E14" i="8"/>
  <c r="E110" i="8"/>
  <c r="E132" i="9"/>
  <c r="F584" i="7"/>
  <c r="F855" i="7"/>
  <c r="F14" i="8"/>
  <c r="F110" i="8"/>
  <c r="F132" i="9"/>
  <c r="G584" i="7"/>
  <c r="G855" i="7"/>
  <c r="G14" i="8"/>
  <c r="G110" i="8"/>
  <c r="G132" i="9"/>
  <c r="H584" i="7"/>
  <c r="H855" i="7"/>
  <c r="H14" i="8"/>
  <c r="H110" i="8"/>
  <c r="H132" i="9"/>
  <c r="I584" i="7"/>
  <c r="I855" i="7"/>
  <c r="I14" i="8"/>
  <c r="I110" i="8"/>
  <c r="I132" i="9"/>
  <c r="J584" i="7"/>
  <c r="J855" i="7"/>
  <c r="J14" i="8"/>
  <c r="J110" i="8"/>
  <c r="J132" i="9"/>
  <c r="C585" i="7"/>
  <c r="C856" i="7"/>
  <c r="C607" i="7"/>
  <c r="C883" i="7"/>
  <c r="C33" i="8"/>
  <c r="C111" i="8"/>
  <c r="C133" i="9"/>
  <c r="D585" i="7"/>
  <c r="D856" i="7"/>
  <c r="D607" i="7"/>
  <c r="D883" i="7"/>
  <c r="D33" i="8"/>
  <c r="D111" i="8"/>
  <c r="D133" i="9"/>
  <c r="E585" i="7"/>
  <c r="E856" i="7"/>
  <c r="E607" i="7"/>
  <c r="E883" i="7"/>
  <c r="E33" i="8"/>
  <c r="E111" i="8"/>
  <c r="E133" i="9"/>
  <c r="F585" i="7"/>
  <c r="F856" i="7"/>
  <c r="F607" i="7"/>
  <c r="F883" i="7"/>
  <c r="F33" i="8"/>
  <c r="F111" i="8"/>
  <c r="F133" i="9"/>
  <c r="G585" i="7"/>
  <c r="G856" i="7"/>
  <c r="G607" i="7"/>
  <c r="G883" i="7"/>
  <c r="G33" i="8"/>
  <c r="G111" i="8"/>
  <c r="G133" i="9"/>
  <c r="H585" i="7"/>
  <c r="H856" i="7"/>
  <c r="H607" i="7"/>
  <c r="H883" i="7"/>
  <c r="H33" i="8"/>
  <c r="H111" i="8"/>
  <c r="H133" i="9"/>
  <c r="I585" i="7"/>
  <c r="I856" i="7"/>
  <c r="I607" i="7"/>
  <c r="I883" i="7"/>
  <c r="I33" i="8"/>
  <c r="I111" i="8"/>
  <c r="I133" i="9"/>
  <c r="J585" i="7"/>
  <c r="J856" i="7"/>
  <c r="J607" i="7"/>
  <c r="J883" i="7"/>
  <c r="J33" i="8"/>
  <c r="J111" i="8"/>
  <c r="J133" i="9"/>
  <c r="C586" i="7"/>
  <c r="C857" i="7"/>
  <c r="C15" i="8"/>
  <c r="C112" i="8"/>
  <c r="C134" i="9"/>
  <c r="D586" i="7"/>
  <c r="D857" i="7"/>
  <c r="D15" i="8"/>
  <c r="D112" i="8"/>
  <c r="D134" i="9"/>
  <c r="E586" i="7"/>
  <c r="E857" i="7"/>
  <c r="E15" i="8"/>
  <c r="E112" i="8"/>
  <c r="E134" i="9"/>
  <c r="F586" i="7"/>
  <c r="F857" i="7"/>
  <c r="F15" i="8"/>
  <c r="F112" i="8"/>
  <c r="F134" i="9"/>
  <c r="G586" i="7"/>
  <c r="G857" i="7"/>
  <c r="G15" i="8"/>
  <c r="G112" i="8"/>
  <c r="G134" i="9"/>
  <c r="H586" i="7"/>
  <c r="H857" i="7"/>
  <c r="H15" i="8"/>
  <c r="H112" i="8"/>
  <c r="H134" i="9"/>
  <c r="I586" i="7"/>
  <c r="I857" i="7"/>
  <c r="I15" i="8"/>
  <c r="I112" i="8"/>
  <c r="I134" i="9"/>
  <c r="J586" i="7"/>
  <c r="J857" i="7"/>
  <c r="J15" i="8"/>
  <c r="J112" i="8"/>
  <c r="J134" i="9"/>
  <c r="C587" i="7"/>
  <c r="C858" i="7"/>
  <c r="C608" i="7"/>
  <c r="C884" i="7"/>
  <c r="C34" i="8"/>
  <c r="C113" i="8"/>
  <c r="C135" i="9"/>
  <c r="D587" i="7"/>
  <c r="D858" i="7"/>
  <c r="D608" i="7"/>
  <c r="D884" i="7"/>
  <c r="D34" i="8"/>
  <c r="D113" i="8"/>
  <c r="D135" i="9"/>
  <c r="E587" i="7"/>
  <c r="E858" i="7"/>
  <c r="E608" i="7"/>
  <c r="E884" i="7"/>
  <c r="E34" i="8"/>
  <c r="E113" i="8"/>
  <c r="E135" i="9"/>
  <c r="F587" i="7"/>
  <c r="F858" i="7"/>
  <c r="F608" i="7"/>
  <c r="F884" i="7"/>
  <c r="F34" i="8"/>
  <c r="F113" i="8"/>
  <c r="F135" i="9"/>
  <c r="G587" i="7"/>
  <c r="G858" i="7"/>
  <c r="G608" i="7"/>
  <c r="G884" i="7"/>
  <c r="G34" i="8"/>
  <c r="G113" i="8"/>
  <c r="G135" i="9"/>
  <c r="H587" i="7"/>
  <c r="H858" i="7"/>
  <c r="H608" i="7"/>
  <c r="H884" i="7"/>
  <c r="H34" i="8"/>
  <c r="H113" i="8"/>
  <c r="H135" i="9"/>
  <c r="I587" i="7"/>
  <c r="I858" i="7"/>
  <c r="I608" i="7"/>
  <c r="I884" i="7"/>
  <c r="I34" i="8"/>
  <c r="I113" i="8"/>
  <c r="I135" i="9"/>
  <c r="J587" i="7"/>
  <c r="J858" i="7"/>
  <c r="J608" i="7"/>
  <c r="J884" i="7"/>
  <c r="J34" i="8"/>
  <c r="J113" i="8"/>
  <c r="J135" i="9"/>
  <c r="C588" i="7"/>
  <c r="C859" i="7"/>
  <c r="C609" i="7"/>
  <c r="C885" i="7"/>
  <c r="C35" i="8"/>
  <c r="C114" i="8"/>
  <c r="C136" i="9"/>
  <c r="D588" i="7"/>
  <c r="D859" i="7"/>
  <c r="D609" i="7"/>
  <c r="D885" i="7"/>
  <c r="D35" i="8"/>
  <c r="D114" i="8"/>
  <c r="D136" i="9"/>
  <c r="E588" i="7"/>
  <c r="E859" i="7"/>
  <c r="E609" i="7"/>
  <c r="E885" i="7"/>
  <c r="E35" i="8"/>
  <c r="E114" i="8"/>
  <c r="E136" i="9"/>
  <c r="F588" i="7"/>
  <c r="F859" i="7"/>
  <c r="F609" i="7"/>
  <c r="F885" i="7"/>
  <c r="F35" i="8"/>
  <c r="F114" i="8"/>
  <c r="F136" i="9"/>
  <c r="G588" i="7"/>
  <c r="G859" i="7"/>
  <c r="G609" i="7"/>
  <c r="G885" i="7"/>
  <c r="G35" i="8"/>
  <c r="G114" i="8"/>
  <c r="G136" i="9"/>
  <c r="H588" i="7"/>
  <c r="H859" i="7"/>
  <c r="H609" i="7"/>
  <c r="H885" i="7"/>
  <c r="H35" i="8"/>
  <c r="H114" i="8"/>
  <c r="H136" i="9"/>
  <c r="I588" i="7"/>
  <c r="I859" i="7"/>
  <c r="I609" i="7"/>
  <c r="I885" i="7"/>
  <c r="I35" i="8"/>
  <c r="I114" i="8"/>
  <c r="I136" i="9"/>
  <c r="J588" i="7"/>
  <c r="J859" i="7"/>
  <c r="J609" i="7"/>
  <c r="J885" i="7"/>
  <c r="J35" i="8"/>
  <c r="J114" i="8"/>
  <c r="J136" i="9"/>
  <c r="C589" i="7"/>
  <c r="C860" i="7"/>
  <c r="C610" i="7"/>
  <c r="C886" i="7"/>
  <c r="C36" i="8"/>
  <c r="C115" i="8"/>
  <c r="C137" i="9"/>
  <c r="D589" i="7"/>
  <c r="D860" i="7"/>
  <c r="D610" i="7"/>
  <c r="D886" i="7"/>
  <c r="D36" i="8"/>
  <c r="D115" i="8"/>
  <c r="D137" i="9"/>
  <c r="E589" i="7"/>
  <c r="E860" i="7"/>
  <c r="E610" i="7"/>
  <c r="E886" i="7"/>
  <c r="E36" i="8"/>
  <c r="E115" i="8"/>
  <c r="E137" i="9"/>
  <c r="F589" i="7"/>
  <c r="F860" i="7"/>
  <c r="F610" i="7"/>
  <c r="F886" i="7"/>
  <c r="F36" i="8"/>
  <c r="F115" i="8"/>
  <c r="F137" i="9"/>
  <c r="G589" i="7"/>
  <c r="G860" i="7"/>
  <c r="G610" i="7"/>
  <c r="G886" i="7"/>
  <c r="G36" i="8"/>
  <c r="G115" i="8"/>
  <c r="G137" i="9"/>
  <c r="H589" i="7"/>
  <c r="H860" i="7"/>
  <c r="H610" i="7"/>
  <c r="H886" i="7"/>
  <c r="H36" i="8"/>
  <c r="H115" i="8"/>
  <c r="H137" i="9"/>
  <c r="I589" i="7"/>
  <c r="I860" i="7"/>
  <c r="I610" i="7"/>
  <c r="I886" i="7"/>
  <c r="I36" i="8"/>
  <c r="I115" i="8"/>
  <c r="I137" i="9"/>
  <c r="J589" i="7"/>
  <c r="J860" i="7"/>
  <c r="J610" i="7"/>
  <c r="J886" i="7"/>
  <c r="J36" i="8"/>
  <c r="J115" i="8"/>
  <c r="J137" i="9"/>
  <c r="C590" i="7"/>
  <c r="C861" i="7"/>
  <c r="C611" i="7"/>
  <c r="C887" i="7"/>
  <c r="C627" i="7"/>
  <c r="C904" i="7"/>
  <c r="C51" i="8"/>
  <c r="C116" i="8"/>
  <c r="C138" i="9"/>
  <c r="D590" i="7"/>
  <c r="D861" i="7"/>
  <c r="D611" i="7"/>
  <c r="D887" i="7"/>
  <c r="D627" i="7"/>
  <c r="D904" i="7"/>
  <c r="D51" i="8"/>
  <c r="D116" i="8"/>
  <c r="D138" i="9"/>
  <c r="E590" i="7"/>
  <c r="E861" i="7"/>
  <c r="E611" i="7"/>
  <c r="E887" i="7"/>
  <c r="E627" i="7"/>
  <c r="E904" i="7"/>
  <c r="E51" i="8"/>
  <c r="E116" i="8"/>
  <c r="E138" i="9"/>
  <c r="F590" i="7"/>
  <c r="F861" i="7"/>
  <c r="F611" i="7"/>
  <c r="F887" i="7"/>
  <c r="F627" i="7"/>
  <c r="F904" i="7"/>
  <c r="F51" i="8"/>
  <c r="F116" i="8"/>
  <c r="F138" i="9"/>
  <c r="G590" i="7"/>
  <c r="G861" i="7"/>
  <c r="G611" i="7"/>
  <c r="G887" i="7"/>
  <c r="G627" i="7"/>
  <c r="G904" i="7"/>
  <c r="G51" i="8"/>
  <c r="G116" i="8"/>
  <c r="G138" i="9"/>
  <c r="H590" i="7"/>
  <c r="H861" i="7"/>
  <c r="H611" i="7"/>
  <c r="H887" i="7"/>
  <c r="H627" i="7"/>
  <c r="H904" i="7"/>
  <c r="H51" i="8"/>
  <c r="H116" i="8"/>
  <c r="H138" i="9"/>
  <c r="I590" i="7"/>
  <c r="I861" i="7"/>
  <c r="I611" i="7"/>
  <c r="I887" i="7"/>
  <c r="I627" i="7"/>
  <c r="I904" i="7"/>
  <c r="I51" i="8"/>
  <c r="I116" i="8"/>
  <c r="I138" i="9"/>
  <c r="J590" i="7"/>
  <c r="J861" i="7"/>
  <c r="J611" i="7"/>
  <c r="J887" i="7"/>
  <c r="J627" i="7"/>
  <c r="J904" i="7"/>
  <c r="J51" i="8"/>
  <c r="J116" i="8"/>
  <c r="J138" i="9"/>
  <c r="C591" i="7"/>
  <c r="C862" i="7"/>
  <c r="C612" i="7"/>
  <c r="C888" i="7"/>
  <c r="C628" i="7"/>
  <c r="C905" i="7"/>
  <c r="C52" i="8"/>
  <c r="C117" i="8"/>
  <c r="C139" i="9"/>
  <c r="D591" i="7"/>
  <c r="D862" i="7"/>
  <c r="D612" i="7"/>
  <c r="D888" i="7"/>
  <c r="D628" i="7"/>
  <c r="D905" i="7"/>
  <c r="D52" i="8"/>
  <c r="D117" i="8"/>
  <c r="D139" i="9"/>
  <c r="E591" i="7"/>
  <c r="E862" i="7"/>
  <c r="E612" i="7"/>
  <c r="E888" i="7"/>
  <c r="E628" i="7"/>
  <c r="E905" i="7"/>
  <c r="E52" i="8"/>
  <c r="E117" i="8"/>
  <c r="E139" i="9"/>
  <c r="F591" i="7"/>
  <c r="F862" i="7"/>
  <c r="F612" i="7"/>
  <c r="F888" i="7"/>
  <c r="F628" i="7"/>
  <c r="F905" i="7"/>
  <c r="F52" i="8"/>
  <c r="F117" i="8"/>
  <c r="F139" i="9"/>
  <c r="G591" i="7"/>
  <c r="G862" i="7"/>
  <c r="G612" i="7"/>
  <c r="G888" i="7"/>
  <c r="G628" i="7"/>
  <c r="G905" i="7"/>
  <c r="G52" i="8"/>
  <c r="G117" i="8"/>
  <c r="G139" i="9"/>
  <c r="H591" i="7"/>
  <c r="H862" i="7"/>
  <c r="H612" i="7"/>
  <c r="H888" i="7"/>
  <c r="H628" i="7"/>
  <c r="H905" i="7"/>
  <c r="H52" i="8"/>
  <c r="H117" i="8"/>
  <c r="H139" i="9"/>
  <c r="I591" i="7"/>
  <c r="I862" i="7"/>
  <c r="I612" i="7"/>
  <c r="I888" i="7"/>
  <c r="I628" i="7"/>
  <c r="I905" i="7"/>
  <c r="I52" i="8"/>
  <c r="I117" i="8"/>
  <c r="I139" i="9"/>
  <c r="J591" i="7"/>
  <c r="J862" i="7"/>
  <c r="J612" i="7"/>
  <c r="J888" i="7"/>
  <c r="J628" i="7"/>
  <c r="J905" i="7"/>
  <c r="J52" i="8"/>
  <c r="J117" i="8"/>
  <c r="J139" i="9"/>
  <c r="C592" i="7"/>
  <c r="C863" i="7"/>
  <c r="C613" i="7"/>
  <c r="C889" i="7"/>
  <c r="C629" i="7"/>
  <c r="C906" i="7"/>
  <c r="C53" i="8"/>
  <c r="C118" i="8"/>
  <c r="C140" i="9"/>
  <c r="D592" i="7"/>
  <c r="D863" i="7"/>
  <c r="D613" i="7"/>
  <c r="D889" i="7"/>
  <c r="D629" i="7"/>
  <c r="D906" i="7"/>
  <c r="D53" i="8"/>
  <c r="D118" i="8"/>
  <c r="D140" i="9"/>
  <c r="E592" i="7"/>
  <c r="E863" i="7"/>
  <c r="E613" i="7"/>
  <c r="E889" i="7"/>
  <c r="E629" i="7"/>
  <c r="E906" i="7"/>
  <c r="E53" i="8"/>
  <c r="E118" i="8"/>
  <c r="E140" i="9"/>
  <c r="F592" i="7"/>
  <c r="F863" i="7"/>
  <c r="F613" i="7"/>
  <c r="F889" i="7"/>
  <c r="F629" i="7"/>
  <c r="F906" i="7"/>
  <c r="F53" i="8"/>
  <c r="F118" i="8"/>
  <c r="F140" i="9"/>
  <c r="G592" i="7"/>
  <c r="G863" i="7"/>
  <c r="G613" i="7"/>
  <c r="G889" i="7"/>
  <c r="G629" i="7"/>
  <c r="G906" i="7"/>
  <c r="G53" i="8"/>
  <c r="G118" i="8"/>
  <c r="G140" i="9"/>
  <c r="H592" i="7"/>
  <c r="H863" i="7"/>
  <c r="H613" i="7"/>
  <c r="H889" i="7"/>
  <c r="H629" i="7"/>
  <c r="H906" i="7"/>
  <c r="H53" i="8"/>
  <c r="H118" i="8"/>
  <c r="H140" i="9"/>
  <c r="I592" i="7"/>
  <c r="I863" i="7"/>
  <c r="I613" i="7"/>
  <c r="I889" i="7"/>
  <c r="I629" i="7"/>
  <c r="I906" i="7"/>
  <c r="I53" i="8"/>
  <c r="I118" i="8"/>
  <c r="I140" i="9"/>
  <c r="J592" i="7"/>
  <c r="J863" i="7"/>
  <c r="J613" i="7"/>
  <c r="J889" i="7"/>
  <c r="J629" i="7"/>
  <c r="J906" i="7"/>
  <c r="J53" i="8"/>
  <c r="J118" i="8"/>
  <c r="J140" i="9"/>
  <c r="C593" i="7"/>
  <c r="C864" i="7"/>
  <c r="C614" i="7"/>
  <c r="C890" i="7"/>
  <c r="C630" i="7"/>
  <c r="C907" i="7"/>
  <c r="C54" i="8"/>
  <c r="C119" i="8"/>
  <c r="C141" i="9"/>
  <c r="D593" i="7"/>
  <c r="D864" i="7"/>
  <c r="D614" i="7"/>
  <c r="D890" i="7"/>
  <c r="D630" i="7"/>
  <c r="D907" i="7"/>
  <c r="D54" i="8"/>
  <c r="D119" i="8"/>
  <c r="D141" i="9"/>
  <c r="E593" i="7"/>
  <c r="E864" i="7"/>
  <c r="E614" i="7"/>
  <c r="E890" i="7"/>
  <c r="E630" i="7"/>
  <c r="E907" i="7"/>
  <c r="E54" i="8"/>
  <c r="E119" i="8"/>
  <c r="E141" i="9"/>
  <c r="F593" i="7"/>
  <c r="F864" i="7"/>
  <c r="F614" i="7"/>
  <c r="F890" i="7"/>
  <c r="F630" i="7"/>
  <c r="F907" i="7"/>
  <c r="F54" i="8"/>
  <c r="F119" i="8"/>
  <c r="F141" i="9"/>
  <c r="G593" i="7"/>
  <c r="G864" i="7"/>
  <c r="G614" i="7"/>
  <c r="G890" i="7"/>
  <c r="G630" i="7"/>
  <c r="G907" i="7"/>
  <c r="G54" i="8"/>
  <c r="G119" i="8"/>
  <c r="G141" i="9"/>
  <c r="H593" i="7"/>
  <c r="H864" i="7"/>
  <c r="H614" i="7"/>
  <c r="H890" i="7"/>
  <c r="H630" i="7"/>
  <c r="H907" i="7"/>
  <c r="H54" i="8"/>
  <c r="H119" i="8"/>
  <c r="H141" i="9"/>
  <c r="I593" i="7"/>
  <c r="I864" i="7"/>
  <c r="I614" i="7"/>
  <c r="I890" i="7"/>
  <c r="I630" i="7"/>
  <c r="I907" i="7"/>
  <c r="I54" i="8"/>
  <c r="I119" i="8"/>
  <c r="I141" i="9"/>
  <c r="J593" i="7"/>
  <c r="J864" i="7"/>
  <c r="J614" i="7"/>
  <c r="J890" i="7"/>
  <c r="J630" i="7"/>
  <c r="J907" i="7"/>
  <c r="J54" i="8"/>
  <c r="J119" i="8"/>
  <c r="J141" i="9"/>
  <c r="C594" i="7"/>
  <c r="C865" i="7"/>
  <c r="C615" i="7"/>
  <c r="C891" i="7"/>
  <c r="C631" i="7"/>
  <c r="C908" i="7"/>
  <c r="C55" i="8"/>
  <c r="C120" i="8"/>
  <c r="C142" i="9"/>
  <c r="D594" i="7"/>
  <c r="D865" i="7"/>
  <c r="D615" i="7"/>
  <c r="D891" i="7"/>
  <c r="D631" i="7"/>
  <c r="D908" i="7"/>
  <c r="D55" i="8"/>
  <c r="D120" i="8"/>
  <c r="D142" i="9"/>
  <c r="E594" i="7"/>
  <c r="E865" i="7"/>
  <c r="E615" i="7"/>
  <c r="E891" i="7"/>
  <c r="E631" i="7"/>
  <c r="E908" i="7"/>
  <c r="E55" i="8"/>
  <c r="E120" i="8"/>
  <c r="E142" i="9"/>
  <c r="F594" i="7"/>
  <c r="F865" i="7"/>
  <c r="F615" i="7"/>
  <c r="F891" i="7"/>
  <c r="F631" i="7"/>
  <c r="F908" i="7"/>
  <c r="F55" i="8"/>
  <c r="F120" i="8"/>
  <c r="F142" i="9"/>
  <c r="G594" i="7"/>
  <c r="G865" i="7"/>
  <c r="G615" i="7"/>
  <c r="G891" i="7"/>
  <c r="G631" i="7"/>
  <c r="G908" i="7"/>
  <c r="G55" i="8"/>
  <c r="G120" i="8"/>
  <c r="G142" i="9"/>
  <c r="H594" i="7"/>
  <c r="H865" i="7"/>
  <c r="H615" i="7"/>
  <c r="H891" i="7"/>
  <c r="H631" i="7"/>
  <c r="H908" i="7"/>
  <c r="H55" i="8"/>
  <c r="H120" i="8"/>
  <c r="H142" i="9"/>
  <c r="I594" i="7"/>
  <c r="I865" i="7"/>
  <c r="I615" i="7"/>
  <c r="I891" i="7"/>
  <c r="I631" i="7"/>
  <c r="I908" i="7"/>
  <c r="I55" i="8"/>
  <c r="I120" i="8"/>
  <c r="I142" i="9"/>
  <c r="J594" i="7"/>
  <c r="J865" i="7"/>
  <c r="J615" i="7"/>
  <c r="J891" i="7"/>
  <c r="J631" i="7"/>
  <c r="J908" i="7"/>
  <c r="J55" i="8"/>
  <c r="J120" i="8"/>
  <c r="J142" i="9"/>
  <c r="C821" i="7"/>
  <c r="C866" i="7"/>
  <c r="C16" i="8"/>
  <c r="C121" i="8"/>
  <c r="C143" i="9"/>
  <c r="D821" i="7"/>
  <c r="D866" i="7"/>
  <c r="D16" i="8"/>
  <c r="D121" i="8"/>
  <c r="D143" i="9"/>
  <c r="E821" i="7"/>
  <c r="E866" i="7"/>
  <c r="E16" i="8"/>
  <c r="E121" i="8"/>
  <c r="E143" i="9"/>
  <c r="F821" i="7"/>
  <c r="F866" i="7"/>
  <c r="F16" i="8"/>
  <c r="F121" i="8"/>
  <c r="F143" i="9"/>
  <c r="G821" i="7"/>
  <c r="G866" i="7"/>
  <c r="G16" i="8"/>
  <c r="G121" i="8"/>
  <c r="G143" i="9"/>
  <c r="H821" i="7"/>
  <c r="H866" i="7"/>
  <c r="H16" i="8"/>
  <c r="H121" i="8"/>
  <c r="H143" i="9"/>
  <c r="I821" i="7"/>
  <c r="I866" i="7"/>
  <c r="I16" i="8"/>
  <c r="I121" i="8"/>
  <c r="I143" i="9"/>
  <c r="J821" i="7"/>
  <c r="J866" i="7"/>
  <c r="J16" i="8"/>
  <c r="J121" i="8"/>
  <c r="J143" i="9"/>
  <c r="C822" i="7"/>
  <c r="C867" i="7"/>
  <c r="C17" i="8"/>
  <c r="C122" i="8"/>
  <c r="C144" i="9"/>
  <c r="D822" i="7"/>
  <c r="D867" i="7"/>
  <c r="D17" i="8"/>
  <c r="D122" i="8"/>
  <c r="D144" i="9"/>
  <c r="E822" i="7"/>
  <c r="E867" i="7"/>
  <c r="E17" i="8"/>
  <c r="E122" i="8"/>
  <c r="E144" i="9"/>
  <c r="F822" i="7"/>
  <c r="F867" i="7"/>
  <c r="F17" i="8"/>
  <c r="F122" i="8"/>
  <c r="F144" i="9"/>
  <c r="G822" i="7"/>
  <c r="G867" i="7"/>
  <c r="G17" i="8"/>
  <c r="G122" i="8"/>
  <c r="G144" i="9"/>
  <c r="H822" i="7"/>
  <c r="H867" i="7"/>
  <c r="H17" i="8"/>
  <c r="H122" i="8"/>
  <c r="H144" i="9"/>
  <c r="I822" i="7"/>
  <c r="I867" i="7"/>
  <c r="I17" i="8"/>
  <c r="I122" i="8"/>
  <c r="I144" i="9"/>
  <c r="J822" i="7"/>
  <c r="J867" i="7"/>
  <c r="J17" i="8"/>
  <c r="J122" i="8"/>
  <c r="J144" i="9"/>
  <c r="C823" i="7"/>
  <c r="C868" i="7"/>
  <c r="C18" i="8"/>
  <c r="C123" i="8"/>
  <c r="C145" i="9"/>
  <c r="D823" i="7"/>
  <c r="D868" i="7"/>
  <c r="D18" i="8"/>
  <c r="D123" i="8"/>
  <c r="D145" i="9"/>
  <c r="E823" i="7"/>
  <c r="E868" i="7"/>
  <c r="E18" i="8"/>
  <c r="E123" i="8"/>
  <c r="E145" i="9"/>
  <c r="F823" i="7"/>
  <c r="F868" i="7"/>
  <c r="F18" i="8"/>
  <c r="F123" i="8"/>
  <c r="F145" i="9"/>
  <c r="G823" i="7"/>
  <c r="G868" i="7"/>
  <c r="G18" i="8"/>
  <c r="G123" i="8"/>
  <c r="G145" i="9"/>
  <c r="H823" i="7"/>
  <c r="H868" i="7"/>
  <c r="H18" i="8"/>
  <c r="H123" i="8"/>
  <c r="H145" i="9"/>
  <c r="I823" i="7"/>
  <c r="I868" i="7"/>
  <c r="I18" i="8"/>
  <c r="I123" i="8"/>
  <c r="I145" i="9"/>
  <c r="J823" i="7"/>
  <c r="J868" i="7"/>
  <c r="J18" i="8"/>
  <c r="J123" i="8"/>
  <c r="J145" i="9"/>
  <c r="C824" i="7"/>
  <c r="C869" i="7"/>
  <c r="C19" i="8"/>
  <c r="C124" i="8"/>
  <c r="C146" i="9"/>
  <c r="D824" i="7"/>
  <c r="D869" i="7"/>
  <c r="D19" i="8"/>
  <c r="D124" i="8"/>
  <c r="D146" i="9"/>
  <c r="E824" i="7"/>
  <c r="E869" i="7"/>
  <c r="E19" i="8"/>
  <c r="E124" i="8"/>
  <c r="E146" i="9"/>
  <c r="F824" i="7"/>
  <c r="F869" i="7"/>
  <c r="F19" i="8"/>
  <c r="F124" i="8"/>
  <c r="F146" i="9"/>
  <c r="G824" i="7"/>
  <c r="G869" i="7"/>
  <c r="G19" i="8"/>
  <c r="G124" i="8"/>
  <c r="G146" i="9"/>
  <c r="H824" i="7"/>
  <c r="H869" i="7"/>
  <c r="H19" i="8"/>
  <c r="H124" i="8"/>
  <c r="H146" i="9"/>
  <c r="I824" i="7"/>
  <c r="I869" i="7"/>
  <c r="I19" i="8"/>
  <c r="I124" i="8"/>
  <c r="I146" i="9"/>
  <c r="J824" i="7"/>
  <c r="J869" i="7"/>
  <c r="J19" i="8"/>
  <c r="J124" i="8"/>
  <c r="J146" i="9"/>
  <c r="C825" i="7"/>
  <c r="C870" i="7"/>
  <c r="C834" i="7"/>
  <c r="C892" i="7"/>
  <c r="C843" i="7"/>
  <c r="C909" i="7"/>
  <c r="C56" i="8"/>
  <c r="C125" i="8"/>
  <c r="C147" i="9"/>
  <c r="D825" i="7"/>
  <c r="D870" i="7"/>
  <c r="D834" i="7"/>
  <c r="D892" i="7"/>
  <c r="D843" i="7"/>
  <c r="D909" i="7"/>
  <c r="D56" i="8"/>
  <c r="D125" i="8"/>
  <c r="D147" i="9"/>
  <c r="E825" i="7"/>
  <c r="E870" i="7"/>
  <c r="E834" i="7"/>
  <c r="E892" i="7"/>
  <c r="E843" i="7"/>
  <c r="E909" i="7"/>
  <c r="E56" i="8"/>
  <c r="E125" i="8"/>
  <c r="E147" i="9"/>
  <c r="F825" i="7"/>
  <c r="F870" i="7"/>
  <c r="F834" i="7"/>
  <c r="F892" i="7"/>
  <c r="F843" i="7"/>
  <c r="F909" i="7"/>
  <c r="F56" i="8"/>
  <c r="F125" i="8"/>
  <c r="F147" i="9"/>
  <c r="G825" i="7"/>
  <c r="G870" i="7"/>
  <c r="G834" i="7"/>
  <c r="G892" i="7"/>
  <c r="G843" i="7"/>
  <c r="G909" i="7"/>
  <c r="G56" i="8"/>
  <c r="G125" i="8"/>
  <c r="G147" i="9"/>
  <c r="H825" i="7"/>
  <c r="H870" i="7"/>
  <c r="H834" i="7"/>
  <c r="H892" i="7"/>
  <c r="H843" i="7"/>
  <c r="H909" i="7"/>
  <c r="H56" i="8"/>
  <c r="H125" i="8"/>
  <c r="H147" i="9"/>
  <c r="I825" i="7"/>
  <c r="I870" i="7"/>
  <c r="I834" i="7"/>
  <c r="I892" i="7"/>
  <c r="I843" i="7"/>
  <c r="I909" i="7"/>
  <c r="I56" i="8"/>
  <c r="I125" i="8"/>
  <c r="I147" i="9"/>
  <c r="J825" i="7"/>
  <c r="J870" i="7"/>
  <c r="J834" i="7"/>
  <c r="J892" i="7"/>
  <c r="J843" i="7"/>
  <c r="J909" i="7"/>
  <c r="J56" i="8"/>
  <c r="J125" i="8"/>
  <c r="J147" i="9"/>
  <c r="C581" i="7"/>
  <c r="C852" i="7"/>
  <c r="C12" i="8"/>
  <c r="C107" i="8"/>
  <c r="C129" i="9"/>
  <c r="C155" i="9"/>
  <c r="D581" i="7"/>
  <c r="D852" i="7"/>
  <c r="D12" i="8"/>
  <c r="D107" i="8"/>
  <c r="D129" i="9"/>
  <c r="D155" i="9"/>
  <c r="E581" i="7"/>
  <c r="E852" i="7"/>
  <c r="E12" i="8"/>
  <c r="E107" i="8"/>
  <c r="E129" i="9"/>
  <c r="E155" i="9"/>
  <c r="F581" i="7"/>
  <c r="F852" i="7"/>
  <c r="F12" i="8"/>
  <c r="F107" i="8"/>
  <c r="F129" i="9"/>
  <c r="F155" i="9"/>
  <c r="G581" i="7"/>
  <c r="G852" i="7"/>
  <c r="G12" i="8"/>
  <c r="G107" i="8"/>
  <c r="G129" i="9"/>
  <c r="G155" i="9"/>
  <c r="H581" i="7"/>
  <c r="H852" i="7"/>
  <c r="H12" i="8"/>
  <c r="H107" i="8"/>
  <c r="H129" i="9"/>
  <c r="H155" i="9"/>
  <c r="I581" i="7"/>
  <c r="I852" i="7"/>
  <c r="I12" i="8"/>
  <c r="I107" i="8"/>
  <c r="I129" i="9"/>
  <c r="I155" i="9"/>
  <c r="J581" i="7"/>
  <c r="J852" i="7"/>
  <c r="J12" i="8"/>
  <c r="J107" i="8"/>
  <c r="J129" i="9"/>
  <c r="J155" i="9"/>
  <c r="J84" i="9"/>
  <c r="J101" i="9"/>
  <c r="J120" i="9"/>
  <c r="B164" i="9"/>
  <c r="J202" i="9"/>
  <c r="B113" i="4"/>
  <c r="C141" i="8"/>
  <c r="C213" i="9"/>
  <c r="B20" i="10"/>
  <c r="C68" i="10"/>
  <c r="D141" i="8"/>
  <c r="D213" i="9"/>
  <c r="C20" i="10"/>
  <c r="D68" i="10"/>
  <c r="E141" i="8"/>
  <c r="E213" i="9"/>
  <c r="D20" i="10"/>
  <c r="E68" i="10"/>
  <c r="F141" i="8"/>
  <c r="F213" i="9"/>
  <c r="E20" i="10"/>
  <c r="F68" i="10"/>
  <c r="F20" i="10"/>
  <c r="G68" i="10"/>
  <c r="H141" i="8"/>
  <c r="H213" i="9"/>
  <c r="G20" i="10"/>
  <c r="H68" i="10"/>
  <c r="I141" i="8"/>
  <c r="I213" i="9"/>
  <c r="H20" i="10"/>
  <c r="I68" i="10"/>
  <c r="J141" i="8"/>
  <c r="J213" i="9"/>
  <c r="I20" i="10"/>
  <c r="J68" i="10"/>
  <c r="M68" i="10"/>
  <c r="B90" i="10"/>
  <c r="C90" i="10"/>
  <c r="B114" i="4"/>
  <c r="D90" i="10"/>
  <c r="B115" i="4"/>
  <c r="E90" i="10"/>
  <c r="B116" i="4"/>
  <c r="F90" i="10"/>
  <c r="B117" i="4"/>
  <c r="G90" i="10"/>
  <c r="B118" i="4"/>
  <c r="H90" i="10"/>
  <c r="B119" i="4"/>
  <c r="I90" i="10"/>
  <c r="B120" i="4"/>
  <c r="J90" i="10"/>
  <c r="C56" i="10"/>
  <c r="H56" i="10"/>
  <c r="L68" i="10"/>
  <c r="L90" i="10"/>
  <c r="C99" i="10"/>
  <c r="D99" i="10"/>
  <c r="E99" i="10"/>
  <c r="F99" i="10"/>
  <c r="G99" i="10"/>
  <c r="H99" i="10"/>
  <c r="I99" i="10"/>
  <c r="J99" i="10"/>
  <c r="L99" i="10"/>
  <c r="C123" i="10"/>
  <c r="C126" i="10"/>
  <c r="C135" i="10"/>
  <c r="C136" i="10"/>
  <c r="C137" i="10"/>
  <c r="C138" i="10"/>
  <c r="C139" i="10"/>
  <c r="B58" i="11"/>
  <c r="C94" i="11"/>
  <c r="C58" i="11"/>
  <c r="D94" i="11"/>
  <c r="D58" i="11"/>
  <c r="E94" i="11"/>
  <c r="E58" i="11"/>
  <c r="F94" i="11"/>
  <c r="F58" i="11"/>
  <c r="G94" i="11"/>
  <c r="G58" i="11"/>
  <c r="H94" i="11"/>
  <c r="H58" i="11"/>
  <c r="I94" i="11"/>
  <c r="I58" i="11"/>
  <c r="J94" i="11"/>
  <c r="B59" i="11"/>
  <c r="C95" i="11"/>
  <c r="C59" i="11"/>
  <c r="D95" i="11"/>
  <c r="D59" i="11"/>
  <c r="E95" i="11"/>
  <c r="E59" i="11"/>
  <c r="F95" i="11"/>
  <c r="F59" i="11"/>
  <c r="G95" i="11"/>
  <c r="G59" i="11"/>
  <c r="H95" i="11"/>
  <c r="H59" i="11"/>
  <c r="I95" i="11"/>
  <c r="I59" i="11"/>
  <c r="J95" i="11"/>
  <c r="B60" i="11"/>
  <c r="C96" i="11"/>
  <c r="C60" i="11"/>
  <c r="D96" i="11"/>
  <c r="D60" i="11"/>
  <c r="E96" i="11"/>
  <c r="E60" i="11"/>
  <c r="F96" i="11"/>
  <c r="F60" i="11"/>
  <c r="G96" i="11"/>
  <c r="G60" i="11"/>
  <c r="H96" i="11"/>
  <c r="H60" i="11"/>
  <c r="I96" i="11"/>
  <c r="I60" i="11"/>
  <c r="J96" i="11"/>
  <c r="B61" i="11"/>
  <c r="C97" i="11"/>
  <c r="C61" i="11"/>
  <c r="D97" i="11"/>
  <c r="D61" i="11"/>
  <c r="E97" i="11"/>
  <c r="E61" i="11"/>
  <c r="F97" i="11"/>
  <c r="F61" i="11"/>
  <c r="G97" i="11"/>
  <c r="G61" i="11"/>
  <c r="H97" i="11"/>
  <c r="H61" i="11"/>
  <c r="I97" i="11"/>
  <c r="I61" i="11"/>
  <c r="J97" i="11"/>
  <c r="B62" i="11"/>
  <c r="C98" i="11"/>
  <c r="C62" i="11"/>
  <c r="D98" i="11"/>
  <c r="D62" i="11"/>
  <c r="E98" i="11"/>
  <c r="E62" i="11"/>
  <c r="F98" i="11"/>
  <c r="F62" i="11"/>
  <c r="G98" i="11"/>
  <c r="G62" i="11"/>
  <c r="H98" i="11"/>
  <c r="H62" i="11"/>
  <c r="I98" i="11"/>
  <c r="I62" i="11"/>
  <c r="J98" i="11"/>
  <c r="B63" i="11"/>
  <c r="C99" i="11"/>
  <c r="C63" i="11"/>
  <c r="D99" i="11"/>
  <c r="D63" i="11"/>
  <c r="E99" i="11"/>
  <c r="E63" i="11"/>
  <c r="F99" i="11"/>
  <c r="F63" i="11"/>
  <c r="G99" i="11"/>
  <c r="G63" i="11"/>
  <c r="H99" i="11"/>
  <c r="H63" i="11"/>
  <c r="I99" i="11"/>
  <c r="I63" i="11"/>
  <c r="J99" i="11"/>
  <c r="B64" i="11"/>
  <c r="C100" i="11"/>
  <c r="C64" i="11"/>
  <c r="D100" i="11"/>
  <c r="D64" i="11"/>
  <c r="E100" i="11"/>
  <c r="E64" i="11"/>
  <c r="F100" i="11"/>
  <c r="F64" i="11"/>
  <c r="G100" i="11"/>
  <c r="G64" i="11"/>
  <c r="H100" i="11"/>
  <c r="H64" i="11"/>
  <c r="I100" i="11"/>
  <c r="I64" i="11"/>
  <c r="J100" i="11"/>
  <c r="B65" i="11"/>
  <c r="C101" i="11"/>
  <c r="C65" i="11"/>
  <c r="D101" i="11"/>
  <c r="D65" i="11"/>
  <c r="E101" i="11"/>
  <c r="E65" i="11"/>
  <c r="F101" i="11"/>
  <c r="F65" i="11"/>
  <c r="G101" i="11"/>
  <c r="G65" i="11"/>
  <c r="H101" i="11"/>
  <c r="H65" i="11"/>
  <c r="I101" i="11"/>
  <c r="I65" i="11"/>
  <c r="J101" i="11"/>
  <c r="B66" i="11"/>
  <c r="C102" i="11"/>
  <c r="C66" i="11"/>
  <c r="D102" i="11"/>
  <c r="D66" i="11"/>
  <c r="E102" i="11"/>
  <c r="E66" i="11"/>
  <c r="F102" i="11"/>
  <c r="F66" i="11"/>
  <c r="G102" i="11"/>
  <c r="G66" i="11"/>
  <c r="H102" i="11"/>
  <c r="H66" i="11"/>
  <c r="I102" i="11"/>
  <c r="I66" i="11"/>
  <c r="J102" i="11"/>
  <c r="B67" i="11"/>
  <c r="C103" i="11"/>
  <c r="C67" i="11"/>
  <c r="D103" i="11"/>
  <c r="D67" i="11"/>
  <c r="E103" i="11"/>
  <c r="E67" i="11"/>
  <c r="F103" i="11"/>
  <c r="F67" i="11"/>
  <c r="G103" i="11"/>
  <c r="G67" i="11"/>
  <c r="H103" i="11"/>
  <c r="H67" i="11"/>
  <c r="I103" i="11"/>
  <c r="I67" i="11"/>
  <c r="J103" i="11"/>
  <c r="B68" i="11"/>
  <c r="C104" i="11"/>
  <c r="C68" i="11"/>
  <c r="D104" i="11"/>
  <c r="D68" i="11"/>
  <c r="E104" i="11"/>
  <c r="E68" i="11"/>
  <c r="F104" i="11"/>
  <c r="F68" i="11"/>
  <c r="G104" i="11"/>
  <c r="G68" i="11"/>
  <c r="H104" i="11"/>
  <c r="H68" i="11"/>
  <c r="I104" i="11"/>
  <c r="I68" i="11"/>
  <c r="J104" i="11"/>
  <c r="C69" i="11"/>
  <c r="D105" i="11"/>
  <c r="D69" i="11"/>
  <c r="E105" i="11"/>
  <c r="E69" i="11"/>
  <c r="F105" i="11"/>
  <c r="F69" i="11"/>
  <c r="G105" i="11"/>
  <c r="G69" i="11"/>
  <c r="H105" i="11"/>
  <c r="H69" i="11"/>
  <c r="I105" i="11"/>
  <c r="I69" i="11"/>
  <c r="J105" i="11"/>
  <c r="C70" i="11"/>
  <c r="D106" i="11"/>
  <c r="D70" i="11"/>
  <c r="E106" i="11"/>
  <c r="E70" i="11"/>
  <c r="F106" i="11"/>
  <c r="F70" i="11"/>
  <c r="G106" i="11"/>
  <c r="G70" i="11"/>
  <c r="H106" i="11"/>
  <c r="H70" i="11"/>
  <c r="I106" i="11"/>
  <c r="I70" i="11"/>
  <c r="J106" i="11"/>
  <c r="C71" i="11"/>
  <c r="D107" i="11"/>
  <c r="D71" i="11"/>
  <c r="E107" i="11"/>
  <c r="E71" i="11"/>
  <c r="F107" i="11"/>
  <c r="F71" i="11"/>
  <c r="G107" i="11"/>
  <c r="G71" i="11"/>
  <c r="H107" i="11"/>
  <c r="H71" i="11"/>
  <c r="I107" i="11"/>
  <c r="I71" i="11"/>
  <c r="J107" i="11"/>
  <c r="B72" i="11"/>
  <c r="C108" i="11"/>
  <c r="C72" i="11"/>
  <c r="D108" i="11"/>
  <c r="D72" i="11"/>
  <c r="E108" i="11"/>
  <c r="E72" i="11"/>
  <c r="F108" i="11"/>
  <c r="F72" i="11"/>
  <c r="G108" i="11"/>
  <c r="G72" i="11"/>
  <c r="H108" i="11"/>
  <c r="H72" i="11"/>
  <c r="I108" i="11"/>
  <c r="I72" i="11"/>
  <c r="J108" i="11"/>
  <c r="B73" i="11"/>
  <c r="C109" i="11"/>
  <c r="C73" i="11"/>
  <c r="D109" i="11"/>
  <c r="D73" i="11"/>
  <c r="E109" i="11"/>
  <c r="E73" i="11"/>
  <c r="F109" i="11"/>
  <c r="F73" i="11"/>
  <c r="G109" i="11"/>
  <c r="G73" i="11"/>
  <c r="H109" i="11"/>
  <c r="H73" i="11"/>
  <c r="I109" i="11"/>
  <c r="I73" i="11"/>
  <c r="J109" i="11"/>
  <c r="B74" i="11"/>
  <c r="C110" i="11"/>
  <c r="C74" i="11"/>
  <c r="D110" i="11"/>
  <c r="D74" i="11"/>
  <c r="E110" i="11"/>
  <c r="E74" i="11"/>
  <c r="F110" i="11"/>
  <c r="F74" i="11"/>
  <c r="G110" i="11"/>
  <c r="G74" i="11"/>
  <c r="H110" i="11"/>
  <c r="H74" i="11"/>
  <c r="I110" i="11"/>
  <c r="I74" i="11"/>
  <c r="J110" i="11"/>
  <c r="B75" i="11"/>
  <c r="C111" i="11"/>
  <c r="C75" i="11"/>
  <c r="D111" i="11"/>
  <c r="D75" i="11"/>
  <c r="E111" i="11"/>
  <c r="E75" i="11"/>
  <c r="F111" i="11"/>
  <c r="F75" i="11"/>
  <c r="G111" i="11"/>
  <c r="G75" i="11"/>
  <c r="H111" i="11"/>
  <c r="H75" i="11"/>
  <c r="I111" i="11"/>
  <c r="I75" i="11"/>
  <c r="J111" i="11"/>
  <c r="B76" i="11"/>
  <c r="C112" i="11"/>
  <c r="C76" i="11"/>
  <c r="D112" i="11"/>
  <c r="D76" i="11"/>
  <c r="E112" i="11"/>
  <c r="E76" i="11"/>
  <c r="F112" i="11"/>
  <c r="F76" i="11"/>
  <c r="G112" i="11"/>
  <c r="G76" i="11"/>
  <c r="H112" i="11"/>
  <c r="H76" i="11"/>
  <c r="I112" i="11"/>
  <c r="I76" i="11"/>
  <c r="J112" i="11"/>
  <c r="B77" i="11"/>
  <c r="C113" i="11"/>
  <c r="C77" i="11"/>
  <c r="D113" i="11"/>
  <c r="D77" i="11"/>
  <c r="E113" i="11"/>
  <c r="E77" i="11"/>
  <c r="F113" i="11"/>
  <c r="F77" i="11"/>
  <c r="G113" i="11"/>
  <c r="G77" i="11"/>
  <c r="H113" i="11"/>
  <c r="H77" i="11"/>
  <c r="I113" i="11"/>
  <c r="I77" i="11"/>
  <c r="J113" i="11"/>
  <c r="B78" i="11"/>
  <c r="C114" i="11"/>
  <c r="C78" i="11"/>
  <c r="D114" i="11"/>
  <c r="D78" i="11"/>
  <c r="E114" i="11"/>
  <c r="E78" i="11"/>
  <c r="F114" i="11"/>
  <c r="F78" i="11"/>
  <c r="G114" i="11"/>
  <c r="G78" i="11"/>
  <c r="H114" i="11"/>
  <c r="H78" i="11"/>
  <c r="I114" i="11"/>
  <c r="I78" i="11"/>
  <c r="J114" i="11"/>
  <c r="B79" i="11"/>
  <c r="C115" i="11"/>
  <c r="C79" i="11"/>
  <c r="D115" i="11"/>
  <c r="D79" i="11"/>
  <c r="E115" i="11"/>
  <c r="E79" i="11"/>
  <c r="F115" i="11"/>
  <c r="F79" i="11"/>
  <c r="G115" i="11"/>
  <c r="G79" i="11"/>
  <c r="H115" i="11"/>
  <c r="H79" i="11"/>
  <c r="I115" i="11"/>
  <c r="I79" i="11"/>
  <c r="J115" i="11"/>
  <c r="B80" i="11"/>
  <c r="C116" i="11"/>
  <c r="C80" i="11"/>
  <c r="D116" i="11"/>
  <c r="D80" i="11"/>
  <c r="E116" i="11"/>
  <c r="E80" i="11"/>
  <c r="F116" i="11"/>
  <c r="F80" i="11"/>
  <c r="G116" i="11"/>
  <c r="G80" i="11"/>
  <c r="H116" i="11"/>
  <c r="H80" i="11"/>
  <c r="I116" i="11"/>
  <c r="I80" i="11"/>
  <c r="J116" i="11"/>
  <c r="B81" i="11"/>
  <c r="C117" i="11"/>
  <c r="C81" i="11"/>
  <c r="D117" i="11"/>
  <c r="D81" i="11"/>
  <c r="E117" i="11"/>
  <c r="E81" i="11"/>
  <c r="F117" i="11"/>
  <c r="F81" i="11"/>
  <c r="G117" i="11"/>
  <c r="G81" i="11"/>
  <c r="H117" i="11"/>
  <c r="H81" i="11"/>
  <c r="I117" i="11"/>
  <c r="I81" i="11"/>
  <c r="J117" i="11"/>
  <c r="B82" i="11"/>
  <c r="C118" i="11"/>
  <c r="C82" i="11"/>
  <c r="D118" i="11"/>
  <c r="D82" i="11"/>
  <c r="E118" i="11"/>
  <c r="E82" i="11"/>
  <c r="F118" i="11"/>
  <c r="F82" i="11"/>
  <c r="G118" i="11"/>
  <c r="G82" i="11"/>
  <c r="H118" i="11"/>
  <c r="H82" i="11"/>
  <c r="I118" i="11"/>
  <c r="I82" i="11"/>
  <c r="J118" i="11"/>
  <c r="B83" i="11"/>
  <c r="C119" i="11"/>
  <c r="C83" i="11"/>
  <c r="D119" i="11"/>
  <c r="D83" i="11"/>
  <c r="E119" i="11"/>
  <c r="E83" i="11"/>
  <c r="F119" i="11"/>
  <c r="F83" i="11"/>
  <c r="G119" i="11"/>
  <c r="G83" i="11"/>
  <c r="H119" i="11"/>
  <c r="H83" i="11"/>
  <c r="I119" i="11"/>
  <c r="I83" i="11"/>
  <c r="J119" i="11"/>
  <c r="B84" i="11"/>
  <c r="C120" i="11"/>
  <c r="C84" i="11"/>
  <c r="D120" i="11"/>
  <c r="D84" i="11"/>
  <c r="E120" i="11"/>
  <c r="E84" i="11"/>
  <c r="F120" i="11"/>
  <c r="F84" i="11"/>
  <c r="G120" i="11"/>
  <c r="G84" i="11"/>
  <c r="H120" i="11"/>
  <c r="H84" i="11"/>
  <c r="I120" i="11"/>
  <c r="I84" i="11"/>
  <c r="J120" i="11"/>
  <c r="B45" i="12"/>
  <c r="B130" i="4"/>
  <c r="C11" i="12"/>
  <c r="C45" i="12"/>
  <c r="B131" i="4"/>
  <c r="D11" i="12"/>
  <c r="D45" i="12"/>
  <c r="B132" i="4"/>
  <c r="E11" i="12"/>
  <c r="E45" i="12"/>
  <c r="B133" i="4"/>
  <c r="F11" i="12"/>
  <c r="F45" i="12"/>
  <c r="B134" i="4"/>
  <c r="G11" i="12"/>
  <c r="G45" i="12"/>
  <c r="B135" i="4"/>
  <c r="H11" i="12"/>
  <c r="H45" i="12"/>
  <c r="B136" i="4"/>
  <c r="I11" i="12"/>
  <c r="I45" i="12"/>
  <c r="B137" i="4"/>
  <c r="J11" i="12"/>
  <c r="J45" i="12"/>
  <c r="C108" i="10"/>
  <c r="L11" i="12"/>
  <c r="L45" i="12"/>
  <c r="D108" i="10"/>
  <c r="M11" i="12"/>
  <c r="M45" i="12"/>
  <c r="E108" i="10"/>
  <c r="N11" i="12"/>
  <c r="N45" i="12"/>
  <c r="F108" i="10"/>
  <c r="O11" i="12"/>
  <c r="O45" i="12"/>
  <c r="G141" i="8"/>
  <c r="G213" i="9"/>
  <c r="G108" i="10"/>
  <c r="P11" i="12"/>
  <c r="P45" i="12"/>
  <c r="H108" i="10"/>
  <c r="Q11" i="12"/>
  <c r="Q45" i="12"/>
  <c r="I108" i="10"/>
  <c r="R11" i="12"/>
  <c r="R45" i="12"/>
  <c r="J108" i="10"/>
  <c r="S11" i="12"/>
  <c r="S45" i="12"/>
  <c r="B47" i="12"/>
  <c r="C47" i="12"/>
  <c r="D47" i="12"/>
  <c r="E47" i="12"/>
  <c r="F47" i="12"/>
  <c r="G47" i="12"/>
  <c r="H47" i="12"/>
  <c r="I47" i="12"/>
  <c r="J47" i="12"/>
  <c r="L47" i="12"/>
  <c r="M47" i="12"/>
  <c r="N47" i="12"/>
  <c r="O47" i="12"/>
  <c r="P47" i="12"/>
  <c r="Q47" i="12"/>
  <c r="R47" i="12"/>
  <c r="S47" i="12"/>
  <c r="B49" i="12"/>
  <c r="C49" i="12"/>
  <c r="D49" i="12"/>
  <c r="E49" i="12"/>
  <c r="F49" i="12"/>
  <c r="G49" i="12"/>
  <c r="H49" i="12"/>
  <c r="I49" i="12"/>
  <c r="J49" i="12"/>
  <c r="L49" i="12"/>
  <c r="M49" i="12"/>
  <c r="N49" i="12"/>
  <c r="O49" i="12"/>
  <c r="P49" i="12"/>
  <c r="Q49" i="12"/>
  <c r="R49" i="12"/>
  <c r="S49" i="12"/>
  <c r="C11" i="13"/>
  <c r="D11" i="13"/>
  <c r="E11" i="13"/>
  <c r="F11" i="13"/>
  <c r="G11" i="13"/>
  <c r="H11" i="13"/>
  <c r="I11" i="13"/>
  <c r="J11" i="13"/>
  <c r="L11" i="13"/>
  <c r="M11" i="13"/>
  <c r="N11" i="13"/>
  <c r="O11" i="13"/>
  <c r="P11" i="13"/>
  <c r="Q11" i="13"/>
  <c r="R11" i="13"/>
  <c r="S11" i="13"/>
  <c r="B27" i="13"/>
  <c r="C27" i="13"/>
  <c r="D27" i="13"/>
  <c r="E27" i="13"/>
  <c r="F27" i="13"/>
  <c r="G27" i="13"/>
  <c r="H27" i="13"/>
  <c r="I27" i="13"/>
  <c r="J27" i="13"/>
  <c r="L27" i="13"/>
  <c r="M27" i="13"/>
  <c r="N27" i="13"/>
  <c r="O27" i="13"/>
  <c r="P27" i="13"/>
  <c r="Q27" i="13"/>
  <c r="R27" i="13"/>
  <c r="S27" i="13"/>
  <c r="B30" i="13"/>
  <c r="C30" i="13"/>
  <c r="D30" i="13"/>
  <c r="E30" i="13"/>
  <c r="F30" i="13"/>
  <c r="G30" i="13"/>
  <c r="H30" i="13"/>
  <c r="I30" i="13"/>
  <c r="J30" i="13"/>
  <c r="L30" i="13"/>
  <c r="M30" i="13"/>
  <c r="N30" i="13"/>
  <c r="O30" i="13"/>
  <c r="P30" i="13"/>
  <c r="Q30" i="13"/>
  <c r="R30" i="13"/>
  <c r="S30" i="13"/>
  <c r="B39" i="13"/>
  <c r="C39" i="13"/>
  <c r="D39" i="13"/>
  <c r="E39" i="13"/>
  <c r="F39" i="13"/>
  <c r="G39" i="13"/>
  <c r="H39" i="13"/>
  <c r="I39" i="13"/>
  <c r="J39" i="13"/>
  <c r="L39" i="13"/>
  <c r="M39" i="13"/>
  <c r="N39" i="13"/>
  <c r="O39" i="13"/>
  <c r="P39" i="13"/>
  <c r="Q39" i="13"/>
  <c r="R39" i="13"/>
  <c r="S39" i="13"/>
  <c r="B40" i="13"/>
  <c r="C40" i="13"/>
  <c r="D40" i="13"/>
  <c r="E40" i="13"/>
  <c r="F40" i="13"/>
  <c r="G40" i="13"/>
  <c r="H40" i="13"/>
  <c r="I40" i="13"/>
  <c r="J40" i="13"/>
  <c r="L40" i="13"/>
  <c r="M40" i="13"/>
  <c r="N40" i="13"/>
  <c r="O40" i="13"/>
  <c r="P40" i="13"/>
  <c r="Q40" i="13"/>
  <c r="R40" i="13"/>
  <c r="S40" i="13"/>
  <c r="B41" i="13"/>
  <c r="C41" i="13"/>
  <c r="D41" i="13"/>
  <c r="E41" i="13"/>
  <c r="F41" i="13"/>
  <c r="G41" i="13"/>
  <c r="H41" i="13"/>
  <c r="I41" i="13"/>
  <c r="J41" i="13"/>
  <c r="L41" i="13"/>
  <c r="M41" i="13"/>
  <c r="N41" i="13"/>
  <c r="O41" i="13"/>
  <c r="P41" i="13"/>
  <c r="Q41" i="13"/>
  <c r="R41" i="13"/>
  <c r="S41" i="13"/>
  <c r="B42" i="13"/>
  <c r="C42" i="13"/>
  <c r="D42" i="13"/>
  <c r="E42" i="13"/>
  <c r="F42" i="13"/>
  <c r="G42" i="13"/>
  <c r="H42" i="13"/>
  <c r="I42" i="13"/>
  <c r="J42" i="13"/>
  <c r="L42" i="13"/>
  <c r="M42" i="13"/>
  <c r="N42" i="13"/>
  <c r="O42" i="13"/>
  <c r="P42" i="13"/>
  <c r="Q42" i="13"/>
  <c r="R42" i="13"/>
  <c r="S42" i="13"/>
  <c r="B43" i="13"/>
  <c r="C43" i="13"/>
  <c r="D43" i="13"/>
  <c r="E43" i="13"/>
  <c r="F43" i="13"/>
  <c r="G43" i="13"/>
  <c r="H43" i="13"/>
  <c r="I43" i="13"/>
  <c r="J43" i="13"/>
  <c r="L43" i="13"/>
  <c r="M43" i="13"/>
  <c r="N43" i="13"/>
  <c r="O43" i="13"/>
  <c r="P43" i="13"/>
  <c r="Q43" i="13"/>
  <c r="R43" i="13"/>
  <c r="S43" i="13"/>
  <c r="B23" i="12"/>
  <c r="B52" i="13"/>
  <c r="C23" i="12"/>
  <c r="C52" i="13"/>
  <c r="D23" i="12"/>
  <c r="D52" i="13"/>
  <c r="E23" i="12"/>
  <c r="E52" i="13"/>
  <c r="F23" i="12"/>
  <c r="F52" i="13"/>
  <c r="G23" i="12"/>
  <c r="G52" i="13"/>
  <c r="H23" i="12"/>
  <c r="H52" i="13"/>
  <c r="I23" i="12"/>
  <c r="I52" i="13"/>
  <c r="J23" i="12"/>
  <c r="J52" i="13"/>
  <c r="L23" i="12"/>
  <c r="L52" i="13"/>
  <c r="M23" i="12"/>
  <c r="M52" i="13"/>
  <c r="N23" i="12"/>
  <c r="N52" i="13"/>
  <c r="O23" i="12"/>
  <c r="O52" i="13"/>
  <c r="P23" i="12"/>
  <c r="P52" i="13"/>
  <c r="Q23" i="12"/>
  <c r="Q52" i="13"/>
  <c r="R23" i="12"/>
  <c r="R52" i="13"/>
  <c r="S23" i="12"/>
  <c r="S52" i="13"/>
  <c r="B24" i="12"/>
  <c r="B53" i="13"/>
  <c r="C24" i="12"/>
  <c r="C53" i="13"/>
  <c r="D24" i="12"/>
  <c r="D53" i="13"/>
  <c r="E24" i="12"/>
  <c r="E53" i="13"/>
  <c r="F24" i="12"/>
  <c r="F53" i="13"/>
  <c r="G24" i="12"/>
  <c r="G53" i="13"/>
  <c r="H24" i="12"/>
  <c r="H53" i="13"/>
  <c r="I24" i="12"/>
  <c r="I53" i="13"/>
  <c r="J24" i="12"/>
  <c r="J53" i="13"/>
  <c r="L24" i="12"/>
  <c r="L53" i="13"/>
  <c r="M24" i="12"/>
  <c r="M53" i="13"/>
  <c r="N24" i="12"/>
  <c r="N53" i="13"/>
  <c r="O24" i="12"/>
  <c r="O53" i="13"/>
  <c r="P24" i="12"/>
  <c r="P53" i="13"/>
  <c r="Q24" i="12"/>
  <c r="Q53" i="13"/>
  <c r="R24" i="12"/>
  <c r="R53" i="13"/>
  <c r="S24" i="12"/>
  <c r="S53" i="13"/>
  <c r="B25" i="12"/>
  <c r="B54" i="13"/>
  <c r="C25" i="12"/>
  <c r="C54" i="13"/>
  <c r="D25" i="12"/>
  <c r="D54" i="13"/>
  <c r="E25" i="12"/>
  <c r="E54" i="13"/>
  <c r="F25" i="12"/>
  <c r="F54" i="13"/>
  <c r="G25" i="12"/>
  <c r="G54" i="13"/>
  <c r="H25" i="12"/>
  <c r="H54" i="13"/>
  <c r="I25" i="12"/>
  <c r="I54" i="13"/>
  <c r="J25" i="12"/>
  <c r="J54" i="13"/>
  <c r="L25" i="12"/>
  <c r="L54" i="13"/>
  <c r="M25" i="12"/>
  <c r="M54" i="13"/>
  <c r="N25" i="12"/>
  <c r="N54" i="13"/>
  <c r="O25" i="12"/>
  <c r="O54" i="13"/>
  <c r="P25" i="12"/>
  <c r="P54" i="13"/>
  <c r="Q25" i="12"/>
  <c r="Q54" i="13"/>
  <c r="R25" i="12"/>
  <c r="R54" i="13"/>
  <c r="S25" i="12"/>
  <c r="S54" i="13"/>
  <c r="B26" i="12"/>
  <c r="B55" i="13"/>
  <c r="C26" i="12"/>
  <c r="C55" i="13"/>
  <c r="D26" i="12"/>
  <c r="D55" i="13"/>
  <c r="E26" i="12"/>
  <c r="E55" i="13"/>
  <c r="F26" i="12"/>
  <c r="F55" i="13"/>
  <c r="G26" i="12"/>
  <c r="G55" i="13"/>
  <c r="H26" i="12"/>
  <c r="H55" i="13"/>
  <c r="I26" i="12"/>
  <c r="I55" i="13"/>
  <c r="J26" i="12"/>
  <c r="J55" i="13"/>
  <c r="L26" i="12"/>
  <c r="L55" i="13"/>
  <c r="M26" i="12"/>
  <c r="M55" i="13"/>
  <c r="N26" i="12"/>
  <c r="N55" i="13"/>
  <c r="O26" i="12"/>
  <c r="O55" i="13"/>
  <c r="P26" i="12"/>
  <c r="P55" i="13"/>
  <c r="Q26" i="12"/>
  <c r="Q55" i="13"/>
  <c r="R26" i="12"/>
  <c r="R55" i="13"/>
  <c r="S26" i="12"/>
  <c r="S55" i="13"/>
  <c r="B27" i="12"/>
  <c r="B56" i="13"/>
  <c r="C27" i="12"/>
  <c r="C56" i="13"/>
  <c r="D27" i="12"/>
  <c r="D56" i="13"/>
  <c r="E27" i="12"/>
  <c r="E56" i="13"/>
  <c r="F27" i="12"/>
  <c r="F56" i="13"/>
  <c r="G27" i="12"/>
  <c r="G56" i="13"/>
  <c r="H27" i="12"/>
  <c r="H56" i="13"/>
  <c r="I27" i="12"/>
  <c r="I56" i="13"/>
  <c r="J27" i="12"/>
  <c r="J56" i="13"/>
  <c r="L27" i="12"/>
  <c r="L56" i="13"/>
  <c r="M27" i="12"/>
  <c r="M56" i="13"/>
  <c r="N27" i="12"/>
  <c r="N56" i="13"/>
  <c r="O27" i="12"/>
  <c r="O56" i="13"/>
  <c r="P27" i="12"/>
  <c r="P56" i="13"/>
  <c r="Q27" i="12"/>
  <c r="Q56" i="13"/>
  <c r="R27" i="12"/>
  <c r="R56" i="13"/>
  <c r="S27" i="12"/>
  <c r="S56" i="13"/>
  <c r="B28" i="12"/>
  <c r="B57" i="13"/>
  <c r="C28" i="12"/>
  <c r="C57" i="13"/>
  <c r="D28" i="12"/>
  <c r="D57" i="13"/>
  <c r="E28" i="12"/>
  <c r="E57" i="13"/>
  <c r="F28" i="12"/>
  <c r="F57" i="13"/>
  <c r="G28" i="12"/>
  <c r="G57" i="13"/>
  <c r="H28" i="12"/>
  <c r="H57" i="13"/>
  <c r="I28" i="12"/>
  <c r="I57" i="13"/>
  <c r="J28" i="12"/>
  <c r="J57" i="13"/>
  <c r="L28" i="12"/>
  <c r="L57" i="13"/>
  <c r="M28" i="12"/>
  <c r="M57" i="13"/>
  <c r="N28" i="12"/>
  <c r="N57" i="13"/>
  <c r="O28" i="12"/>
  <c r="O57" i="13"/>
  <c r="P28" i="12"/>
  <c r="P57" i="13"/>
  <c r="Q28" i="12"/>
  <c r="Q57" i="13"/>
  <c r="R28" i="12"/>
  <c r="R57" i="13"/>
  <c r="S28" i="12"/>
  <c r="S57" i="13"/>
  <c r="B29" i="12"/>
  <c r="B58" i="13"/>
  <c r="C29" i="12"/>
  <c r="C58" i="13"/>
  <c r="D29" i="12"/>
  <c r="D58" i="13"/>
  <c r="E29" i="12"/>
  <c r="E58" i="13"/>
  <c r="F29" i="12"/>
  <c r="F58" i="13"/>
  <c r="G29" i="12"/>
  <c r="G58" i="13"/>
  <c r="H29" i="12"/>
  <c r="H58" i="13"/>
  <c r="I29" i="12"/>
  <c r="I58" i="13"/>
  <c r="J29" i="12"/>
  <c r="J58" i="13"/>
  <c r="L29" i="12"/>
  <c r="L58" i="13"/>
  <c r="M29" i="12"/>
  <c r="M58" i="13"/>
  <c r="N29" i="12"/>
  <c r="N58" i="13"/>
  <c r="O29" i="12"/>
  <c r="O58" i="13"/>
  <c r="P29" i="12"/>
  <c r="P58" i="13"/>
  <c r="Q29" i="12"/>
  <c r="Q58" i="13"/>
  <c r="R29" i="12"/>
  <c r="R58" i="13"/>
  <c r="S29" i="12"/>
  <c r="S58" i="13"/>
  <c r="B30" i="12"/>
  <c r="B59" i="13"/>
  <c r="C30" i="12"/>
  <c r="C59" i="13"/>
  <c r="D30" i="12"/>
  <c r="D59" i="13"/>
  <c r="E30" i="12"/>
  <c r="E59" i="13"/>
  <c r="F30" i="12"/>
  <c r="F59" i="13"/>
  <c r="G30" i="12"/>
  <c r="G59" i="13"/>
  <c r="H30" i="12"/>
  <c r="H59" i="13"/>
  <c r="I30" i="12"/>
  <c r="I59" i="13"/>
  <c r="J30" i="12"/>
  <c r="J59" i="13"/>
  <c r="L30" i="12"/>
  <c r="L59" i="13"/>
  <c r="M30" i="12"/>
  <c r="M59" i="13"/>
  <c r="N30" i="12"/>
  <c r="N59" i="13"/>
  <c r="O30" i="12"/>
  <c r="O59" i="13"/>
  <c r="P30" i="12"/>
  <c r="P59" i="13"/>
  <c r="Q30" i="12"/>
  <c r="Q59" i="13"/>
  <c r="R30" i="12"/>
  <c r="R59" i="13"/>
  <c r="S30" i="12"/>
  <c r="S59" i="13"/>
  <c r="B31" i="12"/>
  <c r="B60" i="13"/>
  <c r="C31" i="12"/>
  <c r="C60" i="13"/>
  <c r="D31" i="12"/>
  <c r="D60" i="13"/>
  <c r="E31" i="12"/>
  <c r="E60" i="13"/>
  <c r="F31" i="12"/>
  <c r="F60" i="13"/>
  <c r="G31" i="12"/>
  <c r="G60" i="13"/>
  <c r="H31" i="12"/>
  <c r="H60" i="13"/>
  <c r="I31" i="12"/>
  <c r="I60" i="13"/>
  <c r="J31" i="12"/>
  <c r="J60" i="13"/>
  <c r="L31" i="12"/>
  <c r="L60" i="13"/>
  <c r="M31" i="12"/>
  <c r="M60" i="13"/>
  <c r="N31" i="12"/>
  <c r="N60" i="13"/>
  <c r="O31" i="12"/>
  <c r="O60" i="13"/>
  <c r="P31" i="12"/>
  <c r="P60" i="13"/>
  <c r="Q31" i="12"/>
  <c r="Q60" i="13"/>
  <c r="R31" i="12"/>
  <c r="R60" i="13"/>
  <c r="S31" i="12"/>
  <c r="S60" i="13"/>
  <c r="B32" i="12"/>
  <c r="B61" i="13"/>
  <c r="C32" i="12"/>
  <c r="C61" i="13"/>
  <c r="D32" i="12"/>
  <c r="D61" i="13"/>
  <c r="E32" i="12"/>
  <c r="E61" i="13"/>
  <c r="F32" i="12"/>
  <c r="F61" i="13"/>
  <c r="G32" i="12"/>
  <c r="G61" i="13"/>
  <c r="H32" i="12"/>
  <c r="H61" i="13"/>
  <c r="I32" i="12"/>
  <c r="I61" i="13"/>
  <c r="J32" i="12"/>
  <c r="J61" i="13"/>
  <c r="L32" i="12"/>
  <c r="L61" i="13"/>
  <c r="M32" i="12"/>
  <c r="M61" i="13"/>
  <c r="N32" i="12"/>
  <c r="N61" i="13"/>
  <c r="O32" i="12"/>
  <c r="O61" i="13"/>
  <c r="P32" i="12"/>
  <c r="P61" i="13"/>
  <c r="Q32" i="12"/>
  <c r="Q61" i="13"/>
  <c r="R32" i="12"/>
  <c r="R61" i="13"/>
  <c r="S32" i="12"/>
  <c r="S61" i="13"/>
  <c r="B33" i="12"/>
  <c r="B62" i="13"/>
  <c r="C33" i="12"/>
  <c r="C62" i="13"/>
  <c r="D33" i="12"/>
  <c r="D62" i="13"/>
  <c r="E33" i="12"/>
  <c r="E62" i="13"/>
  <c r="F33" i="12"/>
  <c r="F62" i="13"/>
  <c r="G33" i="12"/>
  <c r="G62" i="13"/>
  <c r="H33" i="12"/>
  <c r="H62" i="13"/>
  <c r="I33" i="12"/>
  <c r="I62" i="13"/>
  <c r="J33" i="12"/>
  <c r="J62" i="13"/>
  <c r="L33" i="12"/>
  <c r="L62" i="13"/>
  <c r="M33" i="12"/>
  <c r="M62" i="13"/>
  <c r="N33" i="12"/>
  <c r="N62" i="13"/>
  <c r="O33" i="12"/>
  <c r="O62" i="13"/>
  <c r="P33" i="12"/>
  <c r="P62" i="13"/>
  <c r="Q33" i="12"/>
  <c r="Q62" i="13"/>
  <c r="R33" i="12"/>
  <c r="R62" i="13"/>
  <c r="S33" i="12"/>
  <c r="S62" i="13"/>
  <c r="B37" i="12"/>
  <c r="B66" i="13"/>
  <c r="C37" i="12"/>
  <c r="C66" i="13"/>
  <c r="D37" i="12"/>
  <c r="D66" i="13"/>
  <c r="E37" i="12"/>
  <c r="E66" i="13"/>
  <c r="F37" i="12"/>
  <c r="F66" i="13"/>
  <c r="G37" i="12"/>
  <c r="G66" i="13"/>
  <c r="H37" i="12"/>
  <c r="H66" i="13"/>
  <c r="I37" i="12"/>
  <c r="I66" i="13"/>
  <c r="J37" i="12"/>
  <c r="J66" i="13"/>
  <c r="L37" i="12"/>
  <c r="L66" i="13"/>
  <c r="M37" i="12"/>
  <c r="M66" i="13"/>
  <c r="N37" i="12"/>
  <c r="N66" i="13"/>
  <c r="O37" i="12"/>
  <c r="O66" i="13"/>
  <c r="P37" i="12"/>
  <c r="P66" i="13"/>
  <c r="Q37" i="12"/>
  <c r="Q66" i="13"/>
  <c r="R37" i="12"/>
  <c r="R66" i="13"/>
  <c r="S37" i="12"/>
  <c r="S66" i="13"/>
  <c r="B38" i="12"/>
  <c r="B67" i="13"/>
  <c r="C38" i="12"/>
  <c r="C67" i="13"/>
  <c r="D38" i="12"/>
  <c r="D67" i="13"/>
  <c r="E38" i="12"/>
  <c r="E67" i="13"/>
  <c r="F38" i="12"/>
  <c r="F67" i="13"/>
  <c r="G38" i="12"/>
  <c r="G67" i="13"/>
  <c r="H38" i="12"/>
  <c r="H67" i="13"/>
  <c r="I38" i="12"/>
  <c r="I67" i="13"/>
  <c r="J38" i="12"/>
  <c r="J67" i="13"/>
  <c r="L38" i="12"/>
  <c r="L67" i="13"/>
  <c r="M38" i="12"/>
  <c r="M67" i="13"/>
  <c r="N38" i="12"/>
  <c r="N67" i="13"/>
  <c r="O38" i="12"/>
  <c r="O67" i="13"/>
  <c r="P38" i="12"/>
  <c r="P67" i="13"/>
  <c r="Q38" i="12"/>
  <c r="Q67" i="13"/>
  <c r="R38" i="12"/>
  <c r="R67" i="13"/>
  <c r="S38" i="12"/>
  <c r="S67" i="13"/>
  <c r="B39" i="12"/>
  <c r="B68" i="13"/>
  <c r="C39" i="12"/>
  <c r="C68" i="13"/>
  <c r="D39" i="12"/>
  <c r="D68" i="13"/>
  <c r="E39" i="12"/>
  <c r="E68" i="13"/>
  <c r="F39" i="12"/>
  <c r="F68" i="13"/>
  <c r="G39" i="12"/>
  <c r="G68" i="13"/>
  <c r="H39" i="12"/>
  <c r="H68" i="13"/>
  <c r="I39" i="12"/>
  <c r="I68" i="13"/>
  <c r="J39" i="12"/>
  <c r="J68" i="13"/>
  <c r="L39" i="12"/>
  <c r="L68" i="13"/>
  <c r="M39" i="12"/>
  <c r="M68" i="13"/>
  <c r="N39" i="12"/>
  <c r="N68" i="13"/>
  <c r="O39" i="12"/>
  <c r="O68" i="13"/>
  <c r="P39" i="12"/>
  <c r="P68" i="13"/>
  <c r="Q39" i="12"/>
  <c r="Q68" i="13"/>
  <c r="R39" i="12"/>
  <c r="R68" i="13"/>
  <c r="S39" i="12"/>
  <c r="S68" i="13"/>
  <c r="B40" i="12"/>
  <c r="B69" i="13"/>
  <c r="C40" i="12"/>
  <c r="C69" i="13"/>
  <c r="D40" i="12"/>
  <c r="D69" i="13"/>
  <c r="E40" i="12"/>
  <c r="E69" i="13"/>
  <c r="F40" i="12"/>
  <c r="F69" i="13"/>
  <c r="G40" i="12"/>
  <c r="G69" i="13"/>
  <c r="H40" i="12"/>
  <c r="H69" i="13"/>
  <c r="I40" i="12"/>
  <c r="I69" i="13"/>
  <c r="J40" i="12"/>
  <c r="J69" i="13"/>
  <c r="L40" i="12"/>
  <c r="L69" i="13"/>
  <c r="M40" i="12"/>
  <c r="M69" i="13"/>
  <c r="N40" i="12"/>
  <c r="N69" i="13"/>
  <c r="O40" i="12"/>
  <c r="O69" i="13"/>
  <c r="P40" i="12"/>
  <c r="P69" i="13"/>
  <c r="Q40" i="12"/>
  <c r="Q69" i="13"/>
  <c r="R40" i="12"/>
  <c r="R69" i="13"/>
  <c r="S40" i="12"/>
  <c r="S69" i="13"/>
  <c r="B41" i="12"/>
  <c r="B70" i="13"/>
  <c r="C41" i="12"/>
  <c r="C70" i="13"/>
  <c r="D41" i="12"/>
  <c r="D70" i="13"/>
  <c r="E41" i="12"/>
  <c r="E70" i="13"/>
  <c r="F41" i="12"/>
  <c r="F70" i="13"/>
  <c r="G41" i="12"/>
  <c r="G70" i="13"/>
  <c r="H41" i="12"/>
  <c r="H70" i="13"/>
  <c r="I41" i="12"/>
  <c r="I70" i="13"/>
  <c r="J41" i="12"/>
  <c r="J70" i="13"/>
  <c r="L41" i="12"/>
  <c r="L70" i="13"/>
  <c r="M41" i="12"/>
  <c r="M70" i="13"/>
  <c r="N41" i="12"/>
  <c r="N70" i="13"/>
  <c r="O41" i="12"/>
  <c r="O70" i="13"/>
  <c r="P41" i="12"/>
  <c r="P70" i="13"/>
  <c r="Q41" i="12"/>
  <c r="Q70" i="13"/>
  <c r="R41" i="12"/>
  <c r="R70" i="13"/>
  <c r="S41" i="12"/>
  <c r="S70" i="13"/>
  <c r="C75" i="12"/>
  <c r="C93" i="13"/>
  <c r="D75" i="12"/>
  <c r="D93" i="13"/>
  <c r="E75" i="12"/>
  <c r="E93" i="13"/>
  <c r="F75" i="12"/>
  <c r="F93" i="13"/>
  <c r="G75" i="12"/>
  <c r="G93" i="13"/>
  <c r="H75" i="12"/>
  <c r="H93" i="13"/>
  <c r="I75" i="12"/>
  <c r="I93" i="13"/>
  <c r="J75" i="12"/>
  <c r="J93" i="13"/>
  <c r="L75" i="12"/>
  <c r="L93" i="13"/>
  <c r="M75" i="12"/>
  <c r="M93" i="13"/>
  <c r="N75" i="12"/>
  <c r="N93" i="13"/>
  <c r="O75" i="12"/>
  <c r="O93" i="13"/>
  <c r="P75" i="12"/>
  <c r="P93" i="13"/>
  <c r="Q75" i="12"/>
  <c r="Q93" i="13"/>
  <c r="R75" i="12"/>
  <c r="R93" i="13"/>
  <c r="S75" i="12"/>
  <c r="S93" i="13"/>
  <c r="C76" i="12"/>
  <c r="C94" i="13"/>
  <c r="D76" i="12"/>
  <c r="D94" i="13"/>
  <c r="E76" i="12"/>
  <c r="E94" i="13"/>
  <c r="F76" i="12"/>
  <c r="F94" i="13"/>
  <c r="G76" i="12"/>
  <c r="G94" i="13"/>
  <c r="H76" i="12"/>
  <c r="H94" i="13"/>
  <c r="I76" i="12"/>
  <c r="I94" i="13"/>
  <c r="J76" i="12"/>
  <c r="J94" i="13"/>
  <c r="L76" i="12"/>
  <c r="L94" i="13"/>
  <c r="M76" i="12"/>
  <c r="M94" i="13"/>
  <c r="N76" i="12"/>
  <c r="N94" i="13"/>
  <c r="O76" i="12"/>
  <c r="O94" i="13"/>
  <c r="P76" i="12"/>
  <c r="P94" i="13"/>
  <c r="Q76" i="12"/>
  <c r="Q94" i="13"/>
  <c r="R76" i="12"/>
  <c r="R94" i="13"/>
  <c r="S76" i="12"/>
  <c r="S94" i="13"/>
  <c r="C77" i="12"/>
  <c r="C95" i="13"/>
  <c r="D77" i="12"/>
  <c r="D95" i="13"/>
  <c r="E77" i="12"/>
  <c r="E95" i="13"/>
  <c r="F77" i="12"/>
  <c r="F95" i="13"/>
  <c r="G77" i="12"/>
  <c r="G95" i="13"/>
  <c r="H77" i="12"/>
  <c r="H95" i="13"/>
  <c r="I77" i="12"/>
  <c r="I95" i="13"/>
  <c r="J77" i="12"/>
  <c r="J95" i="13"/>
  <c r="L77" i="12"/>
  <c r="L95" i="13"/>
  <c r="M77" i="12"/>
  <c r="M95" i="13"/>
  <c r="N77" i="12"/>
  <c r="N95" i="13"/>
  <c r="O77" i="12"/>
  <c r="O95" i="13"/>
  <c r="P77" i="12"/>
  <c r="P95" i="13"/>
  <c r="Q77" i="12"/>
  <c r="Q95" i="13"/>
  <c r="R77" i="12"/>
  <c r="R95" i="13"/>
  <c r="S77" i="12"/>
  <c r="S95" i="13"/>
  <c r="C78" i="12"/>
  <c r="C96" i="13"/>
  <c r="D78" i="12"/>
  <c r="D96" i="13"/>
  <c r="E78" i="12"/>
  <c r="E96" i="13"/>
  <c r="F78" i="12"/>
  <c r="F96" i="13"/>
  <c r="G78" i="12"/>
  <c r="G96" i="13"/>
  <c r="H78" i="12"/>
  <c r="H96" i="13"/>
  <c r="I78" i="12"/>
  <c r="I96" i="13"/>
  <c r="J78" i="12"/>
  <c r="J96" i="13"/>
  <c r="L78" i="12"/>
  <c r="L96" i="13"/>
  <c r="M78" i="12"/>
  <c r="M96" i="13"/>
  <c r="N78" i="12"/>
  <c r="N96" i="13"/>
  <c r="O78" i="12"/>
  <c r="O96" i="13"/>
  <c r="P78" i="12"/>
  <c r="P96" i="13"/>
  <c r="Q78" i="12"/>
  <c r="Q96" i="13"/>
  <c r="R78" i="12"/>
  <c r="R96" i="13"/>
  <c r="S78" i="12"/>
  <c r="S96" i="13"/>
  <c r="C79" i="12"/>
  <c r="C97" i="13"/>
  <c r="D79" i="12"/>
  <c r="D97" i="13"/>
  <c r="E79" i="12"/>
  <c r="E97" i="13"/>
  <c r="F79" i="12"/>
  <c r="F97" i="13"/>
  <c r="G79" i="12"/>
  <c r="G97" i="13"/>
  <c r="H79" i="12"/>
  <c r="H97" i="13"/>
  <c r="I79" i="12"/>
  <c r="I97" i="13"/>
  <c r="J79" i="12"/>
  <c r="J97" i="13"/>
  <c r="L79" i="12"/>
  <c r="L97" i="13"/>
  <c r="M79" i="12"/>
  <c r="M97" i="13"/>
  <c r="N79" i="12"/>
  <c r="N97" i="13"/>
  <c r="O79" i="12"/>
  <c r="O97" i="13"/>
  <c r="P79" i="12"/>
  <c r="P97" i="13"/>
  <c r="Q79" i="12"/>
  <c r="Q97" i="13"/>
  <c r="R79" i="12"/>
  <c r="R97" i="13"/>
  <c r="S79" i="12"/>
  <c r="S97" i="13"/>
  <c r="C104" i="12"/>
  <c r="C116" i="13"/>
  <c r="D104" i="12"/>
  <c r="D116" i="13"/>
  <c r="E104" i="12"/>
  <c r="E116" i="13"/>
  <c r="F104" i="12"/>
  <c r="F116" i="13"/>
  <c r="G104" i="12"/>
  <c r="G116" i="13"/>
  <c r="H104" i="12"/>
  <c r="H116" i="13"/>
  <c r="I104" i="12"/>
  <c r="I116" i="13"/>
  <c r="J104" i="12"/>
  <c r="J116" i="13"/>
  <c r="L104" i="12"/>
  <c r="L116" i="13"/>
  <c r="M104" i="12"/>
  <c r="M116" i="13"/>
  <c r="N104" i="12"/>
  <c r="N116" i="13"/>
  <c r="O104" i="12"/>
  <c r="O116" i="13"/>
  <c r="P104" i="12"/>
  <c r="P116" i="13"/>
  <c r="Q104" i="12"/>
  <c r="Q116" i="13"/>
  <c r="R104" i="12"/>
  <c r="R116" i="13"/>
  <c r="S104" i="12"/>
  <c r="S116" i="13"/>
  <c r="C124" i="12"/>
  <c r="C130" i="13"/>
  <c r="D124" i="12"/>
  <c r="D130" i="13"/>
  <c r="E124" i="12"/>
  <c r="E130" i="13"/>
  <c r="F124" i="12"/>
  <c r="F130" i="13"/>
  <c r="G124" i="12"/>
  <c r="G130" i="13"/>
  <c r="H124" i="12"/>
  <c r="H130" i="13"/>
  <c r="I124" i="12"/>
  <c r="I130" i="13"/>
  <c r="J124" i="12"/>
  <c r="J130" i="13"/>
  <c r="L124" i="12"/>
  <c r="L130" i="13"/>
  <c r="M124" i="12"/>
  <c r="M130" i="13"/>
  <c r="N124" i="12"/>
  <c r="N130" i="13"/>
  <c r="O124" i="12"/>
  <c r="O130" i="13"/>
  <c r="P124" i="12"/>
  <c r="P130" i="13"/>
  <c r="Q124" i="12"/>
  <c r="Q130" i="13"/>
  <c r="R124" i="12"/>
  <c r="R130" i="13"/>
  <c r="S124" i="12"/>
  <c r="S130" i="13"/>
  <c r="B44" i="14"/>
  <c r="C44" i="14"/>
  <c r="D44" i="14"/>
  <c r="E44" i="14"/>
  <c r="B53" i="14"/>
  <c r="B63" i="14"/>
  <c r="C53" i="14"/>
  <c r="C63" i="14"/>
  <c r="D53" i="14"/>
  <c r="D63" i="14"/>
  <c r="E53" i="14"/>
  <c r="E63" i="14"/>
  <c r="C61" i="12"/>
  <c r="C79" i="13"/>
  <c r="C15" i="16"/>
  <c r="D61" i="12"/>
  <c r="D79" i="13"/>
  <c r="D15" i="16"/>
  <c r="E61" i="12"/>
  <c r="E79" i="13"/>
  <c r="E15" i="16"/>
  <c r="F61" i="12"/>
  <c r="F79" i="13"/>
  <c r="F15" i="16"/>
  <c r="G61" i="12"/>
  <c r="G79" i="13"/>
  <c r="G15" i="16"/>
  <c r="H61" i="12"/>
  <c r="H79" i="13"/>
  <c r="H15" i="16"/>
  <c r="I61" i="12"/>
  <c r="I79" i="13"/>
  <c r="I15" i="16"/>
  <c r="J61" i="12"/>
  <c r="J79" i="13"/>
  <c r="J15" i="16"/>
  <c r="L61" i="12"/>
  <c r="L79" i="13"/>
  <c r="N15" i="16"/>
  <c r="M61" i="12"/>
  <c r="M79" i="13"/>
  <c r="O15" i="16"/>
  <c r="N61" i="12"/>
  <c r="N79" i="13"/>
  <c r="P15" i="16"/>
  <c r="O61" i="12"/>
  <c r="O79" i="13"/>
  <c r="Q15" i="16"/>
  <c r="P61" i="12"/>
  <c r="P79" i="13"/>
  <c r="R15" i="16"/>
  <c r="Q61" i="12"/>
  <c r="Q79" i="13"/>
  <c r="S15" i="16"/>
  <c r="R61" i="12"/>
  <c r="R79" i="13"/>
  <c r="T15" i="16"/>
  <c r="S61" i="12"/>
  <c r="S79" i="13"/>
  <c r="U15" i="16"/>
  <c r="C62" i="12"/>
  <c r="C80" i="13"/>
  <c r="C16" i="16"/>
  <c r="D62" i="12"/>
  <c r="D80" i="13"/>
  <c r="D16" i="16"/>
  <c r="E62" i="12"/>
  <c r="E80" i="13"/>
  <c r="E16" i="16"/>
  <c r="F62" i="12"/>
  <c r="F80" i="13"/>
  <c r="F16" i="16"/>
  <c r="G62" i="12"/>
  <c r="G80" i="13"/>
  <c r="G16" i="16"/>
  <c r="H62" i="12"/>
  <c r="H80" i="13"/>
  <c r="H16" i="16"/>
  <c r="I62" i="12"/>
  <c r="I80" i="13"/>
  <c r="I16" i="16"/>
  <c r="J62" i="12"/>
  <c r="J80" i="13"/>
  <c r="J16" i="16"/>
  <c r="L62" i="12"/>
  <c r="L80" i="13"/>
  <c r="N16" i="16"/>
  <c r="M62" i="12"/>
  <c r="M80" i="13"/>
  <c r="O16" i="16"/>
  <c r="N62" i="12"/>
  <c r="N80" i="13"/>
  <c r="P16" i="16"/>
  <c r="O62" i="12"/>
  <c r="O80" i="13"/>
  <c r="Q16" i="16"/>
  <c r="P62" i="12"/>
  <c r="P80" i="13"/>
  <c r="R16" i="16"/>
  <c r="Q62" i="12"/>
  <c r="Q80" i="13"/>
  <c r="S16" i="16"/>
  <c r="R62" i="12"/>
  <c r="R80" i="13"/>
  <c r="T16" i="16"/>
  <c r="S62" i="12"/>
  <c r="S80" i="13"/>
  <c r="U16" i="16"/>
  <c r="C63" i="12"/>
  <c r="C81" i="13"/>
  <c r="C17" i="16"/>
  <c r="D63" i="12"/>
  <c r="D81" i="13"/>
  <c r="D17" i="16"/>
  <c r="E63" i="12"/>
  <c r="E81" i="13"/>
  <c r="E17" i="16"/>
  <c r="F63" i="12"/>
  <c r="F81" i="13"/>
  <c r="F17" i="16"/>
  <c r="G63" i="12"/>
  <c r="G81" i="13"/>
  <c r="G17" i="16"/>
  <c r="H63" i="12"/>
  <c r="H81" i="13"/>
  <c r="H17" i="16"/>
  <c r="I63" i="12"/>
  <c r="I81" i="13"/>
  <c r="I17" i="16"/>
  <c r="J63" i="12"/>
  <c r="J81" i="13"/>
  <c r="J17" i="16"/>
  <c r="L63" i="12"/>
  <c r="L81" i="13"/>
  <c r="N17" i="16"/>
  <c r="M63" i="12"/>
  <c r="M81" i="13"/>
  <c r="O17" i="16"/>
  <c r="N63" i="12"/>
  <c r="N81" i="13"/>
  <c r="P17" i="16"/>
  <c r="O63" i="12"/>
  <c r="O81" i="13"/>
  <c r="Q17" i="16"/>
  <c r="P63" i="12"/>
  <c r="P81" i="13"/>
  <c r="R17" i="16"/>
  <c r="Q63" i="12"/>
  <c r="Q81" i="13"/>
  <c r="S17" i="16"/>
  <c r="R63" i="12"/>
  <c r="R81" i="13"/>
  <c r="T17" i="16"/>
  <c r="S63" i="12"/>
  <c r="S81" i="13"/>
  <c r="U17" i="16"/>
  <c r="C64" i="12"/>
  <c r="C82" i="13"/>
  <c r="C18" i="16"/>
  <c r="D64" i="12"/>
  <c r="D82" i="13"/>
  <c r="D18" i="16"/>
  <c r="E64" i="12"/>
  <c r="E82" i="13"/>
  <c r="E18" i="16"/>
  <c r="F64" i="12"/>
  <c r="F82" i="13"/>
  <c r="F18" i="16"/>
  <c r="G64" i="12"/>
  <c r="G82" i="13"/>
  <c r="G18" i="16"/>
  <c r="H64" i="12"/>
  <c r="H82" i="13"/>
  <c r="H18" i="16"/>
  <c r="I64" i="12"/>
  <c r="I82" i="13"/>
  <c r="I18" i="16"/>
  <c r="J64" i="12"/>
  <c r="J82" i="13"/>
  <c r="J18" i="16"/>
  <c r="L64" i="12"/>
  <c r="L82" i="13"/>
  <c r="N18" i="16"/>
  <c r="M64" i="12"/>
  <c r="M82" i="13"/>
  <c r="O18" i="16"/>
  <c r="N64" i="12"/>
  <c r="N82" i="13"/>
  <c r="P18" i="16"/>
  <c r="O64" i="12"/>
  <c r="O82" i="13"/>
  <c r="Q18" i="16"/>
  <c r="P64" i="12"/>
  <c r="P82" i="13"/>
  <c r="R18" i="16"/>
  <c r="Q64" i="12"/>
  <c r="Q82" i="13"/>
  <c r="S18" i="16"/>
  <c r="R64" i="12"/>
  <c r="R82" i="13"/>
  <c r="T18" i="16"/>
  <c r="S64" i="12"/>
  <c r="S82" i="13"/>
  <c r="U18" i="16"/>
  <c r="C65" i="12"/>
  <c r="C83" i="13"/>
  <c r="C19" i="16"/>
  <c r="D65" i="12"/>
  <c r="D83" i="13"/>
  <c r="D19" i="16"/>
  <c r="E65" i="12"/>
  <c r="E83" i="13"/>
  <c r="E19" i="16"/>
  <c r="F65" i="12"/>
  <c r="F83" i="13"/>
  <c r="F19" i="16"/>
  <c r="G65" i="12"/>
  <c r="G83" i="13"/>
  <c r="G19" i="16"/>
  <c r="H65" i="12"/>
  <c r="H83" i="13"/>
  <c r="H19" i="16"/>
  <c r="I65" i="12"/>
  <c r="I83" i="13"/>
  <c r="I19" i="16"/>
  <c r="J65" i="12"/>
  <c r="J83" i="13"/>
  <c r="J19" i="16"/>
  <c r="L65" i="12"/>
  <c r="L83" i="13"/>
  <c r="N19" i="16"/>
  <c r="M65" i="12"/>
  <c r="M83" i="13"/>
  <c r="O19" i="16"/>
  <c r="N65" i="12"/>
  <c r="N83" i="13"/>
  <c r="P19" i="16"/>
  <c r="O65" i="12"/>
  <c r="O83" i="13"/>
  <c r="Q19" i="16"/>
  <c r="P65" i="12"/>
  <c r="P83" i="13"/>
  <c r="R19" i="16"/>
  <c r="Q65" i="12"/>
  <c r="Q83" i="13"/>
  <c r="S19" i="16"/>
  <c r="R65" i="12"/>
  <c r="R83" i="13"/>
  <c r="T19" i="16"/>
  <c r="S65" i="12"/>
  <c r="S83" i="13"/>
  <c r="U19" i="16"/>
  <c r="C66" i="12"/>
  <c r="C84" i="13"/>
  <c r="C20" i="16"/>
  <c r="D66" i="12"/>
  <c r="D84" i="13"/>
  <c r="D20" i="16"/>
  <c r="E66" i="12"/>
  <c r="E84" i="13"/>
  <c r="E20" i="16"/>
  <c r="F66" i="12"/>
  <c r="F84" i="13"/>
  <c r="F20" i="16"/>
  <c r="G66" i="12"/>
  <c r="G84" i="13"/>
  <c r="G20" i="16"/>
  <c r="H66" i="12"/>
  <c r="H84" i="13"/>
  <c r="H20" i="16"/>
  <c r="I66" i="12"/>
  <c r="I84" i="13"/>
  <c r="I20" i="16"/>
  <c r="J66" i="12"/>
  <c r="J84" i="13"/>
  <c r="J20" i="16"/>
  <c r="L66" i="12"/>
  <c r="L84" i="13"/>
  <c r="N20" i="16"/>
  <c r="M66" i="12"/>
  <c r="M84" i="13"/>
  <c r="O20" i="16"/>
  <c r="N66" i="12"/>
  <c r="N84" i="13"/>
  <c r="P20" i="16"/>
  <c r="O66" i="12"/>
  <c r="O84" i="13"/>
  <c r="Q20" i="16"/>
  <c r="P66" i="12"/>
  <c r="P84" i="13"/>
  <c r="R20" i="16"/>
  <c r="Q66" i="12"/>
  <c r="Q84" i="13"/>
  <c r="S20" i="16"/>
  <c r="R66" i="12"/>
  <c r="R84" i="13"/>
  <c r="T20" i="16"/>
  <c r="S66" i="12"/>
  <c r="S84" i="13"/>
  <c r="U20" i="16"/>
  <c r="C67" i="12"/>
  <c r="C85" i="13"/>
  <c r="C21" i="16"/>
  <c r="D67" i="12"/>
  <c r="D85" i="13"/>
  <c r="D21" i="16"/>
  <c r="E67" i="12"/>
  <c r="E85" i="13"/>
  <c r="E21" i="16"/>
  <c r="F67" i="12"/>
  <c r="F85" i="13"/>
  <c r="F21" i="16"/>
  <c r="G67" i="12"/>
  <c r="G85" i="13"/>
  <c r="G21" i="16"/>
  <c r="H67" i="12"/>
  <c r="H85" i="13"/>
  <c r="H21" i="16"/>
  <c r="I67" i="12"/>
  <c r="I85" i="13"/>
  <c r="I21" i="16"/>
  <c r="J67" i="12"/>
  <c r="J85" i="13"/>
  <c r="J21" i="16"/>
  <c r="L67" i="12"/>
  <c r="L85" i="13"/>
  <c r="N21" i="16"/>
  <c r="M67" i="12"/>
  <c r="M85" i="13"/>
  <c r="O21" i="16"/>
  <c r="N67" i="12"/>
  <c r="N85" i="13"/>
  <c r="P21" i="16"/>
  <c r="O67" i="12"/>
  <c r="O85" i="13"/>
  <c r="Q21" i="16"/>
  <c r="P67" i="12"/>
  <c r="P85" i="13"/>
  <c r="R21" i="16"/>
  <c r="Q67" i="12"/>
  <c r="Q85" i="13"/>
  <c r="S21" i="16"/>
  <c r="R67" i="12"/>
  <c r="R85" i="13"/>
  <c r="T21" i="16"/>
  <c r="S67" i="12"/>
  <c r="S85" i="13"/>
  <c r="U21" i="16"/>
  <c r="C68" i="12"/>
  <c r="C86" i="13"/>
  <c r="C22" i="16"/>
  <c r="D68" i="12"/>
  <c r="D86" i="13"/>
  <c r="D22" i="16"/>
  <c r="E68" i="12"/>
  <c r="E86" i="13"/>
  <c r="E22" i="16"/>
  <c r="F68" i="12"/>
  <c r="F86" i="13"/>
  <c r="F22" i="16"/>
  <c r="G68" i="12"/>
  <c r="G86" i="13"/>
  <c r="G22" i="16"/>
  <c r="H68" i="12"/>
  <c r="H86" i="13"/>
  <c r="H22" i="16"/>
  <c r="I68" i="12"/>
  <c r="I86" i="13"/>
  <c r="I22" i="16"/>
  <c r="J68" i="12"/>
  <c r="J86" i="13"/>
  <c r="J22" i="16"/>
  <c r="L68" i="12"/>
  <c r="L86" i="13"/>
  <c r="N22" i="16"/>
  <c r="M68" i="12"/>
  <c r="M86" i="13"/>
  <c r="O22" i="16"/>
  <c r="N68" i="12"/>
  <c r="N86" i="13"/>
  <c r="P22" i="16"/>
  <c r="O68" i="12"/>
  <c r="O86" i="13"/>
  <c r="Q22" i="16"/>
  <c r="P68" i="12"/>
  <c r="P86" i="13"/>
  <c r="R22" i="16"/>
  <c r="Q68" i="12"/>
  <c r="Q86" i="13"/>
  <c r="S22" i="16"/>
  <c r="R68" i="12"/>
  <c r="R86" i="13"/>
  <c r="T22" i="16"/>
  <c r="S68" i="12"/>
  <c r="S86" i="13"/>
  <c r="U22" i="16"/>
  <c r="C69" i="12"/>
  <c r="C87" i="13"/>
  <c r="C23" i="16"/>
  <c r="D69" i="12"/>
  <c r="D87" i="13"/>
  <c r="D23" i="16"/>
  <c r="E69" i="12"/>
  <c r="E87" i="13"/>
  <c r="E23" i="16"/>
  <c r="F69" i="12"/>
  <c r="F87" i="13"/>
  <c r="F23" i="16"/>
  <c r="G69" i="12"/>
  <c r="G87" i="13"/>
  <c r="G23" i="16"/>
  <c r="H69" i="12"/>
  <c r="H87" i="13"/>
  <c r="H23" i="16"/>
  <c r="I69" i="12"/>
  <c r="I87" i="13"/>
  <c r="I23" i="16"/>
  <c r="J69" i="12"/>
  <c r="J87" i="13"/>
  <c r="J23" i="16"/>
  <c r="L69" i="12"/>
  <c r="L87" i="13"/>
  <c r="N23" i="16"/>
  <c r="M69" i="12"/>
  <c r="M87" i="13"/>
  <c r="O23" i="16"/>
  <c r="N69" i="12"/>
  <c r="N87" i="13"/>
  <c r="P23" i="16"/>
  <c r="O69" i="12"/>
  <c r="O87" i="13"/>
  <c r="Q23" i="16"/>
  <c r="P69" i="12"/>
  <c r="P87" i="13"/>
  <c r="R23" i="16"/>
  <c r="Q69" i="12"/>
  <c r="Q87" i="13"/>
  <c r="S23" i="16"/>
  <c r="R69" i="12"/>
  <c r="R87" i="13"/>
  <c r="T23" i="16"/>
  <c r="S69" i="12"/>
  <c r="S87" i="13"/>
  <c r="U23" i="16"/>
  <c r="C70" i="12"/>
  <c r="C88" i="13"/>
  <c r="C24" i="16"/>
  <c r="D70" i="12"/>
  <c r="D88" i="13"/>
  <c r="D24" i="16"/>
  <c r="E70" i="12"/>
  <c r="E88" i="13"/>
  <c r="E24" i="16"/>
  <c r="F70" i="12"/>
  <c r="F88" i="13"/>
  <c r="F24" i="16"/>
  <c r="G70" i="12"/>
  <c r="G88" i="13"/>
  <c r="G24" i="16"/>
  <c r="H70" i="12"/>
  <c r="H88" i="13"/>
  <c r="H24" i="16"/>
  <c r="I70" i="12"/>
  <c r="I88" i="13"/>
  <c r="I24" i="16"/>
  <c r="J70" i="12"/>
  <c r="J88" i="13"/>
  <c r="J24" i="16"/>
  <c r="L70" i="12"/>
  <c r="L88" i="13"/>
  <c r="N24" i="16"/>
  <c r="M70" i="12"/>
  <c r="M88" i="13"/>
  <c r="O24" i="16"/>
  <c r="N70" i="12"/>
  <c r="N88" i="13"/>
  <c r="P24" i="16"/>
  <c r="O70" i="12"/>
  <c r="O88" i="13"/>
  <c r="Q24" i="16"/>
  <c r="P70" i="12"/>
  <c r="P88" i="13"/>
  <c r="R24" i="16"/>
  <c r="Q70" i="12"/>
  <c r="Q88" i="13"/>
  <c r="S24" i="16"/>
  <c r="R70" i="12"/>
  <c r="R88" i="13"/>
  <c r="T24" i="16"/>
  <c r="S70" i="12"/>
  <c r="S88" i="13"/>
  <c r="U24" i="16"/>
  <c r="C71" i="12"/>
  <c r="C89" i="13"/>
  <c r="C25" i="16"/>
  <c r="D71" i="12"/>
  <c r="D89" i="13"/>
  <c r="D25" i="16"/>
  <c r="E71" i="12"/>
  <c r="E89" i="13"/>
  <c r="E25" i="16"/>
  <c r="F71" i="12"/>
  <c r="F89" i="13"/>
  <c r="F25" i="16"/>
  <c r="G71" i="12"/>
  <c r="G89" i="13"/>
  <c r="G25" i="16"/>
  <c r="H71" i="12"/>
  <c r="H89" i="13"/>
  <c r="H25" i="16"/>
  <c r="I71" i="12"/>
  <c r="I89" i="13"/>
  <c r="I25" i="16"/>
  <c r="J71" i="12"/>
  <c r="J89" i="13"/>
  <c r="J25" i="16"/>
  <c r="L71" i="12"/>
  <c r="L89" i="13"/>
  <c r="N25" i="16"/>
  <c r="M71" i="12"/>
  <c r="M89" i="13"/>
  <c r="O25" i="16"/>
  <c r="N71" i="12"/>
  <c r="N89" i="13"/>
  <c r="P25" i="16"/>
  <c r="O71" i="12"/>
  <c r="O89" i="13"/>
  <c r="Q25" i="16"/>
  <c r="P71" i="12"/>
  <c r="P89" i="13"/>
  <c r="R25" i="16"/>
  <c r="Q71" i="12"/>
  <c r="Q89" i="13"/>
  <c r="S25" i="16"/>
  <c r="R71" i="12"/>
  <c r="R89" i="13"/>
  <c r="T25" i="16"/>
  <c r="S71" i="12"/>
  <c r="S89" i="13"/>
  <c r="U25" i="16"/>
  <c r="D72" i="12"/>
  <c r="D90" i="13"/>
  <c r="D26" i="16"/>
  <c r="E72" i="12"/>
  <c r="E90" i="13"/>
  <c r="E26" i="16"/>
  <c r="F72" i="12"/>
  <c r="F90" i="13"/>
  <c r="F26" i="16"/>
  <c r="G72" i="12"/>
  <c r="G90" i="13"/>
  <c r="G26" i="16"/>
  <c r="H72" i="12"/>
  <c r="H90" i="13"/>
  <c r="H26" i="16"/>
  <c r="I72" i="12"/>
  <c r="I90" i="13"/>
  <c r="I26" i="16"/>
  <c r="J72" i="12"/>
  <c r="J90" i="13"/>
  <c r="J26" i="16"/>
  <c r="L72" i="12"/>
  <c r="L90" i="13"/>
  <c r="N26" i="16"/>
  <c r="M72" i="12"/>
  <c r="M90" i="13"/>
  <c r="O26" i="16"/>
  <c r="N72" i="12"/>
  <c r="N90" i="13"/>
  <c r="P26" i="16"/>
  <c r="O72" i="12"/>
  <c r="O90" i="13"/>
  <c r="Q26" i="16"/>
  <c r="P72" i="12"/>
  <c r="P90" i="13"/>
  <c r="R26" i="16"/>
  <c r="Q72" i="12"/>
  <c r="Q90" i="13"/>
  <c r="S26" i="16"/>
  <c r="R72" i="12"/>
  <c r="R90" i="13"/>
  <c r="T26" i="16"/>
  <c r="S72" i="12"/>
  <c r="S90" i="13"/>
  <c r="U26" i="16"/>
  <c r="D73" i="12"/>
  <c r="D91" i="13"/>
  <c r="D27" i="16"/>
  <c r="E73" i="12"/>
  <c r="E91" i="13"/>
  <c r="E27" i="16"/>
  <c r="F73" i="12"/>
  <c r="F91" i="13"/>
  <c r="F27" i="16"/>
  <c r="G73" i="12"/>
  <c r="G91" i="13"/>
  <c r="G27" i="16"/>
  <c r="H73" i="12"/>
  <c r="H91" i="13"/>
  <c r="H27" i="16"/>
  <c r="I73" i="12"/>
  <c r="I91" i="13"/>
  <c r="I27" i="16"/>
  <c r="J73" i="12"/>
  <c r="J91" i="13"/>
  <c r="J27" i="16"/>
  <c r="L73" i="12"/>
  <c r="L91" i="13"/>
  <c r="N27" i="16"/>
  <c r="M73" i="12"/>
  <c r="M91" i="13"/>
  <c r="O27" i="16"/>
  <c r="N73" i="12"/>
  <c r="N91" i="13"/>
  <c r="P27" i="16"/>
  <c r="O73" i="12"/>
  <c r="O91" i="13"/>
  <c r="Q27" i="16"/>
  <c r="P73" i="12"/>
  <c r="P91" i="13"/>
  <c r="R27" i="16"/>
  <c r="Q73" i="12"/>
  <c r="Q91" i="13"/>
  <c r="S27" i="16"/>
  <c r="R73" i="12"/>
  <c r="R91" i="13"/>
  <c r="T27" i="16"/>
  <c r="S73" i="12"/>
  <c r="S91" i="13"/>
  <c r="U27" i="16"/>
  <c r="D74" i="12"/>
  <c r="D92" i="13"/>
  <c r="D28" i="16"/>
  <c r="E74" i="12"/>
  <c r="E92" i="13"/>
  <c r="E28" i="16"/>
  <c r="F74" i="12"/>
  <c r="F92" i="13"/>
  <c r="F28" i="16"/>
  <c r="G74" i="12"/>
  <c r="G92" i="13"/>
  <c r="G28" i="16"/>
  <c r="H74" i="12"/>
  <c r="H92" i="13"/>
  <c r="H28" i="16"/>
  <c r="I74" i="12"/>
  <c r="I92" i="13"/>
  <c r="I28" i="16"/>
  <c r="J74" i="12"/>
  <c r="J92" i="13"/>
  <c r="J28" i="16"/>
  <c r="L74" i="12"/>
  <c r="L92" i="13"/>
  <c r="N28" i="16"/>
  <c r="M74" i="12"/>
  <c r="M92" i="13"/>
  <c r="O28" i="16"/>
  <c r="N74" i="12"/>
  <c r="N92" i="13"/>
  <c r="P28" i="16"/>
  <c r="O74" i="12"/>
  <c r="O92" i="13"/>
  <c r="Q28" i="16"/>
  <c r="P74" i="12"/>
  <c r="P92" i="13"/>
  <c r="R28" i="16"/>
  <c r="Q74" i="12"/>
  <c r="Q92" i="13"/>
  <c r="S28" i="16"/>
  <c r="R74" i="12"/>
  <c r="R92" i="13"/>
  <c r="T28" i="16"/>
  <c r="S74" i="12"/>
  <c r="S92" i="13"/>
  <c r="U28" i="16"/>
  <c r="C29" i="16"/>
  <c r="D29" i="16"/>
  <c r="E29" i="16"/>
  <c r="F29" i="16"/>
  <c r="G29" i="16"/>
  <c r="H29" i="16"/>
  <c r="I29" i="16"/>
  <c r="J29" i="16"/>
  <c r="N29" i="16"/>
  <c r="O29" i="16"/>
  <c r="P29" i="16"/>
  <c r="Q29" i="16"/>
  <c r="R29" i="16"/>
  <c r="S29" i="16"/>
  <c r="T29" i="16"/>
  <c r="U29" i="16"/>
  <c r="C30" i="16"/>
  <c r="D30" i="16"/>
  <c r="E30" i="16"/>
  <c r="F30" i="16"/>
  <c r="G30" i="16"/>
  <c r="H30" i="16"/>
  <c r="I30" i="16"/>
  <c r="J30" i="16"/>
  <c r="N30" i="16"/>
  <c r="O30" i="16"/>
  <c r="P30" i="16"/>
  <c r="Q30" i="16"/>
  <c r="R30" i="16"/>
  <c r="S30" i="16"/>
  <c r="T30" i="16"/>
  <c r="U30" i="16"/>
  <c r="C31" i="16"/>
  <c r="D31" i="16"/>
  <c r="E31" i="16"/>
  <c r="F31" i="16"/>
  <c r="G31" i="16"/>
  <c r="H31" i="16"/>
  <c r="I31" i="16"/>
  <c r="J31" i="16"/>
  <c r="N31" i="16"/>
  <c r="O31" i="16"/>
  <c r="P31" i="16"/>
  <c r="Q31" i="16"/>
  <c r="R31" i="16"/>
  <c r="S31" i="16"/>
  <c r="T31" i="16"/>
  <c r="U31" i="16"/>
  <c r="C32" i="16"/>
  <c r="D32" i="16"/>
  <c r="E32" i="16"/>
  <c r="F32" i="16"/>
  <c r="G32" i="16"/>
  <c r="H32" i="16"/>
  <c r="I32" i="16"/>
  <c r="J32" i="16"/>
  <c r="N32" i="16"/>
  <c r="O32" i="16"/>
  <c r="P32" i="16"/>
  <c r="Q32" i="16"/>
  <c r="R32" i="16"/>
  <c r="S32" i="16"/>
  <c r="T32" i="16"/>
  <c r="U32" i="16"/>
  <c r="C33" i="16"/>
  <c r="D33" i="16"/>
  <c r="E33" i="16"/>
  <c r="F33" i="16"/>
  <c r="G33" i="16"/>
  <c r="H33" i="16"/>
  <c r="I33" i="16"/>
  <c r="J33" i="16"/>
  <c r="N33" i="16"/>
  <c r="O33" i="16"/>
  <c r="P33" i="16"/>
  <c r="Q33" i="16"/>
  <c r="R33" i="16"/>
  <c r="S33" i="16"/>
  <c r="T33" i="16"/>
  <c r="U33" i="16"/>
  <c r="C42" i="12"/>
  <c r="C34" i="16"/>
  <c r="D42" i="12"/>
  <c r="D34" i="16"/>
  <c r="E42" i="12"/>
  <c r="E34" i="16"/>
  <c r="F42" i="12"/>
  <c r="F34" i="16"/>
  <c r="G42" i="12"/>
  <c r="G34" i="16"/>
  <c r="H42" i="12"/>
  <c r="H34" i="16"/>
  <c r="I42" i="12"/>
  <c r="I34" i="16"/>
  <c r="J42" i="12"/>
  <c r="J34" i="16"/>
  <c r="L42" i="12"/>
  <c r="N34" i="16"/>
  <c r="M42" i="12"/>
  <c r="O34" i="16"/>
  <c r="N42" i="12"/>
  <c r="P34" i="16"/>
  <c r="O42" i="12"/>
  <c r="Q34" i="16"/>
  <c r="P42" i="12"/>
  <c r="R34" i="16"/>
  <c r="Q42" i="12"/>
  <c r="S34" i="16"/>
  <c r="R42" i="12"/>
  <c r="T34" i="16"/>
  <c r="S42" i="12"/>
  <c r="U34" i="16"/>
  <c r="C43" i="12"/>
  <c r="C35" i="16"/>
  <c r="D43" i="12"/>
  <c r="D35" i="16"/>
  <c r="E43" i="12"/>
  <c r="E35" i="16"/>
  <c r="F43" i="12"/>
  <c r="F35" i="16"/>
  <c r="G43" i="12"/>
  <c r="G35" i="16"/>
  <c r="H43" i="12"/>
  <c r="H35" i="16"/>
  <c r="I43" i="12"/>
  <c r="I35" i="16"/>
  <c r="J43" i="12"/>
  <c r="J35" i="16"/>
  <c r="L43" i="12"/>
  <c r="N35" i="16"/>
  <c r="M43" i="12"/>
  <c r="O35" i="16"/>
  <c r="N43" i="12"/>
  <c r="P35" i="16"/>
  <c r="O43" i="12"/>
  <c r="Q35" i="16"/>
  <c r="P43" i="12"/>
  <c r="R35" i="16"/>
  <c r="Q43" i="12"/>
  <c r="S35" i="16"/>
  <c r="R43" i="12"/>
  <c r="T35" i="16"/>
  <c r="S43" i="12"/>
  <c r="U35" i="16"/>
  <c r="C44" i="12"/>
  <c r="C36" i="16"/>
  <c r="D44" i="12"/>
  <c r="D36" i="16"/>
  <c r="E44" i="12"/>
  <c r="E36" i="16"/>
  <c r="F44" i="12"/>
  <c r="F36" i="16"/>
  <c r="G44" i="12"/>
  <c r="G36" i="16"/>
  <c r="H44" i="12"/>
  <c r="H36" i="16"/>
  <c r="I44" i="12"/>
  <c r="I36" i="16"/>
  <c r="J44" i="12"/>
  <c r="J36" i="16"/>
  <c r="L44" i="12"/>
  <c r="N36" i="16"/>
  <c r="M44" i="12"/>
  <c r="O36" i="16"/>
  <c r="N44" i="12"/>
  <c r="P36" i="16"/>
  <c r="O44" i="12"/>
  <c r="Q36" i="16"/>
  <c r="P44" i="12"/>
  <c r="R36" i="16"/>
  <c r="Q44" i="12"/>
  <c r="S36" i="16"/>
  <c r="R44" i="12"/>
  <c r="T36" i="16"/>
  <c r="S44" i="12"/>
  <c r="U36" i="16"/>
  <c r="C80" i="12"/>
  <c r="C37" i="16"/>
  <c r="D80" i="12"/>
  <c r="D37" i="16"/>
  <c r="E80" i="12"/>
  <c r="E37" i="16"/>
  <c r="F80" i="12"/>
  <c r="F37" i="16"/>
  <c r="G80" i="12"/>
  <c r="G37" i="16"/>
  <c r="H80" i="12"/>
  <c r="H37" i="16"/>
  <c r="I80" i="12"/>
  <c r="I37" i="16"/>
  <c r="J80" i="12"/>
  <c r="J37" i="16"/>
  <c r="L80" i="12"/>
  <c r="N37" i="16"/>
  <c r="M80" i="12"/>
  <c r="O37" i="16"/>
  <c r="N80" i="12"/>
  <c r="P37" i="16"/>
  <c r="O80" i="12"/>
  <c r="Q37" i="16"/>
  <c r="P80" i="12"/>
  <c r="R37" i="16"/>
  <c r="Q80" i="12"/>
  <c r="S37" i="16"/>
  <c r="R80" i="12"/>
  <c r="T37" i="16"/>
  <c r="S80" i="12"/>
  <c r="U37" i="16"/>
  <c r="C46" i="12"/>
  <c r="C38" i="16"/>
  <c r="D46" i="12"/>
  <c r="D38" i="16"/>
  <c r="E46" i="12"/>
  <c r="E38" i="16"/>
  <c r="F46" i="12"/>
  <c r="F38" i="16"/>
  <c r="G46" i="12"/>
  <c r="G38" i="16"/>
  <c r="H46" i="12"/>
  <c r="H38" i="16"/>
  <c r="I46" i="12"/>
  <c r="I38" i="16"/>
  <c r="J46" i="12"/>
  <c r="J38" i="16"/>
  <c r="L46" i="12"/>
  <c r="N38" i="16"/>
  <c r="M46" i="12"/>
  <c r="O38" i="16"/>
  <c r="N46" i="12"/>
  <c r="P38" i="16"/>
  <c r="O46" i="12"/>
  <c r="Q38" i="16"/>
  <c r="P46" i="12"/>
  <c r="R38" i="16"/>
  <c r="Q46" i="12"/>
  <c r="S38" i="16"/>
  <c r="R46" i="12"/>
  <c r="T38" i="16"/>
  <c r="S46" i="12"/>
  <c r="U38" i="16"/>
  <c r="C81" i="12"/>
  <c r="C39" i="16"/>
  <c r="D81" i="12"/>
  <c r="D39" i="16"/>
  <c r="E81" i="12"/>
  <c r="E39" i="16"/>
  <c r="F81" i="12"/>
  <c r="F39" i="16"/>
  <c r="G81" i="12"/>
  <c r="G39" i="16"/>
  <c r="H81" i="12"/>
  <c r="H39" i="16"/>
  <c r="I81" i="12"/>
  <c r="I39" i="16"/>
  <c r="J81" i="12"/>
  <c r="J39" i="16"/>
  <c r="L81" i="12"/>
  <c r="N39" i="16"/>
  <c r="M81" i="12"/>
  <c r="O39" i="16"/>
  <c r="N81" i="12"/>
  <c r="P39" i="16"/>
  <c r="O81" i="12"/>
  <c r="Q39" i="16"/>
  <c r="P81" i="12"/>
  <c r="R39" i="16"/>
  <c r="Q81" i="12"/>
  <c r="S39" i="16"/>
  <c r="R81" i="12"/>
  <c r="T39" i="16"/>
  <c r="S81" i="12"/>
  <c r="U39" i="16"/>
  <c r="C48" i="12"/>
  <c r="C40" i="16"/>
  <c r="D48" i="12"/>
  <c r="D40" i="16"/>
  <c r="E48" i="12"/>
  <c r="E40" i="16"/>
  <c r="F48" i="12"/>
  <c r="F40" i="16"/>
  <c r="G48" i="12"/>
  <c r="G40" i="16"/>
  <c r="H48" i="12"/>
  <c r="H40" i="16"/>
  <c r="I48" i="12"/>
  <c r="I40" i="16"/>
  <c r="J48" i="12"/>
  <c r="J40" i="16"/>
  <c r="L48" i="12"/>
  <c r="N40" i="16"/>
  <c r="M48" i="12"/>
  <c r="O40" i="16"/>
  <c r="N48" i="12"/>
  <c r="P40" i="16"/>
  <c r="O48" i="12"/>
  <c r="Q40" i="16"/>
  <c r="P48" i="12"/>
  <c r="R40" i="16"/>
  <c r="Q48" i="12"/>
  <c r="S40" i="16"/>
  <c r="R48" i="12"/>
  <c r="T40" i="16"/>
  <c r="S48" i="12"/>
  <c r="U40" i="16"/>
  <c r="C82" i="12"/>
  <c r="C41" i="16"/>
  <c r="D82" i="12"/>
  <c r="D41" i="16"/>
  <c r="E82" i="12"/>
  <c r="E41" i="16"/>
  <c r="F82" i="12"/>
  <c r="F41" i="16"/>
  <c r="G82" i="12"/>
  <c r="G41" i="16"/>
  <c r="H82" i="12"/>
  <c r="H41" i="16"/>
  <c r="I82" i="12"/>
  <c r="I41" i="16"/>
  <c r="J82" i="12"/>
  <c r="J41" i="16"/>
  <c r="L82" i="12"/>
  <c r="N41" i="16"/>
  <c r="M82" i="12"/>
  <c r="O41" i="16"/>
  <c r="N82" i="12"/>
  <c r="P41" i="16"/>
  <c r="O82" i="12"/>
  <c r="Q41" i="16"/>
  <c r="P82" i="12"/>
  <c r="R41" i="16"/>
  <c r="Q82" i="12"/>
  <c r="S41" i="16"/>
  <c r="R82" i="12"/>
  <c r="T41" i="16"/>
  <c r="S82" i="12"/>
  <c r="U41" i="16"/>
  <c r="C94" i="12"/>
  <c r="C106" i="13"/>
  <c r="C54" i="16"/>
  <c r="D94" i="12"/>
  <c r="D106" i="13"/>
  <c r="D54" i="16"/>
  <c r="E94" i="12"/>
  <c r="E106" i="13"/>
  <c r="E54" i="16"/>
  <c r="F94" i="12"/>
  <c r="F106" i="13"/>
  <c r="F54" i="16"/>
  <c r="G94" i="12"/>
  <c r="G106" i="13"/>
  <c r="G54" i="16"/>
  <c r="H94" i="12"/>
  <c r="H106" i="13"/>
  <c r="H54" i="16"/>
  <c r="I94" i="12"/>
  <c r="I106" i="13"/>
  <c r="I54" i="16"/>
  <c r="J94" i="12"/>
  <c r="J106" i="13"/>
  <c r="J54" i="16"/>
  <c r="L94" i="12"/>
  <c r="L106" i="13"/>
  <c r="N54" i="16"/>
  <c r="M94" i="12"/>
  <c r="M106" i="13"/>
  <c r="O54" i="16"/>
  <c r="N94" i="12"/>
  <c r="N106" i="13"/>
  <c r="P54" i="16"/>
  <c r="O94" i="12"/>
  <c r="O106" i="13"/>
  <c r="Q54" i="16"/>
  <c r="P94" i="12"/>
  <c r="P106" i="13"/>
  <c r="R54" i="16"/>
  <c r="Q94" i="12"/>
  <c r="Q106" i="13"/>
  <c r="S54" i="16"/>
  <c r="R94" i="12"/>
  <c r="R106" i="13"/>
  <c r="T54" i="16"/>
  <c r="S94" i="12"/>
  <c r="S106" i="13"/>
  <c r="U54" i="16"/>
  <c r="C95" i="12"/>
  <c r="C107" i="13"/>
  <c r="C57" i="16"/>
  <c r="D95" i="12"/>
  <c r="D107" i="13"/>
  <c r="D57" i="16"/>
  <c r="E95" i="12"/>
  <c r="E107" i="13"/>
  <c r="E57" i="16"/>
  <c r="F95" i="12"/>
  <c r="F107" i="13"/>
  <c r="F57" i="16"/>
  <c r="G95" i="12"/>
  <c r="G107" i="13"/>
  <c r="G57" i="16"/>
  <c r="H95" i="12"/>
  <c r="H107" i="13"/>
  <c r="H57" i="16"/>
  <c r="I95" i="12"/>
  <c r="I107" i="13"/>
  <c r="I57" i="16"/>
  <c r="J95" i="12"/>
  <c r="J107" i="13"/>
  <c r="J57" i="16"/>
  <c r="L95" i="12"/>
  <c r="L107" i="13"/>
  <c r="N57" i="16"/>
  <c r="M95" i="12"/>
  <c r="M107" i="13"/>
  <c r="O57" i="16"/>
  <c r="N95" i="12"/>
  <c r="N107" i="13"/>
  <c r="P57" i="16"/>
  <c r="O95" i="12"/>
  <c r="O107" i="13"/>
  <c r="Q57" i="16"/>
  <c r="P95" i="12"/>
  <c r="P107" i="13"/>
  <c r="R57" i="16"/>
  <c r="Q95" i="12"/>
  <c r="Q107" i="13"/>
  <c r="S57" i="16"/>
  <c r="R95" i="12"/>
  <c r="R107" i="13"/>
  <c r="T57" i="16"/>
  <c r="S95" i="12"/>
  <c r="S107" i="13"/>
  <c r="U57" i="16"/>
  <c r="C96" i="12"/>
  <c r="C108" i="13"/>
  <c r="C59" i="16"/>
  <c r="D96" i="12"/>
  <c r="D108" i="13"/>
  <c r="D59" i="16"/>
  <c r="E96" i="12"/>
  <c r="E108" i="13"/>
  <c r="E59" i="16"/>
  <c r="F96" i="12"/>
  <c r="F108" i="13"/>
  <c r="F59" i="16"/>
  <c r="G96" i="12"/>
  <c r="G108" i="13"/>
  <c r="G59" i="16"/>
  <c r="H96" i="12"/>
  <c r="H108" i="13"/>
  <c r="H59" i="16"/>
  <c r="I96" i="12"/>
  <c r="I108" i="13"/>
  <c r="I59" i="16"/>
  <c r="J96" i="12"/>
  <c r="J108" i="13"/>
  <c r="J59" i="16"/>
  <c r="L96" i="12"/>
  <c r="L108" i="13"/>
  <c r="N59" i="16"/>
  <c r="M96" i="12"/>
  <c r="M108" i="13"/>
  <c r="O59" i="16"/>
  <c r="N96" i="12"/>
  <c r="N108" i="13"/>
  <c r="P59" i="16"/>
  <c r="O96" i="12"/>
  <c r="O108" i="13"/>
  <c r="Q59" i="16"/>
  <c r="P96" i="12"/>
  <c r="P108" i="13"/>
  <c r="R59" i="16"/>
  <c r="Q96" i="12"/>
  <c r="Q108" i="13"/>
  <c r="S59" i="16"/>
  <c r="R96" i="12"/>
  <c r="R108" i="13"/>
  <c r="T59" i="16"/>
  <c r="S96" i="12"/>
  <c r="S108" i="13"/>
  <c r="U59" i="16"/>
  <c r="C97" i="12"/>
  <c r="C109" i="13"/>
  <c r="C60" i="16"/>
  <c r="D97" i="12"/>
  <c r="D109" i="13"/>
  <c r="D60" i="16"/>
  <c r="E97" i="12"/>
  <c r="E109" i="13"/>
  <c r="E60" i="16"/>
  <c r="F97" i="12"/>
  <c r="F109" i="13"/>
  <c r="F60" i="16"/>
  <c r="G97" i="12"/>
  <c r="G109" i="13"/>
  <c r="G60" i="16"/>
  <c r="H97" i="12"/>
  <c r="H109" i="13"/>
  <c r="H60" i="16"/>
  <c r="I97" i="12"/>
  <c r="I109" i="13"/>
  <c r="I60" i="16"/>
  <c r="J97" i="12"/>
  <c r="J109" i="13"/>
  <c r="J60" i="16"/>
  <c r="L97" i="12"/>
  <c r="L109" i="13"/>
  <c r="N60" i="16"/>
  <c r="M97" i="12"/>
  <c r="M109" i="13"/>
  <c r="O60" i="16"/>
  <c r="N97" i="12"/>
  <c r="N109" i="13"/>
  <c r="P60" i="16"/>
  <c r="O97" i="12"/>
  <c r="O109" i="13"/>
  <c r="Q60" i="16"/>
  <c r="P97" i="12"/>
  <c r="P109" i="13"/>
  <c r="R60" i="16"/>
  <c r="Q97" i="12"/>
  <c r="Q109" i="13"/>
  <c r="S60" i="16"/>
  <c r="R97" i="12"/>
  <c r="R109" i="13"/>
  <c r="T60" i="16"/>
  <c r="S97" i="12"/>
  <c r="S109" i="13"/>
  <c r="U60" i="16"/>
  <c r="C98" i="12"/>
  <c r="C110" i="13"/>
  <c r="C61" i="16"/>
  <c r="D98" i="12"/>
  <c r="D110" i="13"/>
  <c r="D61" i="16"/>
  <c r="E98" i="12"/>
  <c r="E110" i="13"/>
  <c r="E61" i="16"/>
  <c r="F98" i="12"/>
  <c r="F110" i="13"/>
  <c r="F61" i="16"/>
  <c r="G98" i="12"/>
  <c r="G110" i="13"/>
  <c r="G61" i="16"/>
  <c r="H98" i="12"/>
  <c r="H110" i="13"/>
  <c r="H61" i="16"/>
  <c r="I98" i="12"/>
  <c r="I110" i="13"/>
  <c r="I61" i="16"/>
  <c r="J98" i="12"/>
  <c r="J110" i="13"/>
  <c r="J61" i="16"/>
  <c r="L98" i="12"/>
  <c r="L110" i="13"/>
  <c r="N61" i="16"/>
  <c r="M98" i="12"/>
  <c r="M110" i="13"/>
  <c r="O61" i="16"/>
  <c r="N98" i="12"/>
  <c r="N110" i="13"/>
  <c r="P61" i="16"/>
  <c r="O98" i="12"/>
  <c r="O110" i="13"/>
  <c r="Q61" i="16"/>
  <c r="P98" i="12"/>
  <c r="P110" i="13"/>
  <c r="R61" i="16"/>
  <c r="Q98" i="12"/>
  <c r="Q110" i="13"/>
  <c r="S61" i="16"/>
  <c r="R98" i="12"/>
  <c r="R110" i="13"/>
  <c r="T61" i="16"/>
  <c r="S98" i="12"/>
  <c r="S110" i="13"/>
  <c r="U61" i="16"/>
  <c r="C99" i="12"/>
  <c r="C111" i="13"/>
  <c r="C62" i="16"/>
  <c r="D99" i="12"/>
  <c r="D111" i="13"/>
  <c r="D62" i="16"/>
  <c r="E99" i="12"/>
  <c r="E111" i="13"/>
  <c r="E62" i="16"/>
  <c r="F99" i="12"/>
  <c r="F111" i="13"/>
  <c r="F62" i="16"/>
  <c r="G99" i="12"/>
  <c r="G111" i="13"/>
  <c r="G62" i="16"/>
  <c r="H99" i="12"/>
  <c r="H111" i="13"/>
  <c r="H62" i="16"/>
  <c r="I99" i="12"/>
  <c r="I111" i="13"/>
  <c r="I62" i="16"/>
  <c r="J99" i="12"/>
  <c r="J111" i="13"/>
  <c r="J62" i="16"/>
  <c r="L99" i="12"/>
  <c r="L111" i="13"/>
  <c r="N62" i="16"/>
  <c r="M99" i="12"/>
  <c r="M111" i="13"/>
  <c r="O62" i="16"/>
  <c r="N99" i="12"/>
  <c r="N111" i="13"/>
  <c r="P62" i="16"/>
  <c r="O99" i="12"/>
  <c r="O111" i="13"/>
  <c r="Q62" i="16"/>
  <c r="P99" i="12"/>
  <c r="P111" i="13"/>
  <c r="R62" i="16"/>
  <c r="Q99" i="12"/>
  <c r="Q111" i="13"/>
  <c r="S62" i="16"/>
  <c r="R99" i="12"/>
  <c r="R111" i="13"/>
  <c r="T62" i="16"/>
  <c r="S99" i="12"/>
  <c r="S111" i="13"/>
  <c r="U62" i="16"/>
  <c r="C100" i="12"/>
  <c r="C112" i="13"/>
  <c r="C63" i="16"/>
  <c r="D100" i="12"/>
  <c r="D112" i="13"/>
  <c r="D63" i="16"/>
  <c r="E100" i="12"/>
  <c r="E112" i="13"/>
  <c r="E63" i="16"/>
  <c r="F100" i="12"/>
  <c r="F112" i="13"/>
  <c r="F63" i="16"/>
  <c r="G100" i="12"/>
  <c r="G112" i="13"/>
  <c r="G63" i="16"/>
  <c r="H100" i="12"/>
  <c r="H112" i="13"/>
  <c r="H63" i="16"/>
  <c r="I100" i="12"/>
  <c r="I112" i="13"/>
  <c r="I63" i="16"/>
  <c r="J100" i="12"/>
  <c r="J112" i="13"/>
  <c r="J63" i="16"/>
  <c r="L100" i="12"/>
  <c r="L112" i="13"/>
  <c r="N63" i="16"/>
  <c r="M100" i="12"/>
  <c r="M112" i="13"/>
  <c r="O63" i="16"/>
  <c r="N100" i="12"/>
  <c r="N112" i="13"/>
  <c r="P63" i="16"/>
  <c r="O100" i="12"/>
  <c r="O112" i="13"/>
  <c r="Q63" i="16"/>
  <c r="P100" i="12"/>
  <c r="P112" i="13"/>
  <c r="R63" i="16"/>
  <c r="Q100" i="12"/>
  <c r="Q112" i="13"/>
  <c r="S63" i="16"/>
  <c r="R100" i="12"/>
  <c r="R112" i="13"/>
  <c r="T63" i="16"/>
  <c r="S100" i="12"/>
  <c r="S112" i="13"/>
  <c r="U63" i="16"/>
  <c r="D101" i="12"/>
  <c r="D113" i="13"/>
  <c r="D64" i="16"/>
  <c r="E101" i="12"/>
  <c r="E113" i="13"/>
  <c r="E64" i="16"/>
  <c r="F101" i="12"/>
  <c r="F113" i="13"/>
  <c r="F64" i="16"/>
  <c r="G101" i="12"/>
  <c r="G113" i="13"/>
  <c r="G64" i="16"/>
  <c r="H101" i="12"/>
  <c r="H113" i="13"/>
  <c r="H64" i="16"/>
  <c r="I101" i="12"/>
  <c r="I113" i="13"/>
  <c r="I64" i="16"/>
  <c r="J101" i="12"/>
  <c r="J113" i="13"/>
  <c r="J64" i="16"/>
  <c r="L101" i="12"/>
  <c r="L113" i="13"/>
  <c r="N64" i="16"/>
  <c r="M101" i="12"/>
  <c r="M113" i="13"/>
  <c r="O64" i="16"/>
  <c r="N101" i="12"/>
  <c r="N113" i="13"/>
  <c r="P64" i="16"/>
  <c r="O101" i="12"/>
  <c r="O113" i="13"/>
  <c r="Q64" i="16"/>
  <c r="P101" i="12"/>
  <c r="P113" i="13"/>
  <c r="R64" i="16"/>
  <c r="Q101" i="12"/>
  <c r="Q113" i="13"/>
  <c r="S64" i="16"/>
  <c r="R101" i="12"/>
  <c r="R113" i="13"/>
  <c r="T64" i="16"/>
  <c r="S101" i="12"/>
  <c r="S113" i="13"/>
  <c r="U64" i="16"/>
  <c r="D102" i="12"/>
  <c r="D114" i="13"/>
  <c r="D65" i="16"/>
  <c r="E102" i="12"/>
  <c r="E114" i="13"/>
  <c r="E65" i="16"/>
  <c r="F102" i="12"/>
  <c r="F114" i="13"/>
  <c r="F65" i="16"/>
  <c r="G102" i="12"/>
  <c r="G114" i="13"/>
  <c r="G65" i="16"/>
  <c r="H102" i="12"/>
  <c r="H114" i="13"/>
  <c r="H65" i="16"/>
  <c r="I102" i="12"/>
  <c r="I114" i="13"/>
  <c r="I65" i="16"/>
  <c r="J102" i="12"/>
  <c r="J114" i="13"/>
  <c r="J65" i="16"/>
  <c r="L102" i="12"/>
  <c r="L114" i="13"/>
  <c r="N65" i="16"/>
  <c r="M102" i="12"/>
  <c r="M114" i="13"/>
  <c r="O65" i="16"/>
  <c r="N102" i="12"/>
  <c r="N114" i="13"/>
  <c r="P65" i="16"/>
  <c r="O102" i="12"/>
  <c r="O114" i="13"/>
  <c r="Q65" i="16"/>
  <c r="P102" i="12"/>
  <c r="P114" i="13"/>
  <c r="R65" i="16"/>
  <c r="Q102" i="12"/>
  <c r="Q114" i="13"/>
  <c r="S65" i="16"/>
  <c r="R102" i="12"/>
  <c r="R114" i="13"/>
  <c r="T65" i="16"/>
  <c r="S102" i="12"/>
  <c r="S114" i="13"/>
  <c r="U65" i="16"/>
  <c r="D103" i="12"/>
  <c r="D115" i="13"/>
  <c r="D66" i="16"/>
  <c r="E103" i="12"/>
  <c r="E115" i="13"/>
  <c r="E66" i="16"/>
  <c r="F103" i="12"/>
  <c r="F115" i="13"/>
  <c r="F66" i="16"/>
  <c r="G103" i="12"/>
  <c r="G115" i="13"/>
  <c r="G66" i="16"/>
  <c r="H103" i="12"/>
  <c r="H115" i="13"/>
  <c r="H66" i="16"/>
  <c r="I103" i="12"/>
  <c r="I115" i="13"/>
  <c r="I66" i="16"/>
  <c r="J103" i="12"/>
  <c r="J115" i="13"/>
  <c r="J66" i="16"/>
  <c r="L103" i="12"/>
  <c r="L115" i="13"/>
  <c r="N66" i="16"/>
  <c r="M103" i="12"/>
  <c r="M115" i="13"/>
  <c r="O66" i="16"/>
  <c r="N103" i="12"/>
  <c r="N115" i="13"/>
  <c r="P66" i="16"/>
  <c r="O103" i="12"/>
  <c r="O115" i="13"/>
  <c r="Q66" i="16"/>
  <c r="P103" i="12"/>
  <c r="P115" i="13"/>
  <c r="R66" i="16"/>
  <c r="Q103" i="12"/>
  <c r="Q115" i="13"/>
  <c r="S66" i="16"/>
  <c r="R103" i="12"/>
  <c r="R115" i="13"/>
  <c r="T66" i="16"/>
  <c r="S103" i="12"/>
  <c r="S115" i="13"/>
  <c r="U66" i="16"/>
  <c r="C71" i="16"/>
  <c r="D71" i="16"/>
  <c r="E71" i="16"/>
  <c r="F71" i="16"/>
  <c r="G71" i="16"/>
  <c r="H71" i="16"/>
  <c r="I71" i="16"/>
  <c r="J71" i="16"/>
  <c r="N71" i="16"/>
  <c r="O71" i="16"/>
  <c r="P71" i="16"/>
  <c r="Q71" i="16"/>
  <c r="R71" i="16"/>
  <c r="S71" i="16"/>
  <c r="T71" i="16"/>
  <c r="U71" i="16"/>
  <c r="C105" i="12"/>
  <c r="C75" i="16"/>
  <c r="D105" i="12"/>
  <c r="D75" i="16"/>
  <c r="E105" i="12"/>
  <c r="E75" i="16"/>
  <c r="F105" i="12"/>
  <c r="F75" i="16"/>
  <c r="G105" i="12"/>
  <c r="G75" i="16"/>
  <c r="H105" i="12"/>
  <c r="H75" i="16"/>
  <c r="I105" i="12"/>
  <c r="I75" i="16"/>
  <c r="J105" i="12"/>
  <c r="J75" i="16"/>
  <c r="L105" i="12"/>
  <c r="N75" i="16"/>
  <c r="M105" i="12"/>
  <c r="O75" i="16"/>
  <c r="N105" i="12"/>
  <c r="P75" i="16"/>
  <c r="O105" i="12"/>
  <c r="Q75" i="16"/>
  <c r="P105" i="12"/>
  <c r="R75" i="16"/>
  <c r="Q105" i="12"/>
  <c r="S75" i="16"/>
  <c r="R105" i="12"/>
  <c r="T75" i="16"/>
  <c r="S105" i="12"/>
  <c r="U75" i="16"/>
  <c r="C106" i="12"/>
  <c r="C77" i="16"/>
  <c r="D106" i="12"/>
  <c r="D77" i="16"/>
  <c r="E106" i="12"/>
  <c r="E77" i="16"/>
  <c r="F106" i="12"/>
  <c r="F77" i="16"/>
  <c r="G106" i="12"/>
  <c r="G77" i="16"/>
  <c r="H106" i="12"/>
  <c r="H77" i="16"/>
  <c r="I106" i="12"/>
  <c r="I77" i="16"/>
  <c r="J106" i="12"/>
  <c r="J77" i="16"/>
  <c r="L106" i="12"/>
  <c r="N77" i="16"/>
  <c r="M106" i="12"/>
  <c r="O77" i="16"/>
  <c r="N106" i="12"/>
  <c r="P77" i="16"/>
  <c r="O106" i="12"/>
  <c r="Q77" i="16"/>
  <c r="P106" i="12"/>
  <c r="R77" i="16"/>
  <c r="Q106" i="12"/>
  <c r="S77" i="16"/>
  <c r="R106" i="12"/>
  <c r="T77" i="16"/>
  <c r="S106" i="12"/>
  <c r="U77" i="16"/>
  <c r="C107" i="12"/>
  <c r="C79" i="16"/>
  <c r="D107" i="12"/>
  <c r="D79" i="16"/>
  <c r="E107" i="12"/>
  <c r="E79" i="16"/>
  <c r="F107" i="12"/>
  <c r="F79" i="16"/>
  <c r="G107" i="12"/>
  <c r="G79" i="16"/>
  <c r="H107" i="12"/>
  <c r="H79" i="16"/>
  <c r="I107" i="12"/>
  <c r="I79" i="16"/>
  <c r="J107" i="12"/>
  <c r="J79" i="16"/>
  <c r="L107" i="12"/>
  <c r="N79" i="16"/>
  <c r="M107" i="12"/>
  <c r="O79" i="16"/>
  <c r="N107" i="12"/>
  <c r="P79" i="16"/>
  <c r="O107" i="12"/>
  <c r="Q79" i="16"/>
  <c r="P107" i="12"/>
  <c r="R79" i="16"/>
  <c r="Q107" i="12"/>
  <c r="S79" i="16"/>
  <c r="R107" i="12"/>
  <c r="T79" i="16"/>
  <c r="S107" i="12"/>
  <c r="U79" i="16"/>
  <c r="C119" i="12"/>
  <c r="C125" i="13"/>
  <c r="C100" i="16"/>
  <c r="D119" i="12"/>
  <c r="D125" i="13"/>
  <c r="D100" i="16"/>
  <c r="E119" i="12"/>
  <c r="E125" i="13"/>
  <c r="E100" i="16"/>
  <c r="F119" i="12"/>
  <c r="F125" i="13"/>
  <c r="F100" i="16"/>
  <c r="G119" i="12"/>
  <c r="G125" i="13"/>
  <c r="G100" i="16"/>
  <c r="H119" i="12"/>
  <c r="H125" i="13"/>
  <c r="H100" i="16"/>
  <c r="I119" i="12"/>
  <c r="I125" i="13"/>
  <c r="I100" i="16"/>
  <c r="J119" i="12"/>
  <c r="J125" i="13"/>
  <c r="J100" i="16"/>
  <c r="L119" i="12"/>
  <c r="L125" i="13"/>
  <c r="N100" i="16"/>
  <c r="M119" i="12"/>
  <c r="M125" i="13"/>
  <c r="O100" i="16"/>
  <c r="N119" i="12"/>
  <c r="N125" i="13"/>
  <c r="P100" i="16"/>
  <c r="O119" i="12"/>
  <c r="O125" i="13"/>
  <c r="Q100" i="16"/>
  <c r="P119" i="12"/>
  <c r="P125" i="13"/>
  <c r="R100" i="16"/>
  <c r="Q119" i="12"/>
  <c r="Q125" i="13"/>
  <c r="S100" i="16"/>
  <c r="R119" i="12"/>
  <c r="R125" i="13"/>
  <c r="T100" i="16"/>
  <c r="S119" i="12"/>
  <c r="S125" i="13"/>
  <c r="U100" i="16"/>
  <c r="C120" i="12"/>
  <c r="C126" i="13"/>
  <c r="C101" i="16"/>
  <c r="D120" i="12"/>
  <c r="D126" i="13"/>
  <c r="D101" i="16"/>
  <c r="E120" i="12"/>
  <c r="E126" i="13"/>
  <c r="E101" i="16"/>
  <c r="F120" i="12"/>
  <c r="F126" i="13"/>
  <c r="F101" i="16"/>
  <c r="G120" i="12"/>
  <c r="G126" i="13"/>
  <c r="G101" i="16"/>
  <c r="H120" i="12"/>
  <c r="H126" i="13"/>
  <c r="H101" i="16"/>
  <c r="I120" i="12"/>
  <c r="I126" i="13"/>
  <c r="I101" i="16"/>
  <c r="J120" i="12"/>
  <c r="J126" i="13"/>
  <c r="J101" i="16"/>
  <c r="L120" i="12"/>
  <c r="L126" i="13"/>
  <c r="N101" i="16"/>
  <c r="M120" i="12"/>
  <c r="M126" i="13"/>
  <c r="O101" i="16"/>
  <c r="N120" i="12"/>
  <c r="N126" i="13"/>
  <c r="P101" i="16"/>
  <c r="O120" i="12"/>
  <c r="O126" i="13"/>
  <c r="Q101" i="16"/>
  <c r="P120" i="12"/>
  <c r="P126" i="13"/>
  <c r="R101" i="16"/>
  <c r="Q120" i="12"/>
  <c r="Q126" i="13"/>
  <c r="S101" i="16"/>
  <c r="R120" i="12"/>
  <c r="R126" i="13"/>
  <c r="T101" i="16"/>
  <c r="S120" i="12"/>
  <c r="S126" i="13"/>
  <c r="U101" i="16"/>
  <c r="D121" i="12"/>
  <c r="D127" i="13"/>
  <c r="D102" i="16"/>
  <c r="E121" i="12"/>
  <c r="E127" i="13"/>
  <c r="E102" i="16"/>
  <c r="F121" i="12"/>
  <c r="F127" i="13"/>
  <c r="F102" i="16"/>
  <c r="G121" i="12"/>
  <c r="G127" i="13"/>
  <c r="G102" i="16"/>
  <c r="H121" i="12"/>
  <c r="H127" i="13"/>
  <c r="H102" i="16"/>
  <c r="I121" i="12"/>
  <c r="I127" i="13"/>
  <c r="I102" i="16"/>
  <c r="J121" i="12"/>
  <c r="J127" i="13"/>
  <c r="J102" i="16"/>
  <c r="L121" i="12"/>
  <c r="L127" i="13"/>
  <c r="N102" i="16"/>
  <c r="M121" i="12"/>
  <c r="M127" i="13"/>
  <c r="O102" i="16"/>
  <c r="N121" i="12"/>
  <c r="N127" i="13"/>
  <c r="P102" i="16"/>
  <c r="O121" i="12"/>
  <c r="O127" i="13"/>
  <c r="Q102" i="16"/>
  <c r="P121" i="12"/>
  <c r="P127" i="13"/>
  <c r="R102" i="16"/>
  <c r="Q121" i="12"/>
  <c r="Q127" i="13"/>
  <c r="S102" i="16"/>
  <c r="R121" i="12"/>
  <c r="R127" i="13"/>
  <c r="T102" i="16"/>
  <c r="S121" i="12"/>
  <c r="S127" i="13"/>
  <c r="U102" i="16"/>
  <c r="D122" i="12"/>
  <c r="D128" i="13"/>
  <c r="D103" i="16"/>
  <c r="E122" i="12"/>
  <c r="E128" i="13"/>
  <c r="E103" i="16"/>
  <c r="F122" i="12"/>
  <c r="F128" i="13"/>
  <c r="F103" i="16"/>
  <c r="G122" i="12"/>
  <c r="G128" i="13"/>
  <c r="G103" i="16"/>
  <c r="H122" i="12"/>
  <c r="H128" i="13"/>
  <c r="H103" i="16"/>
  <c r="I122" i="12"/>
  <c r="I128" i="13"/>
  <c r="I103" i="16"/>
  <c r="J122" i="12"/>
  <c r="J128" i="13"/>
  <c r="J103" i="16"/>
  <c r="L122" i="12"/>
  <c r="L128" i="13"/>
  <c r="N103" i="16"/>
  <c r="M122" i="12"/>
  <c r="M128" i="13"/>
  <c r="O103" i="16"/>
  <c r="N122" i="12"/>
  <c r="N128" i="13"/>
  <c r="P103" i="16"/>
  <c r="O122" i="12"/>
  <c r="O128" i="13"/>
  <c r="Q103" i="16"/>
  <c r="P122" i="12"/>
  <c r="P128" i="13"/>
  <c r="R103" i="16"/>
  <c r="Q122" i="12"/>
  <c r="Q128" i="13"/>
  <c r="S103" i="16"/>
  <c r="R122" i="12"/>
  <c r="R128" i="13"/>
  <c r="T103" i="16"/>
  <c r="S122" i="12"/>
  <c r="S128" i="13"/>
  <c r="U103" i="16"/>
  <c r="D123" i="12"/>
  <c r="D129" i="13"/>
  <c r="D104" i="16"/>
  <c r="E123" i="12"/>
  <c r="E129" i="13"/>
  <c r="E104" i="16"/>
  <c r="F123" i="12"/>
  <c r="F129" i="13"/>
  <c r="F104" i="16"/>
  <c r="G123" i="12"/>
  <c r="G129" i="13"/>
  <c r="G104" i="16"/>
  <c r="H123" i="12"/>
  <c r="H129" i="13"/>
  <c r="H104" i="16"/>
  <c r="I123" i="12"/>
  <c r="I129" i="13"/>
  <c r="I104" i="16"/>
  <c r="J123" i="12"/>
  <c r="J129" i="13"/>
  <c r="J104" i="16"/>
  <c r="L123" i="12"/>
  <c r="L129" i="13"/>
  <c r="N104" i="16"/>
  <c r="M123" i="12"/>
  <c r="M129" i="13"/>
  <c r="O104" i="16"/>
  <c r="N123" i="12"/>
  <c r="N129" i="13"/>
  <c r="P104" i="16"/>
  <c r="O123" i="12"/>
  <c r="O129" i="13"/>
  <c r="Q104" i="16"/>
  <c r="P123" i="12"/>
  <c r="P129" i="13"/>
  <c r="R104" i="16"/>
  <c r="Q123" i="12"/>
  <c r="Q129" i="13"/>
  <c r="S104" i="16"/>
  <c r="R123" i="12"/>
  <c r="R129" i="13"/>
  <c r="T104" i="16"/>
  <c r="S123" i="12"/>
  <c r="S129" i="13"/>
  <c r="U104" i="16"/>
  <c r="C109" i="16"/>
  <c r="D109" i="16"/>
  <c r="E109" i="16"/>
  <c r="F109" i="16"/>
  <c r="G109" i="16"/>
  <c r="H109" i="16"/>
  <c r="I109" i="16"/>
  <c r="J109" i="16"/>
  <c r="N109" i="16"/>
  <c r="O109" i="16"/>
  <c r="P109" i="16"/>
  <c r="Q109" i="16"/>
  <c r="R109" i="16"/>
  <c r="S109" i="16"/>
  <c r="T109" i="16"/>
  <c r="U109" i="16"/>
  <c r="C125" i="12"/>
  <c r="C113" i="16"/>
  <c r="D125" i="12"/>
  <c r="D113" i="16"/>
  <c r="E125" i="12"/>
  <c r="E113" i="16"/>
  <c r="F125" i="12"/>
  <c r="F113" i="16"/>
  <c r="G125" i="12"/>
  <c r="G113" i="16"/>
  <c r="H125" i="12"/>
  <c r="H113" i="16"/>
  <c r="I125" i="12"/>
  <c r="I113" i="16"/>
  <c r="J125" i="12"/>
  <c r="J113" i="16"/>
  <c r="L125" i="12"/>
  <c r="N113" i="16"/>
  <c r="M125" i="12"/>
  <c r="O113" i="16"/>
  <c r="N125" i="12"/>
  <c r="P113" i="16"/>
  <c r="O125" i="12"/>
  <c r="Q113" i="16"/>
  <c r="P125" i="12"/>
  <c r="R113" i="16"/>
  <c r="Q125" i="12"/>
  <c r="S113" i="16"/>
  <c r="R125" i="12"/>
  <c r="T113" i="16"/>
  <c r="S125" i="12"/>
  <c r="U113" i="16"/>
  <c r="C126" i="12"/>
  <c r="C115" i="16"/>
  <c r="D126" i="12"/>
  <c r="D115" i="16"/>
  <c r="E126" i="12"/>
  <c r="E115" i="16"/>
  <c r="F126" i="12"/>
  <c r="F115" i="16"/>
  <c r="G126" i="12"/>
  <c r="G115" i="16"/>
  <c r="H126" i="12"/>
  <c r="H115" i="16"/>
  <c r="I126" i="12"/>
  <c r="I115" i="16"/>
  <c r="J126" i="12"/>
  <c r="J115" i="16"/>
  <c r="L126" i="12"/>
  <c r="N115" i="16"/>
  <c r="M126" i="12"/>
  <c r="O115" i="16"/>
  <c r="N126" i="12"/>
  <c r="P115" i="16"/>
  <c r="O126" i="12"/>
  <c r="Q115" i="16"/>
  <c r="P126" i="12"/>
  <c r="R115" i="16"/>
  <c r="Q126" i="12"/>
  <c r="S115" i="16"/>
  <c r="R126" i="12"/>
  <c r="T115" i="16"/>
  <c r="S126" i="12"/>
  <c r="U115" i="16"/>
  <c r="C127" i="12"/>
  <c r="C117" i="16"/>
  <c r="D127" i="12"/>
  <c r="D117" i="16"/>
  <c r="E127" i="12"/>
  <c r="E117" i="16"/>
  <c r="F127" i="12"/>
  <c r="F117" i="16"/>
  <c r="G127" i="12"/>
  <c r="G117" i="16"/>
  <c r="H127" i="12"/>
  <c r="H117" i="16"/>
  <c r="I127" i="12"/>
  <c r="I117" i="16"/>
  <c r="J127" i="12"/>
  <c r="J117" i="16"/>
  <c r="L127" i="12"/>
  <c r="N117" i="16"/>
  <c r="M127" i="12"/>
  <c r="O117" i="16"/>
  <c r="N127" i="12"/>
  <c r="P117" i="16"/>
  <c r="O127" i="12"/>
  <c r="Q117" i="16"/>
  <c r="P127" i="12"/>
  <c r="R117" i="16"/>
  <c r="Q127" i="12"/>
  <c r="S117" i="16"/>
  <c r="R127" i="12"/>
  <c r="T117" i="16"/>
  <c r="S127" i="12"/>
  <c r="U117" i="16"/>
  <c r="C25" i="13"/>
  <c r="D25" i="13"/>
  <c r="E25" i="13"/>
  <c r="F25" i="13"/>
  <c r="G25" i="13"/>
  <c r="H25" i="13"/>
  <c r="I25" i="13"/>
  <c r="J25" i="13"/>
  <c r="K129" i="16"/>
  <c r="L25" i="13"/>
  <c r="M25" i="13"/>
  <c r="N25" i="13"/>
  <c r="O25" i="13"/>
  <c r="P25" i="13"/>
  <c r="Q25" i="13"/>
  <c r="R25" i="13"/>
  <c r="S25" i="13"/>
  <c r="C121" i="10"/>
  <c r="W129" i="16"/>
  <c r="C26" i="13"/>
  <c r="D26" i="13"/>
  <c r="E26" i="13"/>
  <c r="F26" i="13"/>
  <c r="G26" i="13"/>
  <c r="H26" i="13"/>
  <c r="I26" i="13"/>
  <c r="J26" i="13"/>
  <c r="K130" i="16"/>
  <c r="L26" i="13"/>
  <c r="M26" i="13"/>
  <c r="N26" i="13"/>
  <c r="O26" i="13"/>
  <c r="P26" i="13"/>
  <c r="Q26" i="13"/>
  <c r="R26" i="13"/>
  <c r="S26" i="13"/>
  <c r="C122" i="10"/>
  <c r="W130" i="16"/>
  <c r="C28" i="13"/>
  <c r="D28" i="13"/>
  <c r="E28" i="13"/>
  <c r="F28" i="13"/>
  <c r="G28" i="13"/>
  <c r="H28" i="13"/>
  <c r="I28" i="13"/>
  <c r="J28" i="13"/>
  <c r="K132" i="16"/>
  <c r="L28" i="13"/>
  <c r="M28" i="13"/>
  <c r="N28" i="13"/>
  <c r="O28" i="13"/>
  <c r="P28" i="13"/>
  <c r="Q28" i="13"/>
  <c r="R28" i="13"/>
  <c r="S28" i="13"/>
  <c r="C124" i="10"/>
  <c r="W132" i="16"/>
  <c r="C29" i="13"/>
  <c r="D29" i="13"/>
  <c r="E29" i="13"/>
  <c r="F29" i="13"/>
  <c r="G29" i="13"/>
  <c r="H29" i="13"/>
  <c r="I29" i="13"/>
  <c r="J29" i="13"/>
  <c r="K133" i="16"/>
  <c r="L29" i="13"/>
  <c r="M29" i="13"/>
  <c r="N29" i="13"/>
  <c r="O29" i="13"/>
  <c r="P29" i="13"/>
  <c r="Q29" i="13"/>
  <c r="R29" i="13"/>
  <c r="S29" i="13"/>
  <c r="C125" i="10"/>
  <c r="W133" i="16"/>
  <c r="C31" i="13"/>
  <c r="D31" i="13"/>
  <c r="E31" i="13"/>
  <c r="F31" i="13"/>
  <c r="G31" i="13"/>
  <c r="H31" i="13"/>
  <c r="I31" i="13"/>
  <c r="J31" i="13"/>
  <c r="K135" i="16"/>
  <c r="L31" i="13"/>
  <c r="M31" i="13"/>
  <c r="N31" i="13"/>
  <c r="O31" i="13"/>
  <c r="P31" i="13"/>
  <c r="Q31" i="13"/>
  <c r="R31" i="13"/>
  <c r="S31" i="13"/>
  <c r="C127" i="10"/>
  <c r="W135" i="16"/>
  <c r="C32" i="13"/>
  <c r="D32" i="13"/>
  <c r="E32" i="13"/>
  <c r="F32" i="13"/>
  <c r="G32" i="13"/>
  <c r="H32" i="13"/>
  <c r="I32" i="13"/>
  <c r="J32" i="13"/>
  <c r="K136" i="16"/>
  <c r="L32" i="13"/>
  <c r="M32" i="13"/>
  <c r="N32" i="13"/>
  <c r="O32" i="13"/>
  <c r="P32" i="13"/>
  <c r="Q32" i="13"/>
  <c r="R32" i="13"/>
  <c r="S32" i="13"/>
  <c r="C128" i="10"/>
  <c r="W136" i="16"/>
  <c r="C33" i="13"/>
  <c r="D33" i="13"/>
  <c r="E33" i="13"/>
  <c r="F33" i="13"/>
  <c r="G33" i="13"/>
  <c r="H33" i="13"/>
  <c r="I33" i="13"/>
  <c r="J33" i="13"/>
  <c r="L137" i="16"/>
  <c r="L33" i="13"/>
  <c r="M33" i="13"/>
  <c r="N33" i="13"/>
  <c r="O33" i="13"/>
  <c r="P33" i="13"/>
  <c r="Q33" i="13"/>
  <c r="R33" i="13"/>
  <c r="S33" i="13"/>
  <c r="C129" i="10"/>
  <c r="W137" i="16"/>
  <c r="C34" i="13"/>
  <c r="D34" i="13"/>
  <c r="E34" i="13"/>
  <c r="F34" i="13"/>
  <c r="G34" i="13"/>
  <c r="H34" i="13"/>
  <c r="I34" i="13"/>
  <c r="J34" i="13"/>
  <c r="K138" i="16"/>
  <c r="L34" i="13"/>
  <c r="M34" i="13"/>
  <c r="N34" i="13"/>
  <c r="O34" i="13"/>
  <c r="P34" i="13"/>
  <c r="Q34" i="13"/>
  <c r="R34" i="13"/>
  <c r="S34" i="13"/>
  <c r="C130" i="10"/>
  <c r="W138" i="16"/>
  <c r="C35" i="13"/>
  <c r="D35" i="13"/>
  <c r="E35" i="13"/>
  <c r="F35" i="13"/>
  <c r="G35" i="13"/>
  <c r="H35" i="13"/>
  <c r="I35" i="13"/>
  <c r="J35" i="13"/>
  <c r="K139" i="16"/>
  <c r="L35" i="13"/>
  <c r="M35" i="13"/>
  <c r="N35" i="13"/>
  <c r="O35" i="13"/>
  <c r="P35" i="13"/>
  <c r="Q35" i="13"/>
  <c r="R35" i="13"/>
  <c r="S35" i="13"/>
  <c r="C131" i="10"/>
  <c r="W139" i="16"/>
  <c r="C132" i="10"/>
  <c r="W140" i="16"/>
  <c r="C133" i="10"/>
  <c r="W141" i="16"/>
  <c r="C134" i="10"/>
  <c r="W142" i="16"/>
  <c r="C140" i="10"/>
  <c r="W148" i="16"/>
  <c r="C141" i="10"/>
  <c r="W149" i="16"/>
  <c r="C142" i="10"/>
  <c r="W150" i="16"/>
  <c r="C143" i="10"/>
  <c r="W151" i="16"/>
  <c r="C144" i="10"/>
  <c r="W152" i="16"/>
  <c r="C145" i="10"/>
  <c r="W153" i="16"/>
  <c r="C146" i="10"/>
  <c r="W154" i="16"/>
  <c r="C147" i="10"/>
  <c r="W155" i="16"/>
  <c r="D36" i="13"/>
  <c r="D174" i="16"/>
  <c r="E36" i="13"/>
  <c r="E174" i="16"/>
  <c r="F36" i="13"/>
  <c r="F174" i="16"/>
  <c r="G36" i="13"/>
  <c r="G174" i="16"/>
  <c r="H36" i="13"/>
  <c r="H174" i="16"/>
  <c r="I36" i="13"/>
  <c r="I174" i="16"/>
  <c r="J36" i="13"/>
  <c r="J174" i="16"/>
  <c r="L36" i="13"/>
  <c r="N174" i="16"/>
  <c r="M36" i="13"/>
  <c r="O174" i="16"/>
  <c r="N36" i="13"/>
  <c r="P174" i="16"/>
  <c r="O36" i="13"/>
  <c r="Q174" i="16"/>
  <c r="P36" i="13"/>
  <c r="R174" i="16"/>
  <c r="Q36" i="13"/>
  <c r="S174" i="16"/>
  <c r="R36" i="13"/>
  <c r="T174" i="16"/>
  <c r="S36" i="13"/>
  <c r="U174" i="16"/>
  <c r="D37" i="13"/>
  <c r="D175" i="16"/>
  <c r="E37" i="13"/>
  <c r="E175" i="16"/>
  <c r="F37" i="13"/>
  <c r="F175" i="16"/>
  <c r="G37" i="13"/>
  <c r="G175" i="16"/>
  <c r="H37" i="13"/>
  <c r="H175" i="16"/>
  <c r="I37" i="13"/>
  <c r="I175" i="16"/>
  <c r="J37" i="13"/>
  <c r="J175" i="16"/>
  <c r="L37" i="13"/>
  <c r="N175" i="16"/>
  <c r="M37" i="13"/>
  <c r="O175" i="16"/>
  <c r="N37" i="13"/>
  <c r="P175" i="16"/>
  <c r="O37" i="13"/>
  <c r="Q175" i="16"/>
  <c r="P37" i="13"/>
  <c r="R175" i="16"/>
  <c r="Q37" i="13"/>
  <c r="S175" i="16"/>
  <c r="R37" i="13"/>
  <c r="T175" i="16"/>
  <c r="S37" i="13"/>
  <c r="U175" i="16"/>
  <c r="D38" i="13"/>
  <c r="D176" i="16"/>
  <c r="E38" i="13"/>
  <c r="E176" i="16"/>
  <c r="F38" i="13"/>
  <c r="F176" i="16"/>
  <c r="G38" i="13"/>
  <c r="G176" i="16"/>
  <c r="H38" i="13"/>
  <c r="H176" i="16"/>
  <c r="I38" i="13"/>
  <c r="I176" i="16"/>
  <c r="J38" i="13"/>
  <c r="J176" i="16"/>
  <c r="L38" i="13"/>
  <c r="N176" i="16"/>
  <c r="M38" i="13"/>
  <c r="O176" i="16"/>
  <c r="N38" i="13"/>
  <c r="P176" i="16"/>
  <c r="O38" i="13"/>
  <c r="Q176" i="16"/>
  <c r="P38" i="13"/>
  <c r="R176" i="16"/>
  <c r="Q38" i="13"/>
  <c r="S176" i="16"/>
  <c r="R38" i="13"/>
  <c r="T176" i="16"/>
  <c r="S38" i="13"/>
  <c r="U176" i="16"/>
  <c r="D34" i="12"/>
  <c r="D63" i="13"/>
  <c r="D21" i="15"/>
  <c r="E34" i="12"/>
  <c r="E63" i="13"/>
  <c r="E21" i="15"/>
  <c r="F34" i="12"/>
  <c r="F63" i="13"/>
  <c r="F21" i="15"/>
  <c r="G34" i="12"/>
  <c r="G63" i="13"/>
  <c r="G21" i="15"/>
  <c r="H34" i="12"/>
  <c r="H63" i="13"/>
  <c r="H21" i="15"/>
  <c r="I34" i="12"/>
  <c r="I63" i="13"/>
  <c r="I21" i="15"/>
  <c r="J34" i="12"/>
  <c r="J63" i="13"/>
  <c r="J21" i="15"/>
  <c r="L34" i="12"/>
  <c r="L63" i="13"/>
  <c r="L21" i="15"/>
  <c r="M34" i="12"/>
  <c r="M63" i="13"/>
  <c r="M21" i="15"/>
  <c r="N34" i="12"/>
  <c r="N63" i="13"/>
  <c r="N21" i="15"/>
  <c r="O34" i="12"/>
  <c r="O63" i="13"/>
  <c r="O21" i="15"/>
  <c r="P34" i="12"/>
  <c r="P63" i="13"/>
  <c r="P21" i="15"/>
  <c r="Q34" i="12"/>
  <c r="Q63" i="13"/>
  <c r="Q21" i="15"/>
  <c r="R34" i="12"/>
  <c r="R63" i="13"/>
  <c r="R21" i="15"/>
  <c r="S34" i="12"/>
  <c r="S63" i="13"/>
  <c r="S21" i="15"/>
  <c r="D35" i="12"/>
  <c r="D64" i="13"/>
  <c r="D22" i="15"/>
  <c r="E35" i="12"/>
  <c r="E64" i="13"/>
  <c r="E22" i="15"/>
  <c r="F35" i="12"/>
  <c r="F64" i="13"/>
  <c r="F22" i="15"/>
  <c r="G35" i="12"/>
  <c r="G64" i="13"/>
  <c r="G22" i="15"/>
  <c r="H35" i="12"/>
  <c r="H64" i="13"/>
  <c r="H22" i="15"/>
  <c r="I35" i="12"/>
  <c r="I64" i="13"/>
  <c r="I22" i="15"/>
  <c r="J35" i="12"/>
  <c r="J64" i="13"/>
  <c r="J22" i="15"/>
  <c r="L35" i="12"/>
  <c r="L64" i="13"/>
  <c r="L22" i="15"/>
  <c r="M35" i="12"/>
  <c r="M64" i="13"/>
  <c r="M22" i="15"/>
  <c r="N35" i="12"/>
  <c r="N64" i="13"/>
  <c r="N22" i="15"/>
  <c r="O35" i="12"/>
  <c r="O64" i="13"/>
  <c r="O22" i="15"/>
  <c r="P35" i="12"/>
  <c r="P64" i="13"/>
  <c r="P22" i="15"/>
  <c r="Q35" i="12"/>
  <c r="Q64" i="13"/>
  <c r="Q22" i="15"/>
  <c r="R35" i="12"/>
  <c r="R64" i="13"/>
  <c r="R22" i="15"/>
  <c r="S35" i="12"/>
  <c r="S64" i="13"/>
  <c r="S22" i="15"/>
  <c r="D36" i="12"/>
  <c r="D65" i="13"/>
  <c r="D23" i="15"/>
  <c r="E36" i="12"/>
  <c r="E65" i="13"/>
  <c r="E23" i="15"/>
  <c r="F36" i="12"/>
  <c r="F65" i="13"/>
  <c r="F23" i="15"/>
  <c r="G36" i="12"/>
  <c r="G65" i="13"/>
  <c r="G23" i="15"/>
  <c r="H36" i="12"/>
  <c r="H65" i="13"/>
  <c r="H23" i="15"/>
  <c r="I36" i="12"/>
  <c r="I65" i="13"/>
  <c r="I23" i="15"/>
  <c r="J36" i="12"/>
  <c r="J65" i="13"/>
  <c r="J23" i="15"/>
  <c r="L36" i="12"/>
  <c r="L65" i="13"/>
  <c r="L23" i="15"/>
  <c r="M36" i="12"/>
  <c r="M65" i="13"/>
  <c r="M23" i="15"/>
  <c r="N36" i="12"/>
  <c r="N65" i="13"/>
  <c r="N23" i="15"/>
  <c r="O36" i="12"/>
  <c r="O65" i="13"/>
  <c r="O23" i="15"/>
  <c r="P36" i="12"/>
  <c r="P65" i="13"/>
  <c r="P23" i="15"/>
  <c r="Q36" i="12"/>
  <c r="Q65" i="13"/>
  <c r="Q23" i="15"/>
  <c r="R36" i="12"/>
  <c r="R65" i="13"/>
  <c r="R23" i="15"/>
  <c r="S36" i="12"/>
  <c r="S65" i="13"/>
  <c r="S23" i="15"/>
  <c r="C62" i="15"/>
  <c r="C77" i="15"/>
  <c r="C219" i="16"/>
  <c r="D62" i="15"/>
  <c r="D77" i="15"/>
  <c r="D219" i="16"/>
  <c r="E62" i="15"/>
  <c r="E77" i="15"/>
  <c r="E219" i="16"/>
  <c r="F62" i="15"/>
  <c r="F77" i="15"/>
  <c r="F219" i="16"/>
  <c r="G62" i="15"/>
  <c r="G77" i="15"/>
  <c r="G219" i="16"/>
  <c r="H62" i="15"/>
  <c r="H77" i="15"/>
  <c r="H219" i="16"/>
  <c r="I62" i="15"/>
  <c r="I77" i="15"/>
  <c r="I219" i="16"/>
  <c r="J62" i="15"/>
  <c r="J77" i="15"/>
  <c r="J219" i="16"/>
  <c r="L62" i="15"/>
  <c r="L77" i="15"/>
  <c r="N219" i="16"/>
  <c r="M62" i="15"/>
  <c r="M77" i="15"/>
  <c r="O219" i="16"/>
  <c r="N62" i="15"/>
  <c r="N77" i="15"/>
  <c r="P219" i="16"/>
  <c r="O62" i="15"/>
  <c r="O77" i="15"/>
  <c r="Q219" i="16"/>
  <c r="P62" i="15"/>
  <c r="P77" i="15"/>
  <c r="R219" i="16"/>
  <c r="Q62" i="15"/>
  <c r="Q77" i="15"/>
  <c r="S219" i="16"/>
  <c r="R62" i="15"/>
  <c r="R77" i="15"/>
  <c r="T219" i="16"/>
  <c r="S62" i="15"/>
  <c r="S77" i="15"/>
  <c r="U219" i="16"/>
  <c r="C63" i="15"/>
  <c r="C78" i="15"/>
  <c r="C220" i="16"/>
  <c r="D63" i="15"/>
  <c r="D78" i="15"/>
  <c r="D220" i="16"/>
  <c r="E63" i="15"/>
  <c r="E78" i="15"/>
  <c r="E220" i="16"/>
  <c r="F63" i="15"/>
  <c r="F78" i="15"/>
  <c r="F220" i="16"/>
  <c r="G63" i="15"/>
  <c r="G78" i="15"/>
  <c r="G220" i="16"/>
  <c r="H63" i="15"/>
  <c r="H78" i="15"/>
  <c r="H220" i="16"/>
  <c r="I63" i="15"/>
  <c r="I78" i="15"/>
  <c r="I220" i="16"/>
  <c r="J63" i="15"/>
  <c r="J78" i="15"/>
  <c r="J220" i="16"/>
  <c r="L63" i="15"/>
  <c r="L78" i="15"/>
  <c r="N220" i="16"/>
  <c r="M63" i="15"/>
  <c r="M78" i="15"/>
  <c r="O220" i="16"/>
  <c r="N63" i="15"/>
  <c r="N78" i="15"/>
  <c r="P220" i="16"/>
  <c r="O63" i="15"/>
  <c r="O78" i="15"/>
  <c r="Q220" i="16"/>
  <c r="P63" i="15"/>
  <c r="P78" i="15"/>
  <c r="R220" i="16"/>
  <c r="Q63" i="15"/>
  <c r="Q78" i="15"/>
  <c r="S220" i="16"/>
  <c r="R63" i="15"/>
  <c r="R78" i="15"/>
  <c r="T220" i="16"/>
  <c r="S63" i="15"/>
  <c r="S78" i="15"/>
  <c r="U220" i="16"/>
  <c r="C64" i="15"/>
  <c r="C79" i="15"/>
  <c r="C221" i="16"/>
  <c r="D64" i="15"/>
  <c r="D79" i="15"/>
  <c r="D221" i="16"/>
  <c r="E64" i="15"/>
  <c r="E79" i="15"/>
  <c r="E221" i="16"/>
  <c r="F64" i="15"/>
  <c r="F79" i="15"/>
  <c r="F221" i="16"/>
  <c r="G64" i="15"/>
  <c r="G79" i="15"/>
  <c r="G221" i="16"/>
  <c r="H64" i="15"/>
  <c r="H79" i="15"/>
  <c r="H221" i="16"/>
  <c r="I64" i="15"/>
  <c r="I79" i="15"/>
  <c r="I221" i="16"/>
  <c r="J64" i="15"/>
  <c r="J79" i="15"/>
  <c r="J221" i="16"/>
  <c r="L64" i="15"/>
  <c r="L79" i="15"/>
  <c r="N221" i="16"/>
  <c r="M64" i="15"/>
  <c r="M79" i="15"/>
  <c r="O221" i="16"/>
  <c r="N64" i="15"/>
  <c r="N79" i="15"/>
  <c r="P221" i="16"/>
  <c r="O64" i="15"/>
  <c r="O79" i="15"/>
  <c r="Q221" i="16"/>
  <c r="P64" i="15"/>
  <c r="P79" i="15"/>
  <c r="R221" i="16"/>
  <c r="Q64" i="15"/>
  <c r="Q79" i="15"/>
  <c r="S221" i="16"/>
  <c r="R64" i="15"/>
  <c r="R79" i="15"/>
  <c r="T221" i="16"/>
  <c r="S64" i="15"/>
  <c r="S79" i="15"/>
  <c r="U221" i="16"/>
  <c r="C65" i="15"/>
  <c r="C80" i="15"/>
  <c r="C222" i="16"/>
  <c r="D65" i="15"/>
  <c r="D80" i="15"/>
  <c r="D222" i="16"/>
  <c r="E65" i="15"/>
  <c r="E80" i="15"/>
  <c r="E222" i="16"/>
  <c r="F65" i="15"/>
  <c r="F80" i="15"/>
  <c r="F222" i="16"/>
  <c r="G65" i="15"/>
  <c r="G80" i="15"/>
  <c r="G222" i="16"/>
  <c r="H65" i="15"/>
  <c r="H80" i="15"/>
  <c r="H222" i="16"/>
  <c r="I65" i="15"/>
  <c r="I80" i="15"/>
  <c r="I222" i="16"/>
  <c r="J65" i="15"/>
  <c r="J80" i="15"/>
  <c r="J222" i="16"/>
  <c r="L65" i="15"/>
  <c r="L80" i="15"/>
  <c r="N222" i="16"/>
  <c r="M65" i="15"/>
  <c r="M80" i="15"/>
  <c r="O222" i="16"/>
  <c r="N65" i="15"/>
  <c r="N80" i="15"/>
  <c r="P222" i="16"/>
  <c r="O65" i="15"/>
  <c r="O80" i="15"/>
  <c r="Q222" i="16"/>
  <c r="P65" i="15"/>
  <c r="P80" i="15"/>
  <c r="R222" i="16"/>
  <c r="Q65" i="15"/>
  <c r="Q80" i="15"/>
  <c r="S222" i="16"/>
  <c r="R65" i="15"/>
  <c r="R80" i="15"/>
  <c r="T222" i="16"/>
  <c r="S65" i="15"/>
  <c r="S80" i="15"/>
  <c r="U222" i="16"/>
  <c r="C66" i="15"/>
  <c r="C81" i="15"/>
  <c r="C223" i="16"/>
  <c r="D66" i="15"/>
  <c r="D81" i="15"/>
  <c r="D223" i="16"/>
  <c r="E66" i="15"/>
  <c r="E81" i="15"/>
  <c r="E223" i="16"/>
  <c r="F66" i="15"/>
  <c r="F81" i="15"/>
  <c r="F223" i="16"/>
  <c r="G66" i="15"/>
  <c r="G81" i="15"/>
  <c r="G223" i="16"/>
  <c r="H66" i="15"/>
  <c r="H81" i="15"/>
  <c r="H223" i="16"/>
  <c r="I66" i="15"/>
  <c r="I81" i="15"/>
  <c r="I223" i="16"/>
  <c r="J66" i="15"/>
  <c r="J81" i="15"/>
  <c r="J223" i="16"/>
  <c r="L66" i="15"/>
  <c r="L81" i="15"/>
  <c r="N223" i="16"/>
  <c r="M66" i="15"/>
  <c r="M81" i="15"/>
  <c r="O223" i="16"/>
  <c r="N66" i="15"/>
  <c r="N81" i="15"/>
  <c r="P223" i="16"/>
  <c r="O66" i="15"/>
  <c r="O81" i="15"/>
  <c r="Q223" i="16"/>
  <c r="P66" i="15"/>
  <c r="P81" i="15"/>
  <c r="R223" i="16"/>
  <c r="Q66" i="15"/>
  <c r="Q81" i="15"/>
  <c r="S223" i="16"/>
  <c r="R66" i="15"/>
  <c r="R81" i="15"/>
  <c r="T223" i="16"/>
  <c r="S66" i="15"/>
  <c r="S81" i="15"/>
  <c r="U223" i="16"/>
  <c r="C67" i="15"/>
  <c r="C82" i="15"/>
  <c r="C224" i="16"/>
  <c r="D67" i="15"/>
  <c r="D82" i="15"/>
  <c r="D224" i="16"/>
  <c r="E67" i="15"/>
  <c r="E82" i="15"/>
  <c r="E224" i="16"/>
  <c r="F67" i="15"/>
  <c r="F82" i="15"/>
  <c r="F224" i="16"/>
  <c r="G67" i="15"/>
  <c r="G82" i="15"/>
  <c r="G224" i="16"/>
  <c r="H67" i="15"/>
  <c r="H82" i="15"/>
  <c r="H224" i="16"/>
  <c r="I67" i="15"/>
  <c r="I82" i="15"/>
  <c r="I224" i="16"/>
  <c r="J67" i="15"/>
  <c r="J82" i="15"/>
  <c r="J224" i="16"/>
  <c r="L67" i="15"/>
  <c r="L82" i="15"/>
  <c r="N224" i="16"/>
  <c r="M67" i="15"/>
  <c r="M82" i="15"/>
  <c r="O224" i="16"/>
  <c r="N67" i="15"/>
  <c r="N82" i="15"/>
  <c r="P224" i="16"/>
  <c r="O67" i="15"/>
  <c r="O82" i="15"/>
  <c r="Q224" i="16"/>
  <c r="P67" i="15"/>
  <c r="P82" i="15"/>
  <c r="R224" i="16"/>
  <c r="Q67" i="15"/>
  <c r="Q82" i="15"/>
  <c r="S224" i="16"/>
  <c r="R67" i="15"/>
  <c r="R82" i="15"/>
  <c r="T224" i="16"/>
  <c r="S67" i="15"/>
  <c r="S82" i="15"/>
  <c r="U224" i="16"/>
  <c r="B36" i="13"/>
  <c r="B174" i="16"/>
  <c r="G249" i="16"/>
  <c r="B37" i="13"/>
  <c r="B175" i="16"/>
  <c r="G250" i="16"/>
  <c r="G251" i="16"/>
  <c r="B42" i="12"/>
  <c r="B34" i="16"/>
  <c r="B581" i="7"/>
  <c r="B852" i="7"/>
  <c r="B12" i="8"/>
  <c r="B107" i="8"/>
  <c r="B582" i="7"/>
  <c r="B853" i="7"/>
  <c r="B606" i="7"/>
  <c r="B882" i="7"/>
  <c r="B32" i="8"/>
  <c r="B108" i="8"/>
  <c r="B583" i="7"/>
  <c r="B854" i="7"/>
  <c r="B13" i="8"/>
  <c r="B109" i="8"/>
  <c r="B584" i="7"/>
  <c r="B855" i="7"/>
  <c r="B14" i="8"/>
  <c r="B110" i="8"/>
  <c r="B585" i="7"/>
  <c r="B856" i="7"/>
  <c r="B607" i="7"/>
  <c r="B883" i="7"/>
  <c r="B33" i="8"/>
  <c r="B111" i="8"/>
  <c r="B586" i="7"/>
  <c r="B857" i="7"/>
  <c r="B15" i="8"/>
  <c r="B112" i="8"/>
  <c r="B587" i="7"/>
  <c r="B858" i="7"/>
  <c r="B608" i="7"/>
  <c r="B884" i="7"/>
  <c r="B34" i="8"/>
  <c r="B113" i="8"/>
  <c r="B588" i="7"/>
  <c r="B859" i="7"/>
  <c r="B609" i="7"/>
  <c r="B885" i="7"/>
  <c r="B35" i="8"/>
  <c r="B114" i="8"/>
  <c r="B589" i="7"/>
  <c r="B860" i="7"/>
  <c r="B610" i="7"/>
  <c r="B886" i="7"/>
  <c r="B36" i="8"/>
  <c r="B115" i="8"/>
  <c r="B590" i="7"/>
  <c r="B861" i="7"/>
  <c r="B611" i="7"/>
  <c r="B887" i="7"/>
  <c r="B627" i="7"/>
  <c r="B904" i="7"/>
  <c r="B51" i="8"/>
  <c r="B116" i="8"/>
  <c r="B591" i="7"/>
  <c r="B862" i="7"/>
  <c r="B612" i="7"/>
  <c r="B888" i="7"/>
  <c r="B628" i="7"/>
  <c r="B905" i="7"/>
  <c r="B52" i="8"/>
  <c r="B117" i="8"/>
  <c r="B592" i="7"/>
  <c r="B863" i="7"/>
  <c r="B613" i="7"/>
  <c r="B889" i="7"/>
  <c r="B629" i="7"/>
  <c r="B906" i="7"/>
  <c r="B53" i="8"/>
  <c r="B118" i="8"/>
  <c r="B593" i="7"/>
  <c r="B864" i="7"/>
  <c r="B614" i="7"/>
  <c r="B890" i="7"/>
  <c r="B630" i="7"/>
  <c r="B907" i="7"/>
  <c r="B54" i="8"/>
  <c r="B119" i="8"/>
  <c r="B594" i="7"/>
  <c r="B865" i="7"/>
  <c r="B615" i="7"/>
  <c r="B891" i="7"/>
  <c r="B631" i="7"/>
  <c r="B908" i="7"/>
  <c r="B55" i="8"/>
  <c r="B120" i="8"/>
  <c r="B821" i="7"/>
  <c r="B866" i="7"/>
  <c r="B16" i="8"/>
  <c r="B121" i="8"/>
  <c r="B822" i="7"/>
  <c r="B867" i="7"/>
  <c r="B17" i="8"/>
  <c r="B122" i="8"/>
  <c r="B823" i="7"/>
  <c r="B868" i="7"/>
  <c r="B18" i="8"/>
  <c r="B123" i="8"/>
  <c r="B824" i="7"/>
  <c r="B869" i="7"/>
  <c r="B19" i="8"/>
  <c r="B124" i="8"/>
  <c r="B825" i="7"/>
  <c r="B870" i="7"/>
  <c r="B834" i="7"/>
  <c r="B892" i="7"/>
  <c r="B843" i="7"/>
  <c r="B909" i="7"/>
  <c r="B56" i="8"/>
  <c r="B125" i="8"/>
  <c r="B141" i="8"/>
  <c r="B129" i="9"/>
  <c r="B130" i="9"/>
  <c r="B131" i="9"/>
  <c r="B132" i="9"/>
  <c r="B133" i="9"/>
  <c r="B134" i="9"/>
  <c r="B135" i="9"/>
  <c r="B136" i="9"/>
  <c r="B137" i="9"/>
  <c r="B138" i="9"/>
  <c r="B139" i="9"/>
  <c r="B140" i="9"/>
  <c r="B141" i="9"/>
  <c r="B142" i="9"/>
  <c r="B143" i="9"/>
  <c r="B144" i="9"/>
  <c r="B145" i="9"/>
  <c r="B146" i="9"/>
  <c r="B147" i="9"/>
  <c r="B155" i="9"/>
  <c r="B213" i="9"/>
  <c r="B108" i="10"/>
  <c r="K11" i="12"/>
  <c r="K42" i="12"/>
  <c r="M34" i="16"/>
  <c r="B257" i="16"/>
  <c r="B43" i="12"/>
  <c r="B35" i="16"/>
  <c r="K43" i="12"/>
  <c r="M35" i="16"/>
  <c r="B258" i="16"/>
  <c r="B44" i="12"/>
  <c r="B36" i="16"/>
  <c r="K44" i="12"/>
  <c r="M36" i="16"/>
  <c r="B259" i="16"/>
  <c r="B62" i="15"/>
  <c r="B77" i="15"/>
  <c r="B219" i="16"/>
  <c r="K77" i="15"/>
  <c r="M219" i="16"/>
  <c r="G259" i="16"/>
  <c r="B80" i="12"/>
  <c r="B37" i="16"/>
  <c r="K80" i="12"/>
  <c r="M37" i="16"/>
  <c r="B260" i="16"/>
  <c r="B105" i="12"/>
  <c r="B75" i="16"/>
  <c r="K105" i="12"/>
  <c r="M75" i="16"/>
  <c r="C260" i="16"/>
  <c r="B125" i="12"/>
  <c r="B113" i="16"/>
  <c r="K125" i="12"/>
  <c r="M113" i="16"/>
  <c r="D260" i="16"/>
  <c r="B63" i="15"/>
  <c r="B78" i="15"/>
  <c r="B220" i="16"/>
  <c r="K78" i="15"/>
  <c r="M220" i="16"/>
  <c r="G260" i="16"/>
  <c r="B46" i="12"/>
  <c r="B38" i="16"/>
  <c r="K46" i="12"/>
  <c r="M38" i="16"/>
  <c r="B261" i="16"/>
  <c r="B64" i="15"/>
  <c r="B79" i="15"/>
  <c r="B221" i="16"/>
  <c r="K79" i="15"/>
  <c r="M221" i="16"/>
  <c r="G261" i="16"/>
  <c r="B81" i="12"/>
  <c r="B39" i="16"/>
  <c r="K81" i="12"/>
  <c r="M39" i="16"/>
  <c r="B262" i="16"/>
  <c r="B106" i="12"/>
  <c r="B77" i="16"/>
  <c r="K106" i="12"/>
  <c r="M77" i="16"/>
  <c r="C262" i="16"/>
  <c r="B126" i="12"/>
  <c r="B115" i="16"/>
  <c r="K126" i="12"/>
  <c r="M115" i="16"/>
  <c r="D262" i="16"/>
  <c r="B65" i="15"/>
  <c r="B80" i="15"/>
  <c r="B222" i="16"/>
  <c r="K80" i="15"/>
  <c r="M222" i="16"/>
  <c r="G262" i="16"/>
  <c r="B66" i="15"/>
  <c r="B81" i="15"/>
  <c r="B223" i="16"/>
  <c r="K81" i="15"/>
  <c r="M223" i="16"/>
  <c r="G263" i="16"/>
  <c r="B107" i="12"/>
  <c r="B79" i="16"/>
  <c r="K107" i="12"/>
  <c r="M79" i="16"/>
  <c r="C264" i="16"/>
  <c r="B127" i="12"/>
  <c r="B117" i="16"/>
  <c r="K127" i="12"/>
  <c r="M117" i="16"/>
  <c r="D264" i="16"/>
  <c r="B67" i="15"/>
  <c r="B82" i="15"/>
  <c r="B224" i="16"/>
  <c r="K82" i="15"/>
  <c r="M224" i="16"/>
  <c r="G264" i="16"/>
  <c r="B26" i="13"/>
  <c r="B28" i="13"/>
  <c r="B29" i="13"/>
  <c r="B31" i="13"/>
  <c r="B32" i="13"/>
  <c r="B33" i="13"/>
  <c r="B34" i="13"/>
  <c r="B35" i="13"/>
  <c r="K140" i="16"/>
  <c r="K141" i="16"/>
  <c r="B38" i="13"/>
  <c r="B176" i="16"/>
  <c r="K148" i="16"/>
  <c r="K149" i="16"/>
  <c r="K150" i="16"/>
  <c r="K151" i="16"/>
  <c r="K152" i="16"/>
  <c r="K153" i="16"/>
  <c r="B48" i="12"/>
  <c r="B40" i="16"/>
  <c r="K48" i="12"/>
  <c r="M40" i="16"/>
  <c r="B263" i="16"/>
  <c r="B82" i="12"/>
  <c r="B41" i="16"/>
  <c r="K82" i="12"/>
  <c r="M41" i="16"/>
  <c r="B264" i="16"/>
  <c r="B25" i="13"/>
  <c r="B10" i="18"/>
  <c r="M19" i="18"/>
  <c r="B53" i="18"/>
  <c r="B147" i="18"/>
  <c r="B231" i="18"/>
  <c r="B61" i="12"/>
  <c r="B79" i="13"/>
  <c r="B15" i="16"/>
  <c r="K61" i="12"/>
  <c r="K79" i="13"/>
  <c r="M15" i="16"/>
  <c r="B34" i="18"/>
  <c r="B238" i="16"/>
  <c r="B128" i="18"/>
  <c r="B212" i="18"/>
  <c r="B62" i="12"/>
  <c r="B80" i="13"/>
  <c r="B16" i="16"/>
  <c r="K62" i="12"/>
  <c r="K80" i="13"/>
  <c r="M16" i="16"/>
  <c r="B35" i="18"/>
  <c r="B239" i="16"/>
  <c r="B129" i="18"/>
  <c r="B213" i="18"/>
  <c r="B63" i="12"/>
  <c r="B81" i="13"/>
  <c r="B17" i="16"/>
  <c r="K63" i="12"/>
  <c r="K81" i="13"/>
  <c r="M17" i="16"/>
  <c r="B36" i="18"/>
  <c r="B240" i="16"/>
  <c r="B130" i="18"/>
  <c r="B214" i="18"/>
  <c r="B64" i="12"/>
  <c r="B82" i="13"/>
  <c r="B18" i="16"/>
  <c r="K64" i="12"/>
  <c r="K82" i="13"/>
  <c r="M18" i="16"/>
  <c r="B37" i="18"/>
  <c r="B241" i="16"/>
  <c r="B131" i="18"/>
  <c r="B215" i="18"/>
  <c r="B65" i="12"/>
  <c r="B83" i="13"/>
  <c r="B19" i="16"/>
  <c r="K65" i="12"/>
  <c r="K83" i="13"/>
  <c r="M19" i="16"/>
  <c r="B38" i="18"/>
  <c r="B242" i="16"/>
  <c r="B132" i="18"/>
  <c r="B216" i="18"/>
  <c r="B66" i="12"/>
  <c r="B84" i="13"/>
  <c r="B20" i="16"/>
  <c r="K66" i="12"/>
  <c r="K84" i="13"/>
  <c r="M20" i="16"/>
  <c r="B39" i="18"/>
  <c r="B243" i="16"/>
  <c r="B133" i="18"/>
  <c r="B217" i="18"/>
  <c r="B67" i="12"/>
  <c r="B85" i="13"/>
  <c r="B21" i="16"/>
  <c r="K67" i="12"/>
  <c r="K85" i="13"/>
  <c r="M21" i="16"/>
  <c r="B40" i="18"/>
  <c r="B244" i="16"/>
  <c r="B134" i="18"/>
  <c r="B218" i="18"/>
  <c r="B68" i="12"/>
  <c r="B86" i="13"/>
  <c r="B22" i="16"/>
  <c r="K68" i="12"/>
  <c r="K86" i="13"/>
  <c r="M22" i="16"/>
  <c r="B41" i="18"/>
  <c r="B245" i="16"/>
  <c r="B135" i="18"/>
  <c r="B219" i="18"/>
  <c r="B69" i="12"/>
  <c r="B87" i="13"/>
  <c r="B23" i="16"/>
  <c r="K69" i="12"/>
  <c r="K87" i="13"/>
  <c r="M23" i="16"/>
  <c r="B42" i="18"/>
  <c r="B246" i="16"/>
  <c r="B136" i="18"/>
  <c r="B220" i="18"/>
  <c r="B70" i="12"/>
  <c r="B88" i="13"/>
  <c r="B24" i="16"/>
  <c r="K70" i="12"/>
  <c r="K88" i="13"/>
  <c r="M24" i="16"/>
  <c r="B43" i="18"/>
  <c r="B247" i="16"/>
  <c r="B137" i="18"/>
  <c r="B221" i="18"/>
  <c r="B71" i="12"/>
  <c r="B89" i="13"/>
  <c r="B25" i="16"/>
  <c r="K71" i="12"/>
  <c r="K89" i="13"/>
  <c r="M25" i="16"/>
  <c r="B44" i="18"/>
  <c r="B248" i="16"/>
  <c r="B138" i="18"/>
  <c r="B222" i="18"/>
  <c r="B72" i="12"/>
  <c r="B90" i="13"/>
  <c r="B26" i="16"/>
  <c r="C72" i="12"/>
  <c r="C90" i="13"/>
  <c r="C26" i="16"/>
  <c r="K72" i="12"/>
  <c r="K90" i="13"/>
  <c r="M26" i="16"/>
  <c r="B45" i="18"/>
  <c r="B249" i="16"/>
  <c r="B139" i="18"/>
  <c r="B223" i="18"/>
  <c r="B73" i="12"/>
  <c r="B91" i="13"/>
  <c r="B27" i="16"/>
  <c r="C73" i="12"/>
  <c r="C91" i="13"/>
  <c r="C27" i="16"/>
  <c r="K73" i="12"/>
  <c r="K91" i="13"/>
  <c r="M27" i="16"/>
  <c r="B46" i="18"/>
  <c r="B250" i="16"/>
  <c r="B140" i="18"/>
  <c r="B224" i="18"/>
  <c r="B74" i="12"/>
  <c r="B92" i="13"/>
  <c r="B28" i="16"/>
  <c r="C74" i="12"/>
  <c r="C92" i="13"/>
  <c r="C28" i="16"/>
  <c r="K74" i="12"/>
  <c r="K92" i="13"/>
  <c r="M28" i="16"/>
  <c r="B47" i="18"/>
  <c r="B251" i="16"/>
  <c r="B141" i="18"/>
  <c r="B225" i="18"/>
  <c r="B75" i="12"/>
  <c r="B29" i="16"/>
  <c r="K75" i="12"/>
  <c r="M29" i="16"/>
  <c r="K90" i="10"/>
  <c r="K99" i="10"/>
  <c r="B156" i="10"/>
  <c r="V29" i="16"/>
  <c r="B48" i="18"/>
  <c r="B252" i="16"/>
  <c r="B142" i="18"/>
  <c r="B226" i="18"/>
  <c r="B76" i="12"/>
  <c r="B30" i="16"/>
  <c r="K76" i="12"/>
  <c r="M30" i="16"/>
  <c r="B157" i="10"/>
  <c r="V30" i="16"/>
  <c r="B49" i="18"/>
  <c r="B253" i="16"/>
  <c r="B143" i="18"/>
  <c r="B227" i="18"/>
  <c r="B77" i="12"/>
  <c r="B31" i="16"/>
  <c r="K77" i="12"/>
  <c r="M31" i="16"/>
  <c r="B158" i="10"/>
  <c r="V31" i="16"/>
  <c r="B50" i="18"/>
  <c r="B254" i="16"/>
  <c r="B144" i="18"/>
  <c r="B228" i="18"/>
  <c r="B78" i="12"/>
  <c r="B32" i="16"/>
  <c r="K78" i="12"/>
  <c r="M32" i="16"/>
  <c r="B159" i="10"/>
  <c r="V32" i="16"/>
  <c r="B51" i="18"/>
  <c r="B255" i="16"/>
  <c r="B145" i="18"/>
  <c r="B229" i="18"/>
  <c r="B79" i="12"/>
  <c r="B33" i="16"/>
  <c r="K79" i="12"/>
  <c r="M33" i="16"/>
  <c r="B160" i="10"/>
  <c r="V33" i="16"/>
  <c r="B52" i="18"/>
  <c r="B256" i="16"/>
  <c r="B146" i="18"/>
  <c r="B230" i="18"/>
  <c r="B54" i="18"/>
  <c r="B148" i="18"/>
  <c r="B232" i="18"/>
  <c r="B55" i="18"/>
  <c r="B149" i="18"/>
  <c r="B233" i="18"/>
  <c r="B56" i="18"/>
  <c r="B150" i="18"/>
  <c r="B234" i="18"/>
  <c r="B57" i="18"/>
  <c r="B151" i="18"/>
  <c r="B235" i="18"/>
  <c r="B58" i="18"/>
  <c r="B152" i="18"/>
  <c r="B236" i="18"/>
  <c r="B59" i="18"/>
  <c r="B153" i="18"/>
  <c r="B237" i="18"/>
  <c r="B60" i="18"/>
  <c r="B154" i="18"/>
  <c r="B238" i="18"/>
  <c r="B94" i="12"/>
  <c r="B106" i="13"/>
  <c r="B54" i="16"/>
  <c r="K94" i="12"/>
  <c r="K106" i="13"/>
  <c r="M54" i="16"/>
  <c r="C35" i="18"/>
  <c r="C239" i="16"/>
  <c r="C129" i="18"/>
  <c r="B240" i="18"/>
  <c r="B95" i="12"/>
  <c r="B107" i="13"/>
  <c r="B57" i="16"/>
  <c r="K95" i="12"/>
  <c r="K107" i="13"/>
  <c r="M57" i="16"/>
  <c r="C38" i="18"/>
  <c r="C242" i="16"/>
  <c r="C132" i="18"/>
  <c r="B243" i="18"/>
  <c r="B96" i="12"/>
  <c r="B108" i="13"/>
  <c r="B59" i="16"/>
  <c r="K96" i="12"/>
  <c r="K108" i="13"/>
  <c r="M59" i="16"/>
  <c r="C40" i="18"/>
  <c r="C244" i="16"/>
  <c r="C134" i="18"/>
  <c r="B245" i="18"/>
  <c r="B97" i="12"/>
  <c r="B109" i="13"/>
  <c r="B60" i="16"/>
  <c r="K97" i="12"/>
  <c r="K109" i="13"/>
  <c r="M60" i="16"/>
  <c r="C41" i="18"/>
  <c r="C245" i="16"/>
  <c r="C135" i="18"/>
  <c r="B246" i="18"/>
  <c r="B98" i="12"/>
  <c r="B110" i="13"/>
  <c r="B61" i="16"/>
  <c r="K98" i="12"/>
  <c r="K110" i="13"/>
  <c r="M61" i="16"/>
  <c r="C42" i="18"/>
  <c r="C246" i="16"/>
  <c r="C136" i="18"/>
  <c r="B247" i="18"/>
  <c r="B99" i="12"/>
  <c r="B111" i="13"/>
  <c r="B62" i="16"/>
  <c r="K99" i="12"/>
  <c r="K111" i="13"/>
  <c r="M62" i="16"/>
  <c r="C43" i="18"/>
  <c r="C247" i="16"/>
  <c r="C137" i="18"/>
  <c r="B248" i="18"/>
  <c r="B100" i="12"/>
  <c r="B112" i="13"/>
  <c r="B63" i="16"/>
  <c r="K100" i="12"/>
  <c r="K112" i="13"/>
  <c r="M63" i="16"/>
  <c r="C44" i="18"/>
  <c r="C248" i="16"/>
  <c r="C138" i="18"/>
  <c r="B249" i="18"/>
  <c r="B101" i="12"/>
  <c r="B113" i="13"/>
  <c r="B64" i="16"/>
  <c r="C101" i="12"/>
  <c r="C113" i="13"/>
  <c r="C64" i="16"/>
  <c r="K101" i="12"/>
  <c r="K113" i="13"/>
  <c r="M64" i="16"/>
  <c r="C45" i="18"/>
  <c r="C249" i="16"/>
  <c r="C139" i="18"/>
  <c r="B250" i="18"/>
  <c r="B102" i="12"/>
  <c r="B114" i="13"/>
  <c r="B65" i="16"/>
  <c r="C102" i="12"/>
  <c r="C114" i="13"/>
  <c r="C65" i="16"/>
  <c r="K102" i="12"/>
  <c r="K114" i="13"/>
  <c r="M65" i="16"/>
  <c r="C46" i="18"/>
  <c r="C250" i="16"/>
  <c r="C140" i="18"/>
  <c r="B251" i="18"/>
  <c r="B103" i="12"/>
  <c r="B115" i="13"/>
  <c r="B66" i="16"/>
  <c r="C103" i="12"/>
  <c r="C115" i="13"/>
  <c r="C66" i="16"/>
  <c r="K103" i="12"/>
  <c r="K115" i="13"/>
  <c r="M66" i="16"/>
  <c r="C47" i="18"/>
  <c r="C251" i="16"/>
  <c r="C141" i="18"/>
  <c r="B252" i="18"/>
  <c r="B104" i="12"/>
  <c r="B71" i="16"/>
  <c r="K104" i="12"/>
  <c r="M71" i="16"/>
  <c r="V71" i="16"/>
  <c r="C52" i="18"/>
  <c r="C256" i="16"/>
  <c r="C146" i="18"/>
  <c r="B257" i="18"/>
  <c r="C56" i="18"/>
  <c r="C150" i="18"/>
  <c r="B261" i="18"/>
  <c r="C58" i="18"/>
  <c r="C152" i="18"/>
  <c r="B263" i="18"/>
  <c r="C60" i="18"/>
  <c r="C154" i="18"/>
  <c r="B265" i="18"/>
  <c r="B119" i="12"/>
  <c r="B125" i="13"/>
  <c r="B100" i="16"/>
  <c r="K119" i="12"/>
  <c r="K125" i="13"/>
  <c r="M100" i="16"/>
  <c r="D43" i="18"/>
  <c r="D247" i="16"/>
  <c r="D137" i="18"/>
  <c r="B275" i="18"/>
  <c r="B120" i="12"/>
  <c r="B126" i="13"/>
  <c r="B101" i="16"/>
  <c r="K120" i="12"/>
  <c r="K126" i="13"/>
  <c r="M101" i="16"/>
  <c r="D44" i="18"/>
  <c r="D248" i="16"/>
  <c r="D138" i="18"/>
  <c r="B276" i="18"/>
  <c r="B121" i="12"/>
  <c r="B127" i="13"/>
  <c r="B102" i="16"/>
  <c r="C121" i="12"/>
  <c r="C127" i="13"/>
  <c r="C102" i="16"/>
  <c r="K121" i="12"/>
  <c r="K127" i="13"/>
  <c r="M102" i="16"/>
  <c r="D45" i="18"/>
  <c r="D249" i="16"/>
  <c r="D139" i="18"/>
  <c r="B277" i="18"/>
  <c r="B122" i="12"/>
  <c r="B128" i="13"/>
  <c r="B103" i="16"/>
  <c r="C122" i="12"/>
  <c r="C128" i="13"/>
  <c r="C103" i="16"/>
  <c r="K122" i="12"/>
  <c r="K128" i="13"/>
  <c r="M103" i="16"/>
  <c r="D46" i="18"/>
  <c r="D250" i="16"/>
  <c r="D140" i="18"/>
  <c r="B278" i="18"/>
  <c r="B123" i="12"/>
  <c r="B129" i="13"/>
  <c r="B104" i="16"/>
  <c r="C123" i="12"/>
  <c r="C129" i="13"/>
  <c r="C104" i="16"/>
  <c r="K123" i="12"/>
  <c r="K129" i="13"/>
  <c r="M104" i="16"/>
  <c r="D47" i="18"/>
  <c r="D251" i="16"/>
  <c r="D141" i="18"/>
  <c r="B279" i="18"/>
  <c r="B124" i="12"/>
  <c r="B109" i="16"/>
  <c r="K124" i="12"/>
  <c r="M109" i="16"/>
  <c r="V109" i="16"/>
  <c r="D52" i="18"/>
  <c r="D256" i="16"/>
  <c r="D146" i="18"/>
  <c r="B284" i="18"/>
  <c r="D56" i="18"/>
  <c r="D150" i="18"/>
  <c r="B288" i="18"/>
  <c r="D58" i="18"/>
  <c r="D152" i="18"/>
  <c r="B290" i="18"/>
  <c r="D60" i="18"/>
  <c r="D154" i="18"/>
  <c r="B292" i="18"/>
  <c r="J89" i="14"/>
  <c r="J129" i="16"/>
  <c r="K11" i="13"/>
  <c r="K25" i="13"/>
  <c r="K89" i="14"/>
  <c r="M129" i="16"/>
  <c r="L89" i="14"/>
  <c r="N129" i="16"/>
  <c r="M89" i="14"/>
  <c r="O129" i="16"/>
  <c r="N89" i="14"/>
  <c r="P129" i="16"/>
  <c r="O89" i="14"/>
  <c r="Q129" i="16"/>
  <c r="P89" i="14"/>
  <c r="R129" i="16"/>
  <c r="Q89" i="14"/>
  <c r="S129" i="16"/>
  <c r="R89" i="14"/>
  <c r="T129" i="16"/>
  <c r="S89" i="14"/>
  <c r="U129" i="16"/>
  <c r="B121" i="10"/>
  <c r="V129" i="16"/>
  <c r="E34" i="18"/>
  <c r="E128" i="18"/>
  <c r="B293" i="18"/>
  <c r="J90" i="14"/>
  <c r="J130" i="16"/>
  <c r="K26" i="13"/>
  <c r="K90" i="14"/>
  <c r="M130" i="16"/>
  <c r="L90" i="14"/>
  <c r="N130" i="16"/>
  <c r="M90" i="14"/>
  <c r="O130" i="16"/>
  <c r="N90" i="14"/>
  <c r="P130" i="16"/>
  <c r="O90" i="14"/>
  <c r="Q130" i="16"/>
  <c r="P90" i="14"/>
  <c r="R130" i="16"/>
  <c r="Q90" i="14"/>
  <c r="S130" i="16"/>
  <c r="R90" i="14"/>
  <c r="T130" i="16"/>
  <c r="S90" i="14"/>
  <c r="U130" i="16"/>
  <c r="B122" i="10"/>
  <c r="V130" i="16"/>
  <c r="E35" i="18"/>
  <c r="E129" i="18"/>
  <c r="B294" i="18"/>
  <c r="J91" i="14"/>
  <c r="J132" i="16"/>
  <c r="K28" i="13"/>
  <c r="K91" i="14"/>
  <c r="M132" i="16"/>
  <c r="L91" i="14"/>
  <c r="N132" i="16"/>
  <c r="M91" i="14"/>
  <c r="O132" i="16"/>
  <c r="N91" i="14"/>
  <c r="P132" i="16"/>
  <c r="O91" i="14"/>
  <c r="Q132" i="16"/>
  <c r="P91" i="14"/>
  <c r="R132" i="16"/>
  <c r="Q91" i="14"/>
  <c r="S132" i="16"/>
  <c r="R91" i="14"/>
  <c r="T132" i="16"/>
  <c r="S91" i="14"/>
  <c r="U132" i="16"/>
  <c r="B124" i="10"/>
  <c r="V132" i="16"/>
  <c r="E37" i="18"/>
  <c r="E131" i="18"/>
  <c r="B296" i="18"/>
  <c r="J92" i="14"/>
  <c r="J133" i="16"/>
  <c r="K29" i="13"/>
  <c r="K92" i="14"/>
  <c r="M133" i="16"/>
  <c r="L92" i="14"/>
  <c r="N133" i="16"/>
  <c r="M92" i="14"/>
  <c r="O133" i="16"/>
  <c r="N92" i="14"/>
  <c r="P133" i="16"/>
  <c r="O92" i="14"/>
  <c r="Q133" i="16"/>
  <c r="P92" i="14"/>
  <c r="R133" i="16"/>
  <c r="Q92" i="14"/>
  <c r="S133" i="16"/>
  <c r="R92" i="14"/>
  <c r="T133" i="16"/>
  <c r="S92" i="14"/>
  <c r="U133" i="16"/>
  <c r="B125" i="10"/>
  <c r="V133" i="16"/>
  <c r="E38" i="18"/>
  <c r="E132" i="18"/>
  <c r="B297" i="18"/>
  <c r="J93" i="14"/>
  <c r="J135" i="16"/>
  <c r="K31" i="13"/>
  <c r="K93" i="14"/>
  <c r="M135" i="16"/>
  <c r="L93" i="14"/>
  <c r="N135" i="16"/>
  <c r="M93" i="14"/>
  <c r="O135" i="16"/>
  <c r="N93" i="14"/>
  <c r="P135" i="16"/>
  <c r="O93" i="14"/>
  <c r="Q135" i="16"/>
  <c r="P93" i="14"/>
  <c r="R135" i="16"/>
  <c r="Q93" i="14"/>
  <c r="S135" i="16"/>
  <c r="R93" i="14"/>
  <c r="T135" i="16"/>
  <c r="S93" i="14"/>
  <c r="U135" i="16"/>
  <c r="B127" i="10"/>
  <c r="V135" i="16"/>
  <c r="E40" i="18"/>
  <c r="E134" i="18"/>
  <c r="B299" i="18"/>
  <c r="J94" i="14"/>
  <c r="J136" i="16"/>
  <c r="K32" i="13"/>
  <c r="K94" i="14"/>
  <c r="M136" i="16"/>
  <c r="L94" i="14"/>
  <c r="N136" i="16"/>
  <c r="M94" i="14"/>
  <c r="O136" i="16"/>
  <c r="N94" i="14"/>
  <c r="P136" i="16"/>
  <c r="O94" i="14"/>
  <c r="Q136" i="16"/>
  <c r="P94" i="14"/>
  <c r="R136" i="16"/>
  <c r="Q94" i="14"/>
  <c r="S136" i="16"/>
  <c r="R94" i="14"/>
  <c r="T136" i="16"/>
  <c r="S94" i="14"/>
  <c r="U136" i="16"/>
  <c r="B128" i="10"/>
  <c r="V136" i="16"/>
  <c r="E41" i="18"/>
  <c r="E135" i="18"/>
  <c r="B300" i="18"/>
  <c r="J95" i="14"/>
  <c r="J137" i="16"/>
  <c r="K33" i="13"/>
  <c r="K95" i="14"/>
  <c r="M137" i="16"/>
  <c r="L95" i="14"/>
  <c r="N137" i="16"/>
  <c r="M95" i="14"/>
  <c r="O137" i="16"/>
  <c r="N95" i="14"/>
  <c r="P137" i="16"/>
  <c r="O95" i="14"/>
  <c r="Q137" i="16"/>
  <c r="P95" i="14"/>
  <c r="R137" i="16"/>
  <c r="Q95" i="14"/>
  <c r="S137" i="16"/>
  <c r="R95" i="14"/>
  <c r="T137" i="16"/>
  <c r="S95" i="14"/>
  <c r="U137" i="16"/>
  <c r="B129" i="10"/>
  <c r="V137" i="16"/>
  <c r="E42" i="18"/>
  <c r="E136" i="18"/>
  <c r="B301" i="18"/>
  <c r="J96" i="14"/>
  <c r="J138" i="16"/>
  <c r="K34" i="13"/>
  <c r="K96" i="14"/>
  <c r="M138" i="16"/>
  <c r="L96" i="14"/>
  <c r="N138" i="16"/>
  <c r="M96" i="14"/>
  <c r="O138" i="16"/>
  <c r="N96" i="14"/>
  <c r="P138" i="16"/>
  <c r="O96" i="14"/>
  <c r="Q138" i="16"/>
  <c r="P96" i="14"/>
  <c r="R138" i="16"/>
  <c r="Q96" i="14"/>
  <c r="S138" i="16"/>
  <c r="R96" i="14"/>
  <c r="T138" i="16"/>
  <c r="S96" i="14"/>
  <c r="U138" i="16"/>
  <c r="B130" i="10"/>
  <c r="V138" i="16"/>
  <c r="E43" i="18"/>
  <c r="E137" i="18"/>
  <c r="B302" i="18"/>
  <c r="J97" i="14"/>
  <c r="J139" i="16"/>
  <c r="K35" i="13"/>
  <c r="K97" i="14"/>
  <c r="M139" i="16"/>
  <c r="L97" i="14"/>
  <c r="N139" i="16"/>
  <c r="M97" i="14"/>
  <c r="O139" i="16"/>
  <c r="N97" i="14"/>
  <c r="P139" i="16"/>
  <c r="O97" i="14"/>
  <c r="Q139" i="16"/>
  <c r="P97" i="14"/>
  <c r="R139" i="16"/>
  <c r="Q97" i="14"/>
  <c r="S139" i="16"/>
  <c r="R97" i="14"/>
  <c r="T139" i="16"/>
  <c r="S97" i="14"/>
  <c r="U139" i="16"/>
  <c r="B131" i="10"/>
  <c r="V139" i="16"/>
  <c r="E44" i="18"/>
  <c r="E138" i="18"/>
  <c r="B303" i="18"/>
  <c r="B132" i="10"/>
  <c r="V140" i="16"/>
  <c r="E45" i="18"/>
  <c r="E139" i="18"/>
  <c r="B304" i="18"/>
  <c r="B133" i="10"/>
  <c r="V141" i="16"/>
  <c r="E46" i="18"/>
  <c r="E140" i="18"/>
  <c r="B305" i="18"/>
  <c r="B134" i="10"/>
  <c r="V142" i="16"/>
  <c r="E47" i="18"/>
  <c r="E141" i="18"/>
  <c r="B306" i="18"/>
  <c r="B140" i="10"/>
  <c r="V148" i="16"/>
  <c r="E53" i="18"/>
  <c r="E147" i="18"/>
  <c r="B312" i="18"/>
  <c r="B141" i="10"/>
  <c r="V149" i="16"/>
  <c r="E54" i="18"/>
  <c r="E148" i="18"/>
  <c r="B313" i="18"/>
  <c r="B142" i="10"/>
  <c r="V150" i="16"/>
  <c r="E55" i="18"/>
  <c r="E149" i="18"/>
  <c r="B314" i="18"/>
  <c r="B143" i="10"/>
  <c r="V151" i="16"/>
  <c r="E56" i="18"/>
  <c r="E150" i="18"/>
  <c r="B315" i="18"/>
  <c r="B144" i="10"/>
  <c r="V152" i="16"/>
  <c r="E57" i="18"/>
  <c r="E151" i="18"/>
  <c r="B316" i="18"/>
  <c r="B145" i="10"/>
  <c r="V153" i="16"/>
  <c r="E58" i="18"/>
  <c r="E152" i="18"/>
  <c r="B317" i="18"/>
  <c r="B146" i="10"/>
  <c r="V154" i="16"/>
  <c r="E59" i="18"/>
  <c r="E153" i="18"/>
  <c r="B318" i="18"/>
  <c r="B147" i="10"/>
  <c r="V155" i="16"/>
  <c r="E60" i="18"/>
  <c r="E154" i="18"/>
  <c r="B319" i="18"/>
  <c r="K36" i="13"/>
  <c r="M174" i="16"/>
  <c r="F45" i="18"/>
  <c r="F139" i="18"/>
  <c r="B331" i="18"/>
  <c r="K37" i="13"/>
  <c r="M175" i="16"/>
  <c r="F46" i="18"/>
  <c r="F140" i="18"/>
  <c r="B332" i="18"/>
  <c r="K38" i="13"/>
  <c r="M176" i="16"/>
  <c r="F47" i="18"/>
  <c r="F141" i="18"/>
  <c r="B333" i="18"/>
  <c r="G139" i="18"/>
  <c r="B358" i="18"/>
  <c r="G140" i="18"/>
  <c r="B359" i="18"/>
  <c r="G141" i="18"/>
  <c r="B360" i="18"/>
  <c r="G55" i="18"/>
  <c r="G149" i="18"/>
  <c r="B368" i="18"/>
  <c r="G56" i="18"/>
  <c r="G150" i="18"/>
  <c r="B369" i="18"/>
  <c r="G57" i="18"/>
  <c r="G151" i="18"/>
  <c r="B370" i="18"/>
  <c r="G58" i="18"/>
  <c r="G152" i="18"/>
  <c r="B371" i="18"/>
  <c r="G59" i="18"/>
  <c r="G153" i="18"/>
  <c r="B372" i="18"/>
  <c r="G60" i="18"/>
  <c r="G154" i="18"/>
  <c r="B373" i="18"/>
  <c r="F231" i="18"/>
  <c r="H231" i="18"/>
  <c r="F212" i="18"/>
  <c r="H212" i="18"/>
  <c r="F213" i="18"/>
  <c r="H213" i="18"/>
  <c r="F214" i="18"/>
  <c r="H214" i="18"/>
  <c r="F215" i="18"/>
  <c r="H215" i="18"/>
  <c r="F216" i="18"/>
  <c r="H216" i="18"/>
  <c r="F217" i="18"/>
  <c r="H217" i="18"/>
  <c r="F218" i="18"/>
  <c r="H218" i="18"/>
  <c r="F219" i="18"/>
  <c r="H219" i="18"/>
  <c r="F220" i="18"/>
  <c r="H220" i="18"/>
  <c r="F221" i="18"/>
  <c r="H221" i="18"/>
  <c r="F222" i="18"/>
  <c r="H222" i="18"/>
  <c r="F223" i="18"/>
  <c r="H223" i="18"/>
  <c r="F224" i="18"/>
  <c r="H224" i="18"/>
  <c r="F225" i="18"/>
  <c r="H225" i="18"/>
  <c r="F226" i="18"/>
  <c r="H226" i="18"/>
  <c r="F227" i="18"/>
  <c r="H227" i="18"/>
  <c r="F228" i="18"/>
  <c r="H228" i="18"/>
  <c r="F229" i="18"/>
  <c r="H229" i="18"/>
  <c r="F230" i="18"/>
  <c r="H230" i="18"/>
  <c r="F232" i="18"/>
  <c r="H232" i="18"/>
  <c r="F233" i="18"/>
  <c r="H233" i="18"/>
  <c r="F234" i="18"/>
  <c r="H234" i="18"/>
  <c r="F235" i="18"/>
  <c r="H235" i="18"/>
  <c r="F236" i="18"/>
  <c r="H236" i="18"/>
  <c r="F237" i="18"/>
  <c r="H237" i="18"/>
  <c r="F238" i="18"/>
  <c r="H238" i="18"/>
  <c r="F239" i="18"/>
  <c r="H239" i="18"/>
  <c r="F240" i="18"/>
  <c r="H240" i="18"/>
  <c r="F241" i="18"/>
  <c r="H241" i="18"/>
  <c r="F242" i="18"/>
  <c r="H242" i="18"/>
  <c r="F243" i="18"/>
  <c r="H243" i="18"/>
  <c r="F244" i="18"/>
  <c r="H244" i="18"/>
  <c r="F245" i="18"/>
  <c r="H245" i="18"/>
  <c r="F246" i="18"/>
  <c r="H246" i="18"/>
  <c r="F247" i="18"/>
  <c r="H247" i="18"/>
  <c r="F248" i="18"/>
  <c r="H248" i="18"/>
  <c r="F249" i="18"/>
  <c r="H249" i="18"/>
  <c r="F250" i="18"/>
  <c r="H250" i="18"/>
  <c r="F251" i="18"/>
  <c r="H251" i="18"/>
  <c r="F252" i="18"/>
  <c r="H252" i="18"/>
  <c r="F253" i="18"/>
  <c r="H253" i="18"/>
  <c r="F254" i="18"/>
  <c r="H254" i="18"/>
  <c r="F255" i="18"/>
  <c r="H255" i="18"/>
  <c r="F256" i="18"/>
  <c r="H256" i="18"/>
  <c r="F257" i="18"/>
  <c r="H257" i="18"/>
  <c r="F258" i="18"/>
  <c r="H258" i="18"/>
  <c r="F259" i="18"/>
  <c r="H259" i="18"/>
  <c r="F260" i="18"/>
  <c r="H260" i="18"/>
  <c r="F261" i="18"/>
  <c r="H261" i="18"/>
  <c r="F262" i="18"/>
  <c r="H262" i="18"/>
  <c r="F263" i="18"/>
  <c r="H263" i="18"/>
  <c r="F264" i="18"/>
  <c r="H264" i="18"/>
  <c r="F265" i="18"/>
  <c r="H265" i="18"/>
  <c r="F266" i="18"/>
  <c r="H266" i="18"/>
  <c r="F267" i="18"/>
  <c r="H267" i="18"/>
  <c r="F268" i="18"/>
  <c r="H268" i="18"/>
  <c r="F269" i="18"/>
  <c r="H269" i="18"/>
  <c r="F270" i="18"/>
  <c r="H270" i="18"/>
  <c r="F271" i="18"/>
  <c r="H271" i="18"/>
  <c r="F272" i="18"/>
  <c r="H272" i="18"/>
  <c r="F273" i="18"/>
  <c r="H273" i="18"/>
  <c r="F274" i="18"/>
  <c r="H274" i="18"/>
  <c r="F275" i="18"/>
  <c r="H275" i="18"/>
  <c r="F276" i="18"/>
  <c r="H276" i="18"/>
  <c r="F277" i="18"/>
  <c r="H277" i="18"/>
  <c r="F278" i="18"/>
  <c r="H278" i="18"/>
  <c r="F279" i="18"/>
  <c r="H279" i="18"/>
  <c r="F280" i="18"/>
  <c r="H280" i="18"/>
  <c r="F281" i="18"/>
  <c r="H281" i="18"/>
  <c r="F282" i="18"/>
  <c r="H282" i="18"/>
  <c r="F283" i="18"/>
  <c r="H283" i="18"/>
  <c r="F284" i="18"/>
  <c r="H284" i="18"/>
  <c r="F285" i="18"/>
  <c r="H285" i="18"/>
  <c r="F286" i="18"/>
  <c r="H286" i="18"/>
  <c r="F287" i="18"/>
  <c r="H287" i="18"/>
  <c r="F288" i="18"/>
  <c r="H288" i="18"/>
  <c r="F289" i="18"/>
  <c r="H289" i="18"/>
  <c r="F290" i="18"/>
  <c r="H290" i="18"/>
  <c r="F291" i="18"/>
  <c r="H291" i="18"/>
  <c r="F292" i="18"/>
  <c r="H292" i="18"/>
  <c r="F293" i="18"/>
  <c r="H293" i="18"/>
  <c r="F294" i="18"/>
  <c r="H294" i="18"/>
  <c r="F295" i="18"/>
  <c r="H295" i="18"/>
  <c r="F296" i="18"/>
  <c r="H296" i="18"/>
  <c r="F297" i="18"/>
  <c r="H297" i="18"/>
  <c r="F298" i="18"/>
  <c r="H298" i="18"/>
  <c r="F299" i="18"/>
  <c r="H299" i="18"/>
  <c r="F300" i="18"/>
  <c r="H300" i="18"/>
  <c r="F301" i="18"/>
  <c r="H301" i="18"/>
  <c r="F302" i="18"/>
  <c r="H302" i="18"/>
  <c r="F303" i="18"/>
  <c r="H303" i="18"/>
  <c r="F304" i="18"/>
  <c r="H304" i="18"/>
  <c r="F305" i="18"/>
  <c r="H305" i="18"/>
  <c r="F306" i="18"/>
  <c r="H306" i="18"/>
  <c r="F307" i="18"/>
  <c r="H307" i="18"/>
  <c r="F308" i="18"/>
  <c r="H308" i="18"/>
  <c r="F309" i="18"/>
  <c r="H309" i="18"/>
  <c r="F310" i="18"/>
  <c r="H310" i="18"/>
  <c r="F311" i="18"/>
  <c r="H311" i="18"/>
  <c r="F312" i="18"/>
  <c r="H312" i="18"/>
  <c r="F313" i="18"/>
  <c r="H313" i="18"/>
  <c r="F314" i="18"/>
  <c r="H314" i="18"/>
  <c r="F315" i="18"/>
  <c r="H315" i="18"/>
  <c r="F316" i="18"/>
  <c r="H316" i="18"/>
  <c r="F317" i="18"/>
  <c r="H317" i="18"/>
  <c r="F318" i="18"/>
  <c r="H318" i="18"/>
  <c r="F319" i="18"/>
  <c r="H319" i="18"/>
  <c r="F320" i="18"/>
  <c r="H320" i="18"/>
  <c r="F321" i="18"/>
  <c r="H321" i="18"/>
  <c r="F322" i="18"/>
  <c r="H322" i="18"/>
  <c r="F323" i="18"/>
  <c r="H323" i="18"/>
  <c r="F324" i="18"/>
  <c r="H324" i="18"/>
  <c r="F325" i="18"/>
  <c r="H325" i="18"/>
  <c r="F326" i="18"/>
  <c r="H326" i="18"/>
  <c r="F327" i="18"/>
  <c r="H327" i="18"/>
  <c r="F328" i="18"/>
  <c r="H328" i="18"/>
  <c r="F329" i="18"/>
  <c r="H329" i="18"/>
  <c r="F330" i="18"/>
  <c r="H330" i="18"/>
  <c r="F331" i="18"/>
  <c r="H331" i="18"/>
  <c r="F332" i="18"/>
  <c r="H332" i="18"/>
  <c r="F333" i="18"/>
  <c r="H333" i="18"/>
  <c r="F334" i="18"/>
  <c r="H334" i="18"/>
  <c r="F335" i="18"/>
  <c r="H335" i="18"/>
  <c r="F336" i="18"/>
  <c r="H336" i="18"/>
  <c r="F337" i="18"/>
  <c r="H337" i="18"/>
  <c r="F338" i="18"/>
  <c r="H338" i="18"/>
  <c r="F339" i="18"/>
  <c r="H339" i="18"/>
  <c r="F340" i="18"/>
  <c r="H340" i="18"/>
  <c r="F341" i="18"/>
  <c r="H341" i="18"/>
  <c r="F342" i="18"/>
  <c r="H342" i="18"/>
  <c r="F343" i="18"/>
  <c r="H343" i="18"/>
  <c r="F344" i="18"/>
  <c r="H344" i="18"/>
  <c r="F345" i="18"/>
  <c r="H345" i="18"/>
  <c r="F346" i="18"/>
  <c r="H346" i="18"/>
  <c r="F347" i="18"/>
  <c r="H347" i="18"/>
  <c r="F348" i="18"/>
  <c r="H348" i="18"/>
  <c r="F349" i="18"/>
  <c r="H349" i="18"/>
  <c r="F350" i="18"/>
  <c r="H350" i="18"/>
  <c r="F351" i="18"/>
  <c r="H351" i="18"/>
  <c r="F352" i="18"/>
  <c r="H352" i="18"/>
  <c r="F353" i="18"/>
  <c r="H353" i="18"/>
  <c r="F354" i="18"/>
  <c r="H354" i="18"/>
  <c r="F355" i="18"/>
  <c r="H355" i="18"/>
  <c r="F356" i="18"/>
  <c r="H356" i="18"/>
  <c r="F357" i="18"/>
  <c r="H357" i="18"/>
  <c r="F358" i="18"/>
  <c r="H358" i="18"/>
  <c r="F359" i="18"/>
  <c r="H359" i="18"/>
  <c r="F360" i="18"/>
  <c r="H360" i="18"/>
  <c r="F361" i="18"/>
  <c r="H361" i="18"/>
  <c r="F362" i="18"/>
  <c r="H362" i="18"/>
  <c r="F363" i="18"/>
  <c r="H363" i="18"/>
  <c r="F364" i="18"/>
  <c r="H364" i="18"/>
  <c r="F365" i="18"/>
  <c r="H365" i="18"/>
  <c r="F366" i="18"/>
  <c r="H366" i="18"/>
  <c r="F367" i="18"/>
  <c r="H367" i="18"/>
  <c r="F368" i="18"/>
  <c r="H368" i="18"/>
  <c r="F369" i="18"/>
  <c r="H369" i="18"/>
  <c r="F370" i="18"/>
  <c r="H370" i="18"/>
  <c r="F371" i="18"/>
  <c r="H371" i="18"/>
  <c r="F372" i="18"/>
  <c r="H372" i="18"/>
  <c r="F373" i="18"/>
  <c r="H373" i="18"/>
  <c r="I231" i="18"/>
  <c r="I232" i="18"/>
  <c r="I233" i="18"/>
  <c r="I234" i="18"/>
  <c r="I235" i="18"/>
  <c r="I236" i="18"/>
  <c r="I237" i="18"/>
  <c r="I238" i="18"/>
  <c r="I261" i="18"/>
  <c r="I263" i="18"/>
  <c r="I265" i="18"/>
  <c r="I288" i="18"/>
  <c r="I290" i="18"/>
  <c r="I292" i="18"/>
  <c r="I358" i="18"/>
  <c r="I359" i="18"/>
  <c r="I360" i="18"/>
  <c r="I368" i="18"/>
  <c r="I369" i="18"/>
  <c r="I370" i="18"/>
  <c r="I371" i="18"/>
  <c r="I372" i="18"/>
  <c r="I373" i="18"/>
  <c r="D231" i="18"/>
  <c r="D232" i="18"/>
  <c r="D233" i="18"/>
  <c r="D234" i="18"/>
  <c r="D235" i="18"/>
  <c r="D236" i="18"/>
  <c r="D237" i="18"/>
  <c r="D238" i="18"/>
  <c r="D261" i="18"/>
  <c r="D263" i="18"/>
  <c r="D265" i="18"/>
  <c r="D288" i="18"/>
  <c r="D290" i="18"/>
  <c r="D292" i="18"/>
  <c r="D358" i="18"/>
  <c r="D359" i="18"/>
  <c r="D360" i="18"/>
  <c r="D368" i="18"/>
  <c r="D369" i="18"/>
  <c r="D370" i="18"/>
  <c r="D371" i="18"/>
  <c r="D372" i="18"/>
  <c r="D373" i="18"/>
  <c r="G32" i="19"/>
  <c r="G33" i="19"/>
  <c r="G34" i="19"/>
  <c r="B40" i="19"/>
  <c r="B41" i="19"/>
  <c r="B42" i="19"/>
  <c r="G42" i="19"/>
  <c r="B43" i="19"/>
  <c r="C43" i="19"/>
  <c r="D43" i="19"/>
  <c r="G43" i="19"/>
  <c r="B44" i="19"/>
  <c r="G44" i="19"/>
  <c r="B45" i="19"/>
  <c r="C45" i="19"/>
  <c r="D45" i="19"/>
  <c r="G45" i="19"/>
  <c r="G46" i="19"/>
  <c r="C47" i="19"/>
  <c r="D47" i="19"/>
  <c r="G47" i="19"/>
  <c r="G78" i="19"/>
  <c r="G79" i="19"/>
  <c r="G80" i="19"/>
  <c r="B86" i="19"/>
  <c r="B87" i="19"/>
  <c r="B88" i="19"/>
  <c r="G88" i="19"/>
  <c r="B89" i="19"/>
  <c r="C89" i="19"/>
  <c r="D89" i="19"/>
  <c r="G89" i="19"/>
  <c r="B90" i="19"/>
  <c r="G90" i="19"/>
  <c r="B91" i="19"/>
  <c r="C91" i="19"/>
  <c r="D91" i="19"/>
  <c r="G91" i="19"/>
  <c r="G92" i="19"/>
  <c r="C93" i="19"/>
  <c r="D93" i="19"/>
  <c r="G93" i="19"/>
  <c r="G124" i="19"/>
  <c r="G125" i="19"/>
  <c r="G126" i="19"/>
  <c r="B132" i="19"/>
  <c r="B133" i="19"/>
  <c r="B134" i="19"/>
  <c r="G134" i="19"/>
  <c r="B135" i="19"/>
  <c r="C135" i="19"/>
  <c r="D135" i="19"/>
  <c r="G135" i="19"/>
  <c r="B136" i="19"/>
  <c r="G136" i="19"/>
  <c r="B137" i="19"/>
  <c r="C137" i="19"/>
  <c r="D137" i="19"/>
  <c r="G137" i="19"/>
  <c r="G138" i="19"/>
  <c r="C139" i="19"/>
  <c r="D139" i="19"/>
  <c r="G139" i="19"/>
  <c r="B46" i="19"/>
  <c r="B92" i="19"/>
  <c r="B138" i="19"/>
  <c r="B47" i="19"/>
  <c r="B93" i="19"/>
  <c r="B139" i="19"/>
  <c r="B608" i="19"/>
  <c r="B609" i="19"/>
  <c r="B610" i="19"/>
  <c r="B612" i="19"/>
  <c r="B613" i="19"/>
  <c r="B614" i="19"/>
  <c r="B615" i="19"/>
  <c r="B616" i="19"/>
  <c r="B617" i="19"/>
  <c r="B619" i="19"/>
  <c r="B620" i="19"/>
  <c r="B621" i="19"/>
  <c r="B623" i="19"/>
  <c r="B624" i="19"/>
  <c r="B625" i="19"/>
  <c r="B626" i="19"/>
  <c r="B627" i="19"/>
  <c r="B628" i="19"/>
  <c r="B630" i="19"/>
  <c r="B631" i="19"/>
  <c r="B632" i="19"/>
  <c r="B634" i="19"/>
  <c r="B636" i="19"/>
  <c r="B638" i="19"/>
  <c r="B639" i="19"/>
  <c r="B640" i="19"/>
  <c r="B642" i="19"/>
  <c r="B643" i="19"/>
  <c r="B644" i="19"/>
  <c r="B646" i="19"/>
  <c r="B647" i="19"/>
  <c r="B648" i="19"/>
  <c r="B650" i="19"/>
  <c r="B651" i="19"/>
  <c r="B653" i="19"/>
  <c r="B654" i="19"/>
  <c r="B656" i="19"/>
  <c r="B657" i="19"/>
  <c r="B658" i="19"/>
  <c r="B660" i="19"/>
  <c r="B661" i="19"/>
  <c r="B662" i="19"/>
  <c r="B664" i="19"/>
  <c r="B665" i="19"/>
  <c r="B666" i="19"/>
  <c r="B668" i="19"/>
  <c r="B669" i="19"/>
  <c r="B670" i="19"/>
  <c r="B672" i="19"/>
  <c r="B673" i="19"/>
  <c r="B674" i="19"/>
  <c r="B676" i="19"/>
  <c r="B677" i="19"/>
  <c r="B678" i="19"/>
  <c r="B680" i="19"/>
  <c r="B681" i="19"/>
  <c r="B683" i="19"/>
  <c r="B684" i="19"/>
  <c r="B685" i="19"/>
  <c r="B687" i="19"/>
  <c r="B688" i="19"/>
  <c r="B689" i="19"/>
  <c r="B691" i="19"/>
  <c r="B692" i="19"/>
  <c r="B694" i="19"/>
  <c r="B695" i="19"/>
  <c r="B697" i="19"/>
  <c r="B698" i="19"/>
  <c r="B700" i="19"/>
  <c r="B701" i="19"/>
  <c r="B67" i="19"/>
  <c r="B113" i="19"/>
  <c r="B82" i="18"/>
  <c r="C212" i="18"/>
  <c r="F34" i="18"/>
  <c r="C34" i="18"/>
  <c r="D34" i="18"/>
  <c r="G34" i="18"/>
  <c r="B21" i="19"/>
  <c r="C131" i="19"/>
  <c r="D131" i="19"/>
  <c r="C85" i="19"/>
  <c r="D85" i="19"/>
  <c r="C39" i="19"/>
  <c r="D39" i="19"/>
  <c r="B126" i="19"/>
  <c r="C126" i="19"/>
  <c r="D126" i="19"/>
  <c r="B80" i="19"/>
  <c r="C80" i="19"/>
  <c r="D80" i="19"/>
  <c r="B34" i="19"/>
  <c r="C34" i="19"/>
  <c r="D34" i="19"/>
  <c r="B125" i="19"/>
  <c r="C125" i="19"/>
  <c r="D125" i="19"/>
  <c r="B79" i="19"/>
  <c r="C79" i="19"/>
  <c r="D79" i="19"/>
  <c r="B33" i="19"/>
  <c r="C33" i="19"/>
  <c r="D33" i="19"/>
  <c r="B124" i="19"/>
  <c r="C124" i="19"/>
  <c r="D124" i="19"/>
  <c r="B78" i="19"/>
  <c r="C78" i="19"/>
  <c r="D78" i="19"/>
  <c r="B32" i="19"/>
  <c r="C32" i="19"/>
  <c r="D32" i="19"/>
  <c r="B123" i="19"/>
  <c r="C123" i="19"/>
  <c r="D123" i="19"/>
  <c r="B77" i="19"/>
  <c r="C77" i="19"/>
  <c r="D77" i="19"/>
  <c r="B31" i="19"/>
  <c r="C31" i="19"/>
  <c r="D31" i="19"/>
  <c r="B79" i="14"/>
  <c r="B96" i="14"/>
  <c r="B138" i="16"/>
  <c r="C96" i="14"/>
  <c r="C138" i="16"/>
  <c r="D96" i="14"/>
  <c r="D138" i="16"/>
  <c r="E96" i="14"/>
  <c r="E138" i="16"/>
  <c r="F96" i="14"/>
  <c r="F138" i="16"/>
  <c r="G96" i="14"/>
  <c r="G138" i="16"/>
  <c r="H96" i="14"/>
  <c r="H138" i="16"/>
  <c r="I96" i="14"/>
  <c r="I138" i="16"/>
  <c r="E122" i="19"/>
  <c r="B122" i="19"/>
  <c r="C122" i="19"/>
  <c r="D122" i="19"/>
  <c r="D433" i="19"/>
  <c r="D747" i="19"/>
  <c r="D434" i="19"/>
  <c r="D748" i="19"/>
  <c r="D435" i="19"/>
  <c r="D749" i="19"/>
  <c r="D830" i="19"/>
  <c r="E76" i="19"/>
  <c r="B76" i="19"/>
  <c r="C76" i="19"/>
  <c r="D76" i="19"/>
  <c r="C433" i="19"/>
  <c r="C747" i="19"/>
  <c r="C434" i="19"/>
  <c r="C748" i="19"/>
  <c r="C435" i="19"/>
  <c r="C749" i="19"/>
  <c r="C830" i="19"/>
  <c r="E30" i="19"/>
  <c r="B30" i="19"/>
  <c r="C30" i="19"/>
  <c r="D30" i="19"/>
  <c r="B433" i="19"/>
  <c r="B747" i="19"/>
  <c r="B434" i="19"/>
  <c r="B748" i="19"/>
  <c r="B435" i="19"/>
  <c r="B749" i="19"/>
  <c r="B830" i="19"/>
  <c r="B121" i="19"/>
  <c r="C121" i="19"/>
  <c r="B75" i="19"/>
  <c r="C75" i="19"/>
  <c r="B29" i="19"/>
  <c r="C29" i="19"/>
  <c r="B77" i="14"/>
  <c r="B94" i="14"/>
  <c r="B136" i="16"/>
  <c r="C94" i="14"/>
  <c r="C136" i="16"/>
  <c r="D94" i="14"/>
  <c r="D136" i="16"/>
  <c r="E94" i="14"/>
  <c r="E136" i="16"/>
  <c r="F94" i="14"/>
  <c r="F136" i="16"/>
  <c r="G94" i="14"/>
  <c r="G136" i="16"/>
  <c r="H94" i="14"/>
  <c r="H136" i="16"/>
  <c r="I94" i="14"/>
  <c r="I136" i="16"/>
  <c r="E120" i="19"/>
  <c r="B120" i="19"/>
  <c r="C120" i="19"/>
  <c r="D429" i="19"/>
  <c r="D743" i="19"/>
  <c r="D828" i="19"/>
  <c r="E74" i="19"/>
  <c r="B74" i="19"/>
  <c r="C74" i="19"/>
  <c r="C429" i="19"/>
  <c r="C743" i="19"/>
  <c r="C828" i="19"/>
  <c r="E28" i="19"/>
  <c r="B28" i="19"/>
  <c r="C28" i="19"/>
  <c r="B429" i="19"/>
  <c r="B743" i="19"/>
  <c r="B828" i="19"/>
  <c r="B76" i="14"/>
  <c r="B93" i="14"/>
  <c r="B135" i="16"/>
  <c r="C93" i="14"/>
  <c r="C135" i="16"/>
  <c r="D93" i="14"/>
  <c r="D135" i="16"/>
  <c r="E93" i="14"/>
  <c r="E135" i="16"/>
  <c r="F93" i="14"/>
  <c r="F135" i="16"/>
  <c r="G93" i="14"/>
  <c r="G135" i="16"/>
  <c r="H93" i="14"/>
  <c r="H135" i="16"/>
  <c r="I93" i="14"/>
  <c r="I135" i="16"/>
  <c r="E119" i="19"/>
  <c r="B119" i="19"/>
  <c r="C119" i="19"/>
  <c r="D425" i="19"/>
  <c r="D739" i="19"/>
  <c r="D426" i="19"/>
  <c r="D740" i="19"/>
  <c r="D427" i="19"/>
  <c r="D741" i="19"/>
  <c r="D827" i="19"/>
  <c r="E73" i="19"/>
  <c r="B73" i="19"/>
  <c r="C73" i="19"/>
  <c r="C425" i="19"/>
  <c r="C739" i="19"/>
  <c r="C426" i="19"/>
  <c r="C740" i="19"/>
  <c r="C427" i="19"/>
  <c r="C741" i="19"/>
  <c r="C827" i="19"/>
  <c r="E27" i="19"/>
  <c r="B27" i="19"/>
  <c r="C27" i="19"/>
  <c r="B425" i="19"/>
  <c r="B739" i="19"/>
  <c r="B426" i="19"/>
  <c r="B740" i="19"/>
  <c r="B427" i="19"/>
  <c r="B741" i="19"/>
  <c r="B827" i="19"/>
  <c r="B117" i="19"/>
  <c r="C117" i="19"/>
  <c r="B71" i="19"/>
  <c r="C71" i="19"/>
  <c r="B25" i="19"/>
  <c r="C25" i="19"/>
  <c r="B116" i="19"/>
  <c r="B70" i="19"/>
  <c r="B24" i="19"/>
  <c r="B114" i="19"/>
  <c r="C114" i="19"/>
  <c r="B68" i="19"/>
  <c r="C68" i="19"/>
  <c r="B22" i="19"/>
  <c r="C22" i="19"/>
  <c r="B118" i="19"/>
  <c r="D423" i="19"/>
  <c r="D737" i="19"/>
  <c r="B72" i="19"/>
  <c r="C423" i="19"/>
  <c r="C737" i="19"/>
  <c r="B26" i="19"/>
  <c r="B423" i="19"/>
  <c r="B737" i="19"/>
  <c r="D422" i="19"/>
  <c r="D736" i="19"/>
  <c r="C422" i="19"/>
  <c r="C736" i="19"/>
  <c r="B422" i="19"/>
  <c r="B736" i="19"/>
  <c r="D421" i="19"/>
  <c r="D735" i="19"/>
  <c r="C421" i="19"/>
  <c r="C735" i="19"/>
  <c r="B421" i="19"/>
  <c r="B735" i="19"/>
  <c r="B115" i="19"/>
  <c r="D411" i="19"/>
  <c r="D726" i="19"/>
  <c r="B69" i="19"/>
  <c r="C411" i="19"/>
  <c r="C726" i="19"/>
  <c r="B23" i="19"/>
  <c r="B411" i="19"/>
  <c r="B726" i="19"/>
  <c r="D410" i="19"/>
  <c r="D725" i="19"/>
  <c r="C410" i="19"/>
  <c r="C725" i="19"/>
  <c r="B410" i="19"/>
  <c r="B725" i="19"/>
  <c r="D409" i="19"/>
  <c r="D724" i="19"/>
  <c r="C409" i="19"/>
  <c r="C724" i="19"/>
  <c r="B409" i="19"/>
  <c r="B724" i="19"/>
  <c r="D227" i="19"/>
  <c r="C227" i="19"/>
  <c r="B227" i="19"/>
  <c r="D225" i="19"/>
  <c r="C225" i="19"/>
  <c r="B225" i="19"/>
  <c r="D224" i="19"/>
  <c r="C224" i="19"/>
  <c r="B224" i="19"/>
  <c r="D223" i="19"/>
  <c r="C223" i="19"/>
  <c r="B223" i="19"/>
  <c r="D220" i="19"/>
  <c r="C220" i="19"/>
  <c r="B220" i="19"/>
  <c r="I212" i="18"/>
  <c r="I213" i="18"/>
  <c r="I214" i="18"/>
  <c r="I215" i="18"/>
  <c r="I216" i="18"/>
  <c r="I217" i="18"/>
  <c r="I218" i="18"/>
  <c r="I219" i="18"/>
  <c r="I220" i="18"/>
  <c r="I221" i="18"/>
  <c r="I222" i="18"/>
  <c r="I223" i="18"/>
  <c r="I224" i="18"/>
  <c r="I225" i="18"/>
  <c r="I239" i="18"/>
  <c r="I240" i="18"/>
  <c r="I241" i="18"/>
  <c r="I242" i="18"/>
  <c r="I243" i="18"/>
  <c r="I244" i="18"/>
  <c r="I245" i="18"/>
  <c r="I246" i="18"/>
  <c r="I247" i="18"/>
  <c r="I248" i="18"/>
  <c r="I249" i="18"/>
  <c r="I250" i="18"/>
  <c r="I251" i="18"/>
  <c r="I252" i="18"/>
  <c r="I253" i="18"/>
  <c r="I254" i="18"/>
  <c r="I255" i="18"/>
  <c r="I256" i="18"/>
  <c r="I257" i="18"/>
  <c r="I258" i="18"/>
  <c r="I259" i="18"/>
  <c r="I260" i="18"/>
  <c r="I262" i="18"/>
  <c r="I264" i="18"/>
  <c r="I266" i="18"/>
  <c r="I267" i="18"/>
  <c r="I268" i="18"/>
  <c r="I269" i="18"/>
  <c r="I270" i="18"/>
  <c r="I271" i="18"/>
  <c r="I272" i="18"/>
  <c r="I273" i="18"/>
  <c r="I274" i="18"/>
  <c r="I275" i="18"/>
  <c r="I276" i="18"/>
  <c r="I277" i="18"/>
  <c r="I278" i="18"/>
  <c r="I279" i="18"/>
  <c r="I280" i="18"/>
  <c r="I281" i="18"/>
  <c r="I282" i="18"/>
  <c r="I283" i="18"/>
  <c r="I284" i="18"/>
  <c r="I285" i="18"/>
  <c r="I286" i="18"/>
  <c r="I287" i="18"/>
  <c r="I289" i="18"/>
  <c r="I291" i="18"/>
  <c r="I295" i="18"/>
  <c r="I298" i="18"/>
  <c r="I299" i="18"/>
  <c r="I300" i="18"/>
  <c r="I302" i="18"/>
  <c r="I307" i="18"/>
  <c r="I308" i="18"/>
  <c r="I309" i="18"/>
  <c r="I310" i="18"/>
  <c r="I311" i="18"/>
  <c r="I320" i="18"/>
  <c r="I321" i="18"/>
  <c r="I322" i="18"/>
  <c r="I323" i="18"/>
  <c r="I324" i="18"/>
  <c r="I325" i="18"/>
  <c r="I326" i="18"/>
  <c r="I327" i="18"/>
  <c r="I328" i="18"/>
  <c r="I329" i="18"/>
  <c r="I330" i="18"/>
  <c r="I334" i="18"/>
  <c r="I335" i="18"/>
  <c r="I336" i="18"/>
  <c r="I337" i="18"/>
  <c r="I338" i="18"/>
  <c r="I339" i="18"/>
  <c r="I340" i="18"/>
  <c r="I341" i="18"/>
  <c r="I342" i="18"/>
  <c r="I343" i="18"/>
  <c r="I344" i="18"/>
  <c r="I345" i="18"/>
  <c r="I346" i="18"/>
  <c r="I347" i="18"/>
  <c r="I348" i="18"/>
  <c r="I349" i="18"/>
  <c r="I350" i="18"/>
  <c r="I351" i="18"/>
  <c r="I352" i="18"/>
  <c r="I353" i="18"/>
  <c r="I354" i="18"/>
  <c r="I355" i="18"/>
  <c r="I356" i="18"/>
  <c r="I357" i="18"/>
  <c r="I361" i="18"/>
  <c r="I362" i="18"/>
  <c r="I363" i="18"/>
  <c r="I364" i="18"/>
  <c r="I365" i="18"/>
  <c r="I366" i="18"/>
  <c r="I367" i="18"/>
  <c r="D212" i="18"/>
  <c r="D213" i="18"/>
  <c r="D214" i="18"/>
  <c r="D215" i="18"/>
  <c r="D216" i="18"/>
  <c r="D217" i="18"/>
  <c r="D218" i="18"/>
  <c r="D219" i="18"/>
  <c r="D220" i="18"/>
  <c r="D221" i="18"/>
  <c r="D222" i="18"/>
  <c r="D223" i="18"/>
  <c r="D224" i="18"/>
  <c r="D225" i="18"/>
  <c r="D226" i="18"/>
  <c r="D227" i="18"/>
  <c r="D228" i="18"/>
  <c r="D229" i="18"/>
  <c r="D230" i="18"/>
  <c r="D240" i="18"/>
  <c r="D243" i="18"/>
  <c r="D245" i="18"/>
  <c r="D246" i="18"/>
  <c r="D247" i="18"/>
  <c r="D248" i="18"/>
  <c r="D249" i="18"/>
  <c r="D250" i="18"/>
  <c r="D251" i="18"/>
  <c r="D252" i="18"/>
  <c r="D257" i="18"/>
  <c r="D275" i="18"/>
  <c r="D276" i="18"/>
  <c r="D277" i="18"/>
  <c r="D278" i="18"/>
  <c r="D279" i="18"/>
  <c r="D284" i="18"/>
  <c r="D293" i="18"/>
  <c r="D294" i="18"/>
  <c r="D296" i="18"/>
  <c r="D297" i="18"/>
  <c r="D299" i="18"/>
  <c r="D300" i="18"/>
  <c r="D301" i="18"/>
  <c r="D302" i="18"/>
  <c r="D303" i="18"/>
  <c r="D304" i="18"/>
  <c r="D305" i="18"/>
  <c r="D306" i="18"/>
  <c r="D312" i="18"/>
  <c r="D313" i="18"/>
  <c r="D314" i="18"/>
  <c r="D315" i="18"/>
  <c r="D316" i="18"/>
  <c r="D317" i="18"/>
  <c r="D318" i="18"/>
  <c r="D319" i="18"/>
  <c r="D331" i="18"/>
  <c r="D332" i="18"/>
  <c r="D333" i="18"/>
  <c r="L211" i="18"/>
  <c r="G52" i="18"/>
  <c r="G100" i="18"/>
  <c r="C365" i="18"/>
  <c r="G51" i="18"/>
  <c r="G99" i="18"/>
  <c r="C364" i="18"/>
  <c r="G50" i="18"/>
  <c r="G98" i="18"/>
  <c r="C363" i="18"/>
  <c r="G49" i="18"/>
  <c r="G97" i="18"/>
  <c r="C362" i="18"/>
  <c r="G48" i="18"/>
  <c r="G96" i="18"/>
  <c r="C361" i="18"/>
  <c r="G44" i="18"/>
  <c r="G92" i="18"/>
  <c r="C357" i="18"/>
  <c r="G43" i="18"/>
  <c r="G91" i="18"/>
  <c r="C356" i="18"/>
  <c r="G42" i="18"/>
  <c r="G90" i="18"/>
  <c r="C355" i="18"/>
  <c r="G41" i="18"/>
  <c r="G89" i="18"/>
  <c r="C354" i="18"/>
  <c r="G40" i="18"/>
  <c r="G88" i="18"/>
  <c r="C353" i="18"/>
  <c r="G39" i="18"/>
  <c r="G87" i="18"/>
  <c r="C352" i="18"/>
  <c r="G38" i="18"/>
  <c r="G86" i="18"/>
  <c r="C351" i="18"/>
  <c r="G37" i="18"/>
  <c r="G85" i="18"/>
  <c r="C350" i="18"/>
  <c r="G36" i="18"/>
  <c r="G84" i="18"/>
  <c r="C349" i="18"/>
  <c r="G35" i="18"/>
  <c r="G83" i="18"/>
  <c r="C348" i="18"/>
  <c r="G82" i="18"/>
  <c r="C347" i="18"/>
  <c r="F60" i="18"/>
  <c r="F108" i="18"/>
  <c r="C346" i="18"/>
  <c r="F59" i="18"/>
  <c r="F107" i="18"/>
  <c r="C345" i="18"/>
  <c r="F58" i="18"/>
  <c r="F106" i="18"/>
  <c r="C344" i="18"/>
  <c r="F57" i="18"/>
  <c r="F105" i="18"/>
  <c r="C343" i="18"/>
  <c r="F56" i="18"/>
  <c r="F104" i="18"/>
  <c r="C342" i="18"/>
  <c r="F55" i="18"/>
  <c r="F103" i="18"/>
  <c r="C341" i="18"/>
  <c r="F54" i="18"/>
  <c r="F102" i="18"/>
  <c r="C340" i="18"/>
  <c r="F53" i="18"/>
  <c r="F101" i="18"/>
  <c r="C339" i="18"/>
  <c r="F52" i="18"/>
  <c r="F100" i="18"/>
  <c r="C338" i="18"/>
  <c r="F51" i="18"/>
  <c r="F99" i="18"/>
  <c r="C337" i="18"/>
  <c r="F50" i="18"/>
  <c r="F98" i="18"/>
  <c r="C336" i="18"/>
  <c r="F49" i="18"/>
  <c r="F97" i="18"/>
  <c r="C335" i="18"/>
  <c r="F48" i="18"/>
  <c r="F96" i="18"/>
  <c r="C334" i="18"/>
  <c r="F44" i="18"/>
  <c r="F92" i="18"/>
  <c r="C330" i="18"/>
  <c r="F43" i="18"/>
  <c r="F91" i="18"/>
  <c r="C329" i="18"/>
  <c r="F42" i="18"/>
  <c r="F90" i="18"/>
  <c r="C328" i="18"/>
  <c r="F41" i="18"/>
  <c r="F89" i="18"/>
  <c r="C327" i="18"/>
  <c r="F40" i="18"/>
  <c r="F88" i="18"/>
  <c r="C326" i="18"/>
  <c r="F39" i="18"/>
  <c r="F87" i="18"/>
  <c r="C325" i="18"/>
  <c r="F38" i="18"/>
  <c r="F86" i="18"/>
  <c r="C324" i="18"/>
  <c r="F37" i="18"/>
  <c r="F85" i="18"/>
  <c r="C323" i="18"/>
  <c r="F36" i="18"/>
  <c r="F84" i="18"/>
  <c r="C322" i="18"/>
  <c r="F35" i="18"/>
  <c r="F83" i="18"/>
  <c r="C321" i="18"/>
  <c r="F82" i="18"/>
  <c r="C320" i="18"/>
  <c r="E52" i="18"/>
  <c r="E100" i="18"/>
  <c r="C311" i="18"/>
  <c r="E51" i="18"/>
  <c r="E99" i="18"/>
  <c r="C310" i="18"/>
  <c r="E50" i="18"/>
  <c r="E98" i="18"/>
  <c r="C309" i="18"/>
  <c r="E49" i="18"/>
  <c r="E97" i="18"/>
  <c r="C308" i="18"/>
  <c r="E48" i="18"/>
  <c r="E96" i="18"/>
  <c r="C307" i="18"/>
  <c r="E91" i="18"/>
  <c r="C302" i="18"/>
  <c r="E89" i="18"/>
  <c r="C300" i="18"/>
  <c r="E88" i="18"/>
  <c r="C299" i="18"/>
  <c r="E39" i="18"/>
  <c r="E87" i="18"/>
  <c r="C298" i="18"/>
  <c r="E36" i="18"/>
  <c r="E84" i="18"/>
  <c r="C295" i="18"/>
  <c r="D100" i="18"/>
  <c r="C284" i="18"/>
  <c r="D51" i="18"/>
  <c r="D99" i="18"/>
  <c r="C283" i="18"/>
  <c r="D50" i="18"/>
  <c r="D98" i="18"/>
  <c r="C282" i="18"/>
  <c r="D49" i="18"/>
  <c r="D97" i="18"/>
  <c r="C281" i="18"/>
  <c r="D48" i="18"/>
  <c r="D96" i="18"/>
  <c r="C280" i="18"/>
  <c r="D95" i="18"/>
  <c r="C279" i="18"/>
  <c r="D94" i="18"/>
  <c r="C278" i="18"/>
  <c r="D93" i="18"/>
  <c r="C277" i="18"/>
  <c r="D92" i="18"/>
  <c r="C276" i="18"/>
  <c r="D91" i="18"/>
  <c r="C275" i="18"/>
  <c r="D42" i="18"/>
  <c r="D90" i="18"/>
  <c r="C274" i="18"/>
  <c r="D41" i="18"/>
  <c r="D89" i="18"/>
  <c r="C273" i="18"/>
  <c r="D40" i="18"/>
  <c r="D88" i="18"/>
  <c r="C272" i="18"/>
  <c r="D39" i="18"/>
  <c r="D87" i="18"/>
  <c r="C271" i="18"/>
  <c r="D38" i="18"/>
  <c r="D86" i="18"/>
  <c r="C270" i="18"/>
  <c r="D37" i="18"/>
  <c r="D85" i="18"/>
  <c r="C269" i="18"/>
  <c r="D36" i="18"/>
  <c r="D84" i="18"/>
  <c r="C268" i="18"/>
  <c r="D35" i="18"/>
  <c r="D83" i="18"/>
  <c r="C267" i="18"/>
  <c r="D82" i="18"/>
  <c r="C266" i="18"/>
  <c r="C100" i="18"/>
  <c r="C257" i="18"/>
  <c r="C51" i="18"/>
  <c r="C99" i="18"/>
  <c r="C256" i="18"/>
  <c r="C50" i="18"/>
  <c r="C98" i="18"/>
  <c r="C255" i="18"/>
  <c r="C49" i="18"/>
  <c r="C97" i="18"/>
  <c r="C254" i="18"/>
  <c r="C48" i="18"/>
  <c r="C96" i="18"/>
  <c r="C253" i="18"/>
  <c r="C95" i="18"/>
  <c r="C252" i="18"/>
  <c r="C94" i="18"/>
  <c r="C251" i="18"/>
  <c r="C93" i="18"/>
  <c r="C250" i="18"/>
  <c r="C92" i="18"/>
  <c r="C249" i="18"/>
  <c r="C91" i="18"/>
  <c r="C248" i="18"/>
  <c r="C90" i="18"/>
  <c r="C247" i="18"/>
  <c r="C89" i="18"/>
  <c r="C246" i="18"/>
  <c r="C88" i="18"/>
  <c r="C245" i="18"/>
  <c r="C39" i="18"/>
  <c r="C87" i="18"/>
  <c r="C244" i="18"/>
  <c r="C86" i="18"/>
  <c r="C243" i="18"/>
  <c r="C37" i="18"/>
  <c r="C85" i="18"/>
  <c r="C242" i="18"/>
  <c r="C36" i="18"/>
  <c r="C84" i="18"/>
  <c r="C241" i="18"/>
  <c r="C83" i="18"/>
  <c r="C240" i="18"/>
  <c r="C82" i="18"/>
  <c r="C239" i="18"/>
  <c r="B95" i="18"/>
  <c r="C225" i="18"/>
  <c r="B94" i="18"/>
  <c r="C224" i="18"/>
  <c r="B93" i="18"/>
  <c r="C223" i="18"/>
  <c r="B92" i="18"/>
  <c r="C222" i="18"/>
  <c r="B91" i="18"/>
  <c r="C221" i="18"/>
  <c r="B90" i="18"/>
  <c r="C220" i="18"/>
  <c r="B89" i="18"/>
  <c r="C219" i="18"/>
  <c r="B88" i="18"/>
  <c r="C218" i="18"/>
  <c r="B87" i="18"/>
  <c r="C217" i="18"/>
  <c r="B86" i="18"/>
  <c r="C216" i="18"/>
  <c r="B85" i="18"/>
  <c r="C215" i="18"/>
  <c r="B84" i="18"/>
  <c r="C214" i="18"/>
  <c r="B83" i="18"/>
  <c r="C213" i="18"/>
  <c r="D59" i="18"/>
  <c r="C59" i="18"/>
  <c r="D57" i="18"/>
  <c r="C57" i="18"/>
  <c r="D55" i="18"/>
  <c r="C55" i="18"/>
  <c r="G54" i="18"/>
  <c r="D54" i="18"/>
  <c r="C54" i="18"/>
  <c r="G53" i="18"/>
  <c r="D53" i="18"/>
  <c r="C53" i="18"/>
  <c r="E247" i="16"/>
  <c r="B30" i="17"/>
  <c r="E245" i="16"/>
  <c r="B28" i="17"/>
  <c r="E244" i="16"/>
  <c r="B27" i="17"/>
  <c r="B26" i="17"/>
  <c r="B23" i="17"/>
  <c r="K67" i="15"/>
  <c r="K66" i="15"/>
  <c r="K65" i="15"/>
  <c r="K64" i="15"/>
  <c r="K63" i="15"/>
  <c r="K62" i="15"/>
  <c r="K36" i="12"/>
  <c r="K65" i="13"/>
  <c r="K23" i="15"/>
  <c r="K35" i="12"/>
  <c r="K64" i="13"/>
  <c r="K22" i="15"/>
  <c r="K34" i="12"/>
  <c r="K63" i="13"/>
  <c r="K21" i="15"/>
  <c r="K130" i="13"/>
  <c r="B130" i="13"/>
  <c r="K116" i="13"/>
  <c r="B116" i="13"/>
  <c r="K41" i="12"/>
  <c r="K70" i="13"/>
  <c r="K40" i="12"/>
  <c r="K69" i="13"/>
  <c r="K39" i="12"/>
  <c r="K68" i="13"/>
  <c r="K38" i="12"/>
  <c r="K67" i="13"/>
  <c r="K37" i="12"/>
  <c r="K66" i="13"/>
  <c r="K33" i="12"/>
  <c r="K62" i="13"/>
  <c r="K32" i="12"/>
  <c r="K61" i="13"/>
  <c r="K31" i="12"/>
  <c r="K60" i="13"/>
  <c r="K30" i="12"/>
  <c r="K59" i="13"/>
  <c r="K29" i="12"/>
  <c r="K58" i="13"/>
  <c r="K28" i="12"/>
  <c r="K57" i="13"/>
  <c r="K27" i="12"/>
  <c r="K56" i="13"/>
  <c r="K26" i="12"/>
  <c r="K55" i="13"/>
  <c r="K25" i="12"/>
  <c r="K54" i="13"/>
  <c r="K24" i="12"/>
  <c r="K53" i="13"/>
  <c r="K23" i="12"/>
  <c r="K52" i="13"/>
  <c r="K43" i="13"/>
  <c r="K42" i="13"/>
  <c r="K41" i="13"/>
  <c r="K40" i="13"/>
  <c r="K39" i="13"/>
  <c r="K30" i="13"/>
  <c r="K27" i="13"/>
  <c r="K49" i="12"/>
  <c r="K47" i="12"/>
  <c r="K45" i="12"/>
  <c r="B72" i="14"/>
  <c r="B89" i="14"/>
  <c r="B129" i="16"/>
  <c r="C89" i="14"/>
  <c r="C129" i="16"/>
  <c r="D89" i="14"/>
  <c r="D129" i="16"/>
  <c r="E89" i="14"/>
  <c r="E129" i="16"/>
  <c r="F89" i="14"/>
  <c r="F129" i="16"/>
  <c r="G89" i="14"/>
  <c r="G129" i="16"/>
  <c r="H89" i="14"/>
  <c r="H129" i="16"/>
  <c r="I89" i="14"/>
  <c r="I129" i="16"/>
  <c r="E21" i="19"/>
  <c r="B401" i="19"/>
  <c r="B717" i="19"/>
  <c r="B402" i="19"/>
  <c r="B718" i="19"/>
  <c r="B403" i="19"/>
  <c r="B719" i="19"/>
  <c r="B823" i="19"/>
  <c r="E67" i="19"/>
  <c r="C401" i="19"/>
  <c r="C717" i="19"/>
  <c r="C402" i="19"/>
  <c r="C718" i="19"/>
  <c r="C403" i="19"/>
  <c r="C719" i="19"/>
  <c r="C823" i="19"/>
  <c r="E113" i="19"/>
  <c r="D401" i="19"/>
  <c r="D717" i="19"/>
  <c r="D402" i="19"/>
  <c r="D718" i="19"/>
  <c r="D403" i="19"/>
  <c r="D719" i="19"/>
  <c r="D823" i="19"/>
  <c r="E238" i="16"/>
  <c r="B21" i="17"/>
  <c r="E239" i="16"/>
  <c r="B22" i="17"/>
  <c r="E241" i="16"/>
  <c r="B24" i="17"/>
  <c r="E242" i="16"/>
  <c r="B25" i="17"/>
  <c r="E246" i="16"/>
  <c r="B29" i="17"/>
  <c r="E248" i="16"/>
  <c r="B31" i="17"/>
  <c r="E249" i="16"/>
  <c r="F249" i="16"/>
  <c r="B32" i="17"/>
  <c r="E250" i="16"/>
  <c r="F250" i="16"/>
  <c r="B33" i="17"/>
  <c r="E251" i="16"/>
  <c r="F251" i="16"/>
  <c r="B34" i="17"/>
  <c r="B35" i="17"/>
  <c r="B36" i="17"/>
  <c r="B37" i="17"/>
  <c r="B38" i="17"/>
  <c r="B39" i="17"/>
  <c r="E257" i="16"/>
  <c r="B40" i="17"/>
  <c r="E258" i="16"/>
  <c r="B41" i="17"/>
  <c r="E259" i="16"/>
  <c r="B42" i="17"/>
  <c r="E260" i="16"/>
  <c r="B43" i="17"/>
  <c r="E261" i="16"/>
  <c r="B44" i="17"/>
  <c r="E262" i="16"/>
  <c r="B45" i="17"/>
  <c r="E263" i="16"/>
  <c r="B46" i="17"/>
  <c r="E264" i="16"/>
  <c r="B47" i="17"/>
  <c r="B69" i="17"/>
  <c r="C69" i="17"/>
  <c r="B96" i="18"/>
  <c r="B97" i="18"/>
  <c r="B98" i="18"/>
  <c r="B99" i="18"/>
  <c r="B100" i="18"/>
  <c r="E82" i="18"/>
  <c r="E83" i="18"/>
  <c r="E85" i="18"/>
  <c r="E86" i="18"/>
  <c r="E90" i="18"/>
  <c r="E92" i="18"/>
  <c r="E93" i="18"/>
  <c r="E94" i="18"/>
  <c r="E95" i="18"/>
  <c r="E101" i="18"/>
  <c r="E102" i="18"/>
  <c r="E103" i="18"/>
  <c r="E104" i="18"/>
  <c r="E105" i="18"/>
  <c r="E106" i="18"/>
  <c r="E107" i="18"/>
  <c r="E108" i="18"/>
  <c r="F93" i="18"/>
  <c r="F94" i="18"/>
  <c r="F95" i="18"/>
  <c r="B168" i="18"/>
  <c r="B182" i="18"/>
  <c r="E212" i="18"/>
  <c r="E213" i="18"/>
  <c r="E214" i="18"/>
  <c r="E215" i="18"/>
  <c r="E216" i="18"/>
  <c r="E217" i="18"/>
  <c r="E218" i="18"/>
  <c r="E219" i="18"/>
  <c r="E220" i="18"/>
  <c r="E221" i="18"/>
  <c r="E222" i="18"/>
  <c r="E223" i="18"/>
  <c r="E224" i="18"/>
  <c r="E225" i="18"/>
  <c r="E226" i="18"/>
  <c r="E227" i="18"/>
  <c r="E228" i="18"/>
  <c r="E229" i="18"/>
  <c r="E230" i="18"/>
  <c r="E231" i="18"/>
  <c r="E232" i="18"/>
  <c r="E233" i="18"/>
  <c r="E234" i="18"/>
  <c r="E235" i="18"/>
  <c r="E236" i="18"/>
  <c r="E237" i="18"/>
  <c r="E238" i="18"/>
  <c r="E239" i="18"/>
  <c r="E240" i="18"/>
  <c r="E241" i="18"/>
  <c r="E242" i="18"/>
  <c r="E243" i="18"/>
  <c r="E244" i="18"/>
  <c r="E245" i="18"/>
  <c r="E246" i="18"/>
  <c r="E247" i="18"/>
  <c r="E248" i="18"/>
  <c r="E249" i="18"/>
  <c r="E250" i="18"/>
  <c r="E251" i="18"/>
  <c r="E252" i="18"/>
  <c r="E253" i="18"/>
  <c r="E254" i="18"/>
  <c r="E255" i="18"/>
  <c r="E256" i="18"/>
  <c r="E257" i="18"/>
  <c r="E258" i="18"/>
  <c r="E259" i="18"/>
  <c r="E260" i="18"/>
  <c r="E261" i="18"/>
  <c r="E262" i="18"/>
  <c r="E263" i="18"/>
  <c r="E264" i="18"/>
  <c r="E265" i="18"/>
  <c r="E266" i="18"/>
  <c r="E267" i="18"/>
  <c r="E268" i="18"/>
  <c r="E269" i="18"/>
  <c r="E270" i="18"/>
  <c r="E271" i="18"/>
  <c r="E272" i="18"/>
  <c r="E273" i="18"/>
  <c r="E274" i="18"/>
  <c r="E275" i="18"/>
  <c r="E276" i="18"/>
  <c r="E277" i="18"/>
  <c r="E278" i="18"/>
  <c r="E279" i="18"/>
  <c r="E280" i="18"/>
  <c r="E281" i="18"/>
  <c r="E282" i="18"/>
  <c r="E283" i="18"/>
  <c r="E284" i="18"/>
  <c r="E285" i="18"/>
  <c r="E286" i="18"/>
  <c r="E287" i="18"/>
  <c r="E288" i="18"/>
  <c r="E289" i="18"/>
  <c r="E290" i="18"/>
  <c r="E291" i="18"/>
  <c r="E292" i="18"/>
  <c r="E293" i="18"/>
  <c r="E294" i="18"/>
  <c r="E295" i="18"/>
  <c r="E296" i="18"/>
  <c r="E297" i="18"/>
  <c r="E298" i="18"/>
  <c r="E299" i="18"/>
  <c r="E300" i="18"/>
  <c r="E301" i="18"/>
  <c r="E302" i="18"/>
  <c r="E303" i="18"/>
  <c r="E304" i="18"/>
  <c r="E305" i="18"/>
  <c r="E306" i="18"/>
  <c r="E307" i="18"/>
  <c r="E308" i="18"/>
  <c r="E309" i="18"/>
  <c r="E310" i="18"/>
  <c r="E311" i="18"/>
  <c r="E312" i="18"/>
  <c r="E313" i="18"/>
  <c r="E314" i="18"/>
  <c r="E315" i="18"/>
  <c r="E316" i="18"/>
  <c r="E317" i="18"/>
  <c r="E318" i="18"/>
  <c r="E319" i="18"/>
  <c r="E320" i="18"/>
  <c r="E321" i="18"/>
  <c r="E322" i="18"/>
  <c r="E323" i="18"/>
  <c r="E324" i="18"/>
  <c r="E325" i="18"/>
  <c r="E326" i="18"/>
  <c r="E327" i="18"/>
  <c r="E328" i="18"/>
  <c r="E329" i="18"/>
  <c r="E330" i="18"/>
  <c r="E331" i="18"/>
  <c r="E332" i="18"/>
  <c r="E333" i="18"/>
  <c r="E334" i="18"/>
  <c r="E335" i="18"/>
  <c r="E336" i="18"/>
  <c r="E337" i="18"/>
  <c r="E338" i="18"/>
  <c r="E339" i="18"/>
  <c r="E340" i="18"/>
  <c r="E341" i="18"/>
  <c r="E342" i="18"/>
  <c r="E343" i="18"/>
  <c r="E344" i="18"/>
  <c r="E345" i="18"/>
  <c r="E346" i="18"/>
  <c r="E347" i="18"/>
  <c r="E348" i="18"/>
  <c r="E349" i="18"/>
  <c r="E350" i="18"/>
  <c r="E351" i="18"/>
  <c r="E352" i="18"/>
  <c r="E353" i="18"/>
  <c r="E354" i="18"/>
  <c r="E355" i="18"/>
  <c r="E356" i="18"/>
  <c r="E357" i="18"/>
  <c r="E358" i="18"/>
  <c r="E359" i="18"/>
  <c r="E360" i="18"/>
  <c r="E361" i="18"/>
  <c r="E362" i="18"/>
  <c r="E363" i="18"/>
  <c r="E364" i="18"/>
  <c r="E365" i="18"/>
  <c r="E366" i="18"/>
  <c r="E367" i="18"/>
  <c r="E368" i="18"/>
  <c r="E369" i="18"/>
  <c r="E370" i="18"/>
  <c r="E371" i="18"/>
  <c r="E372" i="18"/>
  <c r="M211" i="18"/>
  <c r="I226" i="18"/>
  <c r="I227" i="18"/>
  <c r="I228" i="18"/>
  <c r="I229" i="18"/>
  <c r="I230" i="18"/>
  <c r="I293" i="18"/>
  <c r="I294" i="18"/>
  <c r="I296" i="18"/>
  <c r="I297" i="18"/>
  <c r="I301" i="18"/>
  <c r="I303" i="18"/>
  <c r="I304" i="18"/>
  <c r="I305" i="18"/>
  <c r="I306" i="18"/>
  <c r="I312" i="18"/>
  <c r="I313" i="18"/>
  <c r="I314" i="18"/>
  <c r="I315" i="18"/>
  <c r="I316" i="18"/>
  <c r="I317" i="18"/>
  <c r="I318" i="18"/>
  <c r="I319" i="18"/>
  <c r="I331" i="18"/>
  <c r="I332" i="18"/>
  <c r="I333" i="18"/>
  <c r="J212" i="18"/>
  <c r="K212" i="18"/>
  <c r="B211" i="18"/>
  <c r="K211" i="18"/>
  <c r="M212" i="18"/>
  <c r="J213" i="18"/>
  <c r="K213" i="18"/>
  <c r="L212" i="18"/>
  <c r="M213" i="18"/>
  <c r="J214" i="18"/>
  <c r="K214" i="18"/>
  <c r="L213" i="18"/>
  <c r="M214" i="18"/>
  <c r="J215" i="18"/>
  <c r="K215" i="18"/>
  <c r="L214" i="18"/>
  <c r="M215" i="18"/>
  <c r="J216" i="18"/>
  <c r="K216" i="18"/>
  <c r="L215" i="18"/>
  <c r="M216" i="18"/>
  <c r="J217" i="18"/>
  <c r="K217" i="18"/>
  <c r="L216" i="18"/>
  <c r="M217" i="18"/>
  <c r="J218" i="18"/>
  <c r="K218" i="18"/>
  <c r="L217" i="18"/>
  <c r="M218" i="18"/>
  <c r="J219" i="18"/>
  <c r="K219" i="18"/>
  <c r="L218" i="18"/>
  <c r="M219" i="18"/>
  <c r="J220" i="18"/>
  <c r="K220" i="18"/>
  <c r="L219" i="18"/>
  <c r="M220" i="18"/>
  <c r="J221" i="18"/>
  <c r="K221" i="18"/>
  <c r="L220" i="18"/>
  <c r="M221" i="18"/>
  <c r="J222" i="18"/>
  <c r="K222" i="18"/>
  <c r="L221" i="18"/>
  <c r="M222" i="18"/>
  <c r="J223" i="18"/>
  <c r="K223" i="18"/>
  <c r="L222" i="18"/>
  <c r="M223" i="18"/>
  <c r="J224" i="18"/>
  <c r="K224" i="18"/>
  <c r="L223" i="18"/>
  <c r="M224" i="18"/>
  <c r="J225" i="18"/>
  <c r="K225" i="18"/>
  <c r="L224" i="18"/>
  <c r="M225" i="18"/>
  <c r="J226" i="18"/>
  <c r="K226" i="18"/>
  <c r="L225" i="18"/>
  <c r="M226" i="18"/>
  <c r="J227" i="18"/>
  <c r="K227" i="18"/>
  <c r="L226" i="18"/>
  <c r="M227" i="18"/>
  <c r="J228" i="18"/>
  <c r="K228" i="18"/>
  <c r="L227" i="18"/>
  <c r="M228" i="18"/>
  <c r="J229" i="18"/>
  <c r="K229" i="18"/>
  <c r="L228" i="18"/>
  <c r="M229" i="18"/>
  <c r="J230" i="18"/>
  <c r="K230" i="18"/>
  <c r="L229" i="18"/>
  <c r="M230" i="18"/>
  <c r="J231" i="18"/>
  <c r="K231" i="18"/>
  <c r="L230" i="18"/>
  <c r="M231" i="18"/>
  <c r="J232" i="18"/>
  <c r="K232" i="18"/>
  <c r="L231" i="18"/>
  <c r="M232" i="18"/>
  <c r="J233" i="18"/>
  <c r="K233" i="18"/>
  <c r="L232" i="18"/>
  <c r="M233" i="18"/>
  <c r="J234" i="18"/>
  <c r="K234" i="18"/>
  <c r="L233" i="18"/>
  <c r="M234" i="18"/>
  <c r="J235" i="18"/>
  <c r="K235" i="18"/>
  <c r="L234" i="18"/>
  <c r="M235" i="18"/>
  <c r="J236" i="18"/>
  <c r="K236" i="18"/>
  <c r="L235" i="18"/>
  <c r="M236" i="18"/>
  <c r="J237" i="18"/>
  <c r="K237" i="18"/>
  <c r="L236" i="18"/>
  <c r="M237" i="18"/>
  <c r="J238" i="18"/>
  <c r="K238" i="18"/>
  <c r="L237" i="18"/>
  <c r="M238" i="18"/>
  <c r="J239" i="18"/>
  <c r="K239" i="18"/>
  <c r="L238" i="18"/>
  <c r="M239" i="18"/>
  <c r="J240" i="18"/>
  <c r="K240" i="18"/>
  <c r="L239" i="18"/>
  <c r="M240" i="18"/>
  <c r="J241" i="18"/>
  <c r="K241" i="18"/>
  <c r="L240" i="18"/>
  <c r="M241" i="18"/>
  <c r="J242" i="18"/>
  <c r="K242" i="18"/>
  <c r="L241" i="18"/>
  <c r="M242" i="18"/>
  <c r="J243" i="18"/>
  <c r="K243" i="18"/>
  <c r="L242" i="18"/>
  <c r="M243" i="18"/>
  <c r="J244" i="18"/>
  <c r="K244" i="18"/>
  <c r="L243" i="18"/>
  <c r="M244" i="18"/>
  <c r="J245" i="18"/>
  <c r="K245" i="18"/>
  <c r="L244" i="18"/>
  <c r="M245" i="18"/>
  <c r="J246" i="18"/>
  <c r="K246" i="18"/>
  <c r="L245" i="18"/>
  <c r="M246" i="18"/>
  <c r="J247" i="18"/>
  <c r="K247" i="18"/>
  <c r="L246" i="18"/>
  <c r="M247" i="18"/>
  <c r="J248" i="18"/>
  <c r="K248" i="18"/>
  <c r="L247" i="18"/>
  <c r="M248" i="18"/>
  <c r="J249" i="18"/>
  <c r="K249" i="18"/>
  <c r="L248" i="18"/>
  <c r="M249" i="18"/>
  <c r="J250" i="18"/>
  <c r="K250" i="18"/>
  <c r="L249" i="18"/>
  <c r="M250" i="18"/>
  <c r="J251" i="18"/>
  <c r="K251" i="18"/>
  <c r="L250" i="18"/>
  <c r="M251" i="18"/>
  <c r="J252" i="18"/>
  <c r="K252" i="18"/>
  <c r="L251" i="18"/>
  <c r="M252" i="18"/>
  <c r="J253" i="18"/>
  <c r="K253" i="18"/>
  <c r="L252" i="18"/>
  <c r="M253" i="18"/>
  <c r="J254" i="18"/>
  <c r="K254" i="18"/>
  <c r="L253" i="18"/>
  <c r="M254" i="18"/>
  <c r="J255" i="18"/>
  <c r="K255" i="18"/>
  <c r="L254" i="18"/>
  <c r="M255" i="18"/>
  <c r="J256" i="18"/>
  <c r="K256" i="18"/>
  <c r="L255" i="18"/>
  <c r="M256" i="18"/>
  <c r="J257" i="18"/>
  <c r="K257" i="18"/>
  <c r="L256" i="18"/>
  <c r="M257" i="18"/>
  <c r="J258" i="18"/>
  <c r="K258" i="18"/>
  <c r="L257" i="18"/>
  <c r="M258" i="18"/>
  <c r="J259" i="18"/>
  <c r="K259" i="18"/>
  <c r="L258" i="18"/>
  <c r="M259" i="18"/>
  <c r="J260" i="18"/>
  <c r="K260" i="18"/>
  <c r="L259" i="18"/>
  <c r="M260" i="18"/>
  <c r="J261" i="18"/>
  <c r="K261" i="18"/>
  <c r="L260" i="18"/>
  <c r="M261" i="18"/>
  <c r="J262" i="18"/>
  <c r="K262" i="18"/>
  <c r="L261" i="18"/>
  <c r="M262" i="18"/>
  <c r="J263" i="18"/>
  <c r="K263" i="18"/>
  <c r="L262" i="18"/>
  <c r="M263" i="18"/>
  <c r="J264" i="18"/>
  <c r="K264" i="18"/>
  <c r="L263" i="18"/>
  <c r="M264" i="18"/>
  <c r="J265" i="18"/>
  <c r="K265" i="18"/>
  <c r="L264" i="18"/>
  <c r="M265" i="18"/>
  <c r="J266" i="18"/>
  <c r="K266" i="18"/>
  <c r="L265" i="18"/>
  <c r="M266" i="18"/>
  <c r="J267" i="18"/>
  <c r="K267" i="18"/>
  <c r="L266" i="18"/>
  <c r="M267" i="18"/>
  <c r="J268" i="18"/>
  <c r="K268" i="18"/>
  <c r="L267" i="18"/>
  <c r="M268" i="18"/>
  <c r="J269" i="18"/>
  <c r="K269" i="18"/>
  <c r="L268" i="18"/>
  <c r="M269" i="18"/>
  <c r="J270" i="18"/>
  <c r="K270" i="18"/>
  <c r="L269" i="18"/>
  <c r="M270" i="18"/>
  <c r="J271" i="18"/>
  <c r="K271" i="18"/>
  <c r="L270" i="18"/>
  <c r="M271" i="18"/>
  <c r="J272" i="18"/>
  <c r="K272" i="18"/>
  <c r="L271" i="18"/>
  <c r="M272" i="18"/>
  <c r="J273" i="18"/>
  <c r="K273" i="18"/>
  <c r="L272" i="18"/>
  <c r="M273" i="18"/>
  <c r="J274" i="18"/>
  <c r="K274" i="18"/>
  <c r="L273" i="18"/>
  <c r="M274" i="18"/>
  <c r="J275" i="18"/>
  <c r="K275" i="18"/>
  <c r="L274" i="18"/>
  <c r="M275" i="18"/>
  <c r="J276" i="18"/>
  <c r="K276" i="18"/>
  <c r="L275" i="18"/>
  <c r="M276" i="18"/>
  <c r="J277" i="18"/>
  <c r="K277" i="18"/>
  <c r="L276" i="18"/>
  <c r="M277" i="18"/>
  <c r="J278" i="18"/>
  <c r="K278" i="18"/>
  <c r="L277" i="18"/>
  <c r="M278" i="18"/>
  <c r="J279" i="18"/>
  <c r="K279" i="18"/>
  <c r="L278" i="18"/>
  <c r="M279" i="18"/>
  <c r="J280" i="18"/>
  <c r="K280" i="18"/>
  <c r="L279" i="18"/>
  <c r="M280" i="18"/>
  <c r="J281" i="18"/>
  <c r="K281" i="18"/>
  <c r="L280" i="18"/>
  <c r="M281" i="18"/>
  <c r="J282" i="18"/>
  <c r="K282" i="18"/>
  <c r="L281" i="18"/>
  <c r="M282" i="18"/>
  <c r="J283" i="18"/>
  <c r="K283" i="18"/>
  <c r="L282" i="18"/>
  <c r="M283" i="18"/>
  <c r="J284" i="18"/>
  <c r="K284" i="18"/>
  <c r="L283" i="18"/>
  <c r="M284" i="18"/>
  <c r="J285" i="18"/>
  <c r="K285" i="18"/>
  <c r="L284" i="18"/>
  <c r="M285" i="18"/>
  <c r="J286" i="18"/>
  <c r="K286" i="18"/>
  <c r="L285" i="18"/>
  <c r="M286" i="18"/>
  <c r="J287" i="18"/>
  <c r="K287" i="18"/>
  <c r="L286" i="18"/>
  <c r="M287" i="18"/>
  <c r="J288" i="18"/>
  <c r="K288" i="18"/>
  <c r="L287" i="18"/>
  <c r="M288" i="18"/>
  <c r="J289" i="18"/>
  <c r="K289" i="18"/>
  <c r="L288" i="18"/>
  <c r="M289" i="18"/>
  <c r="J290" i="18"/>
  <c r="K290" i="18"/>
  <c r="L289" i="18"/>
  <c r="M290" i="18"/>
  <c r="J291" i="18"/>
  <c r="K291" i="18"/>
  <c r="L290" i="18"/>
  <c r="M291" i="18"/>
  <c r="J292" i="18"/>
  <c r="K292" i="18"/>
  <c r="L291" i="18"/>
  <c r="M292" i="18"/>
  <c r="J293" i="18"/>
  <c r="K293" i="18"/>
  <c r="L292" i="18"/>
  <c r="M293" i="18"/>
  <c r="J294" i="18"/>
  <c r="K294" i="18"/>
  <c r="L293" i="18"/>
  <c r="M294" i="18"/>
  <c r="J295" i="18"/>
  <c r="K295" i="18"/>
  <c r="L294" i="18"/>
  <c r="M295" i="18"/>
  <c r="J296" i="18"/>
  <c r="K296" i="18"/>
  <c r="L295" i="18"/>
  <c r="M296" i="18"/>
  <c r="J297" i="18"/>
  <c r="K297" i="18"/>
  <c r="L296" i="18"/>
  <c r="M297" i="18"/>
  <c r="J298" i="18"/>
  <c r="K298" i="18"/>
  <c r="L297" i="18"/>
  <c r="M298" i="18"/>
  <c r="J299" i="18"/>
  <c r="K299" i="18"/>
  <c r="L298" i="18"/>
  <c r="M299" i="18"/>
  <c r="J300" i="18"/>
  <c r="K300" i="18"/>
  <c r="L299" i="18"/>
  <c r="M300" i="18"/>
  <c r="J301" i="18"/>
  <c r="K301" i="18"/>
  <c r="L300" i="18"/>
  <c r="M301" i="18"/>
  <c r="J302" i="18"/>
  <c r="K302" i="18"/>
  <c r="L301" i="18"/>
  <c r="M302" i="18"/>
  <c r="J303" i="18"/>
  <c r="K303" i="18"/>
  <c r="L302" i="18"/>
  <c r="M303" i="18"/>
  <c r="J304" i="18"/>
  <c r="K304" i="18"/>
  <c r="L303" i="18"/>
  <c r="M304" i="18"/>
  <c r="J305" i="18"/>
  <c r="K305" i="18"/>
  <c r="L304" i="18"/>
  <c r="M305" i="18"/>
  <c r="J306" i="18"/>
  <c r="K306" i="18"/>
  <c r="L305" i="18"/>
  <c r="M306" i="18"/>
  <c r="J307" i="18"/>
  <c r="K307" i="18"/>
  <c r="L306" i="18"/>
  <c r="M307" i="18"/>
  <c r="J308" i="18"/>
  <c r="K308" i="18"/>
  <c r="L307" i="18"/>
  <c r="M308" i="18"/>
  <c r="J309" i="18"/>
  <c r="K309" i="18"/>
  <c r="L308" i="18"/>
  <c r="M309" i="18"/>
  <c r="J310" i="18"/>
  <c r="K310" i="18"/>
  <c r="L309" i="18"/>
  <c r="M310" i="18"/>
  <c r="J311" i="18"/>
  <c r="K311" i="18"/>
  <c r="L310" i="18"/>
  <c r="M311" i="18"/>
  <c r="J312" i="18"/>
  <c r="K312" i="18"/>
  <c r="L311" i="18"/>
  <c r="M312" i="18"/>
  <c r="J313" i="18"/>
  <c r="K313" i="18"/>
  <c r="L312" i="18"/>
  <c r="M313" i="18"/>
  <c r="J314" i="18"/>
  <c r="K314" i="18"/>
  <c r="L313" i="18"/>
  <c r="M314" i="18"/>
  <c r="J315" i="18"/>
  <c r="K315" i="18"/>
  <c r="L314" i="18"/>
  <c r="M315" i="18"/>
  <c r="J316" i="18"/>
  <c r="K316" i="18"/>
  <c r="L315" i="18"/>
  <c r="M316" i="18"/>
  <c r="J317" i="18"/>
  <c r="K317" i="18"/>
  <c r="L316" i="18"/>
  <c r="M317" i="18"/>
  <c r="J318" i="18"/>
  <c r="K318" i="18"/>
  <c r="L317" i="18"/>
  <c r="M318" i="18"/>
  <c r="J319" i="18"/>
  <c r="K319" i="18"/>
  <c r="L318" i="18"/>
  <c r="M319" i="18"/>
  <c r="J320" i="18"/>
  <c r="K320" i="18"/>
  <c r="L319" i="18"/>
  <c r="M320" i="18"/>
  <c r="J321" i="18"/>
  <c r="K321" i="18"/>
  <c r="L320" i="18"/>
  <c r="M321" i="18"/>
  <c r="J322" i="18"/>
  <c r="K322" i="18"/>
  <c r="L321" i="18"/>
  <c r="M322" i="18"/>
  <c r="J323" i="18"/>
  <c r="K323" i="18"/>
  <c r="L322" i="18"/>
  <c r="M323" i="18"/>
  <c r="J324" i="18"/>
  <c r="K324" i="18"/>
  <c r="L323" i="18"/>
  <c r="M324" i="18"/>
  <c r="J325" i="18"/>
  <c r="K325" i="18"/>
  <c r="L324" i="18"/>
  <c r="M325" i="18"/>
  <c r="J326" i="18"/>
  <c r="K326" i="18"/>
  <c r="L325" i="18"/>
  <c r="M326" i="18"/>
  <c r="J327" i="18"/>
  <c r="K327" i="18"/>
  <c r="L326" i="18"/>
  <c r="M327" i="18"/>
  <c r="J328" i="18"/>
  <c r="K328" i="18"/>
  <c r="L327" i="18"/>
  <c r="M328" i="18"/>
  <c r="J329" i="18"/>
  <c r="K329" i="18"/>
  <c r="L328" i="18"/>
  <c r="M329" i="18"/>
  <c r="J330" i="18"/>
  <c r="K330" i="18"/>
  <c r="L329" i="18"/>
  <c r="M330" i="18"/>
  <c r="J331" i="18"/>
  <c r="K331" i="18"/>
  <c r="L330" i="18"/>
  <c r="M331" i="18"/>
  <c r="J332" i="18"/>
  <c r="K332" i="18"/>
  <c r="L331" i="18"/>
  <c r="M332" i="18"/>
  <c r="J333" i="18"/>
  <c r="K333" i="18"/>
  <c r="L332" i="18"/>
  <c r="M333" i="18"/>
  <c r="J334" i="18"/>
  <c r="K334" i="18"/>
  <c r="L333" i="18"/>
  <c r="M334" i="18"/>
  <c r="J335" i="18"/>
  <c r="K335" i="18"/>
  <c r="L334" i="18"/>
  <c r="M335" i="18"/>
  <c r="J336" i="18"/>
  <c r="K336" i="18"/>
  <c r="L335" i="18"/>
  <c r="M336" i="18"/>
  <c r="J337" i="18"/>
  <c r="K337" i="18"/>
  <c r="L336" i="18"/>
  <c r="M337" i="18"/>
  <c r="J338" i="18"/>
  <c r="K338" i="18"/>
  <c r="L337" i="18"/>
  <c r="M338" i="18"/>
  <c r="J339" i="18"/>
  <c r="K339" i="18"/>
  <c r="L338" i="18"/>
  <c r="M339" i="18"/>
  <c r="J340" i="18"/>
  <c r="K340" i="18"/>
  <c r="L339" i="18"/>
  <c r="M340" i="18"/>
  <c r="J341" i="18"/>
  <c r="K341" i="18"/>
  <c r="L340" i="18"/>
  <c r="M341" i="18"/>
  <c r="J342" i="18"/>
  <c r="K342" i="18"/>
  <c r="L341" i="18"/>
  <c r="M342" i="18"/>
  <c r="J343" i="18"/>
  <c r="K343" i="18"/>
  <c r="L342" i="18"/>
  <c r="M343" i="18"/>
  <c r="J344" i="18"/>
  <c r="K344" i="18"/>
  <c r="L343" i="18"/>
  <c r="M344" i="18"/>
  <c r="J345" i="18"/>
  <c r="K345" i="18"/>
  <c r="L344" i="18"/>
  <c r="M345" i="18"/>
  <c r="J346" i="18"/>
  <c r="K346" i="18"/>
  <c r="L345" i="18"/>
  <c r="M346" i="18"/>
  <c r="J347" i="18"/>
  <c r="K347" i="18"/>
  <c r="L346" i="18"/>
  <c r="M347" i="18"/>
  <c r="J348" i="18"/>
  <c r="K348" i="18"/>
  <c r="L347" i="18"/>
  <c r="M348" i="18"/>
  <c r="J349" i="18"/>
  <c r="K349" i="18"/>
  <c r="L348" i="18"/>
  <c r="M349" i="18"/>
  <c r="J350" i="18"/>
  <c r="K350" i="18"/>
  <c r="L349" i="18"/>
  <c r="M350" i="18"/>
  <c r="J351" i="18"/>
  <c r="K351" i="18"/>
  <c r="L350" i="18"/>
  <c r="M351" i="18"/>
  <c r="J352" i="18"/>
  <c r="K352" i="18"/>
  <c r="L351" i="18"/>
  <c r="M352" i="18"/>
  <c r="J353" i="18"/>
  <c r="K353" i="18"/>
  <c r="L352" i="18"/>
  <c r="M353" i="18"/>
  <c r="J354" i="18"/>
  <c r="K354" i="18"/>
  <c r="L353" i="18"/>
  <c r="M354" i="18"/>
  <c r="J355" i="18"/>
  <c r="K355" i="18"/>
  <c r="L354" i="18"/>
  <c r="M355" i="18"/>
  <c r="J356" i="18"/>
  <c r="K356" i="18"/>
  <c r="L355" i="18"/>
  <c r="M356" i="18"/>
  <c r="J357" i="18"/>
  <c r="K357" i="18"/>
  <c r="L356" i="18"/>
  <c r="M357" i="18"/>
  <c r="J358" i="18"/>
  <c r="K358" i="18"/>
  <c r="L357" i="18"/>
  <c r="M358" i="18"/>
  <c r="J359" i="18"/>
  <c r="K359" i="18"/>
  <c r="L358" i="18"/>
  <c r="M359" i="18"/>
  <c r="J360" i="18"/>
  <c r="K360" i="18"/>
  <c r="L359" i="18"/>
  <c r="M360" i="18"/>
  <c r="J361" i="18"/>
  <c r="K361" i="18"/>
  <c r="L360" i="18"/>
  <c r="M361" i="18"/>
  <c r="J362" i="18"/>
  <c r="K362" i="18"/>
  <c r="L361" i="18"/>
  <c r="M362" i="18"/>
  <c r="J363" i="18"/>
  <c r="K363" i="18"/>
  <c r="L362" i="18"/>
  <c r="M363" i="18"/>
  <c r="J364" i="18"/>
  <c r="K364" i="18"/>
  <c r="L363" i="18"/>
  <c r="M364" i="18"/>
  <c r="J365" i="18"/>
  <c r="K365" i="18"/>
  <c r="L364" i="18"/>
  <c r="M365" i="18"/>
  <c r="J366" i="18"/>
  <c r="K366" i="18"/>
  <c r="L365" i="18"/>
  <c r="M366" i="18"/>
  <c r="J367" i="18"/>
  <c r="K367" i="18"/>
  <c r="L366" i="18"/>
  <c r="M367" i="18"/>
  <c r="J368" i="18"/>
  <c r="K368" i="18"/>
  <c r="L367" i="18"/>
  <c r="M368" i="18"/>
  <c r="J369" i="18"/>
  <c r="K369" i="18"/>
  <c r="L368" i="18"/>
  <c r="M369" i="18"/>
  <c r="J370" i="18"/>
  <c r="K370" i="18"/>
  <c r="L369" i="18"/>
  <c r="M370" i="18"/>
  <c r="J371" i="18"/>
  <c r="K371" i="18"/>
  <c r="L370" i="18"/>
  <c r="M371" i="18"/>
  <c r="J372" i="18"/>
  <c r="K372" i="18"/>
  <c r="L371" i="18"/>
  <c r="M372" i="18"/>
  <c r="J373" i="18"/>
  <c r="K373" i="18"/>
  <c r="L372" i="18"/>
  <c r="M373" i="18"/>
  <c r="N211" i="18"/>
  <c r="N212" i="18"/>
  <c r="N213" i="18"/>
  <c r="N214" i="18"/>
  <c r="N215" i="18"/>
  <c r="N216" i="18"/>
  <c r="N217" i="18"/>
  <c r="N218" i="18"/>
  <c r="N219" i="18"/>
  <c r="N220" i="18"/>
  <c r="N221" i="18"/>
  <c r="N222" i="18"/>
  <c r="N223" i="18"/>
  <c r="N224" i="18"/>
  <c r="N225" i="18"/>
  <c r="N226" i="18"/>
  <c r="N227" i="18"/>
  <c r="N228" i="18"/>
  <c r="N229" i="18"/>
  <c r="N230" i="18"/>
  <c r="N231" i="18"/>
  <c r="N232" i="18"/>
  <c r="N233" i="18"/>
  <c r="N234" i="18"/>
  <c r="N235" i="18"/>
  <c r="N236" i="18"/>
  <c r="N237" i="18"/>
  <c r="N238" i="18"/>
  <c r="N239" i="18"/>
  <c r="N240" i="18"/>
  <c r="N241" i="18"/>
  <c r="N242" i="18"/>
  <c r="N243" i="18"/>
  <c r="N244" i="18"/>
  <c r="N245" i="18"/>
  <c r="N246" i="18"/>
  <c r="N247" i="18"/>
  <c r="N248" i="18"/>
  <c r="N249" i="18"/>
  <c r="N250" i="18"/>
  <c r="N251" i="18"/>
  <c r="N252" i="18"/>
  <c r="N253" i="18"/>
  <c r="N254" i="18"/>
  <c r="N255" i="18"/>
  <c r="N256" i="18"/>
  <c r="N257" i="18"/>
  <c r="N258" i="18"/>
  <c r="N259" i="18"/>
  <c r="N260" i="18"/>
  <c r="N261" i="18"/>
  <c r="N262" i="18"/>
  <c r="N263" i="18"/>
  <c r="N264" i="18"/>
  <c r="N265" i="18"/>
  <c r="N266" i="18"/>
  <c r="N267" i="18"/>
  <c r="N268" i="18"/>
  <c r="N269" i="18"/>
  <c r="N270" i="18"/>
  <c r="N271" i="18"/>
  <c r="N272" i="18"/>
  <c r="N273" i="18"/>
  <c r="N274" i="18"/>
  <c r="N275" i="18"/>
  <c r="N276" i="18"/>
  <c r="N277" i="18"/>
  <c r="N278" i="18"/>
  <c r="N279" i="18"/>
  <c r="N280" i="18"/>
  <c r="N281" i="18"/>
  <c r="N282" i="18"/>
  <c r="N283" i="18"/>
  <c r="N284" i="18"/>
  <c r="N285" i="18"/>
  <c r="N286" i="18"/>
  <c r="N287" i="18"/>
  <c r="N288" i="18"/>
  <c r="N289" i="18"/>
  <c r="N290" i="18"/>
  <c r="N291" i="18"/>
  <c r="N292" i="18"/>
  <c r="N293" i="18"/>
  <c r="N294" i="18"/>
  <c r="N295" i="18"/>
  <c r="N296" i="18"/>
  <c r="N297" i="18"/>
  <c r="N298" i="18"/>
  <c r="N299" i="18"/>
  <c r="N300" i="18"/>
  <c r="N301" i="18"/>
  <c r="N302" i="18"/>
  <c r="N303" i="18"/>
  <c r="N304" i="18"/>
  <c r="N305" i="18"/>
  <c r="N306" i="18"/>
  <c r="N307" i="18"/>
  <c r="N308" i="18"/>
  <c r="N309" i="18"/>
  <c r="N310" i="18"/>
  <c r="N311" i="18"/>
  <c r="N312" i="18"/>
  <c r="N313" i="18"/>
  <c r="N314" i="18"/>
  <c r="N315" i="18"/>
  <c r="N316" i="18"/>
  <c r="N317" i="18"/>
  <c r="N318" i="18"/>
  <c r="N319" i="18"/>
  <c r="N320" i="18"/>
  <c r="N321" i="18"/>
  <c r="N322" i="18"/>
  <c r="N323" i="18"/>
  <c r="N324" i="18"/>
  <c r="N325" i="18"/>
  <c r="N326" i="18"/>
  <c r="N327" i="18"/>
  <c r="N328" i="18"/>
  <c r="N329" i="18"/>
  <c r="N330" i="18"/>
  <c r="N331" i="18"/>
  <c r="N332" i="18"/>
  <c r="N333" i="18"/>
  <c r="N334" i="18"/>
  <c r="N335" i="18"/>
  <c r="N336" i="18"/>
  <c r="N337" i="18"/>
  <c r="N338" i="18"/>
  <c r="N339" i="18"/>
  <c r="N340" i="18"/>
  <c r="N341" i="18"/>
  <c r="N342" i="18"/>
  <c r="N343" i="18"/>
  <c r="N344" i="18"/>
  <c r="N345" i="18"/>
  <c r="N346" i="18"/>
  <c r="N347" i="18"/>
  <c r="N348" i="18"/>
  <c r="N349" i="18"/>
  <c r="N350" i="18"/>
  <c r="N351" i="18"/>
  <c r="N352" i="18"/>
  <c r="N353" i="18"/>
  <c r="N354" i="18"/>
  <c r="N355" i="18"/>
  <c r="N356" i="18"/>
  <c r="N357" i="18"/>
  <c r="N358" i="18"/>
  <c r="N359" i="18"/>
  <c r="N360" i="18"/>
  <c r="N361" i="18"/>
  <c r="N362" i="18"/>
  <c r="N363" i="18"/>
  <c r="N364" i="18"/>
  <c r="N365" i="18"/>
  <c r="N366" i="18"/>
  <c r="N367" i="18"/>
  <c r="N368" i="18"/>
  <c r="N369" i="18"/>
  <c r="N370" i="18"/>
  <c r="N371" i="18"/>
  <c r="N372" i="18"/>
  <c r="N373" i="18"/>
  <c r="B381" i="18"/>
  <c r="E416" i="18"/>
  <c r="E153" i="19"/>
  <c r="F416" i="18"/>
  <c r="F153" i="19"/>
  <c r="B416" i="18"/>
  <c r="B153" i="19"/>
  <c r="C416" i="18"/>
  <c r="C153" i="19"/>
  <c r="D416" i="18"/>
  <c r="D153" i="19"/>
  <c r="G416" i="18"/>
  <c r="G153" i="19"/>
  <c r="E401" i="19"/>
  <c r="E717" i="19"/>
  <c r="E402" i="19"/>
  <c r="E718" i="19"/>
  <c r="E403" i="19"/>
  <c r="E719" i="19"/>
  <c r="E823" i="19"/>
  <c r="B1410" i="19"/>
  <c r="B1444" i="19"/>
  <c r="B1445" i="19"/>
  <c r="B1446" i="19"/>
  <c r="E417" i="18"/>
  <c r="E154" i="19"/>
  <c r="F417" i="18"/>
  <c r="F154" i="19"/>
  <c r="B417" i="18"/>
  <c r="B154" i="19"/>
  <c r="C417" i="18"/>
  <c r="C154" i="19"/>
  <c r="D417" i="18"/>
  <c r="D154" i="19"/>
  <c r="G417" i="18"/>
  <c r="G154" i="19"/>
  <c r="E405" i="19"/>
  <c r="E721" i="19"/>
  <c r="E406" i="19"/>
  <c r="E722" i="19"/>
  <c r="E407" i="19"/>
  <c r="E723" i="19"/>
  <c r="E418" i="18"/>
  <c r="E155" i="19"/>
  <c r="F418" i="18"/>
  <c r="F155" i="19"/>
  <c r="B418" i="18"/>
  <c r="B155" i="19"/>
  <c r="C418" i="18"/>
  <c r="C155" i="19"/>
  <c r="D418" i="18"/>
  <c r="D155" i="19"/>
  <c r="G418" i="18"/>
  <c r="G155" i="19"/>
  <c r="E409" i="19"/>
  <c r="E724" i="19"/>
  <c r="E410" i="19"/>
  <c r="E725" i="19"/>
  <c r="E411" i="19"/>
  <c r="E726" i="19"/>
  <c r="E824" i="19"/>
  <c r="B1411" i="19"/>
  <c r="B1448" i="19"/>
  <c r="B1449" i="19"/>
  <c r="B1450" i="19"/>
  <c r="B1451" i="19"/>
  <c r="B1452" i="19"/>
  <c r="B1453" i="19"/>
  <c r="E419" i="18"/>
  <c r="E156" i="19"/>
  <c r="F419" i="18"/>
  <c r="F156" i="19"/>
  <c r="B419" i="18"/>
  <c r="B156" i="19"/>
  <c r="C419" i="18"/>
  <c r="C156" i="19"/>
  <c r="D419" i="18"/>
  <c r="D156" i="19"/>
  <c r="G419" i="18"/>
  <c r="G156" i="19"/>
  <c r="E413" i="19"/>
  <c r="E728" i="19"/>
  <c r="E414" i="19"/>
  <c r="E729" i="19"/>
  <c r="E415" i="19"/>
  <c r="E730" i="19"/>
  <c r="E825" i="19"/>
  <c r="B1412" i="19"/>
  <c r="B1455" i="19"/>
  <c r="B1456" i="19"/>
  <c r="B1457" i="19"/>
  <c r="E420" i="18"/>
  <c r="E157" i="19"/>
  <c r="F420" i="18"/>
  <c r="F157" i="19"/>
  <c r="B420" i="18"/>
  <c r="B157" i="19"/>
  <c r="C420" i="18"/>
  <c r="C157" i="19"/>
  <c r="D420" i="18"/>
  <c r="D157" i="19"/>
  <c r="G420" i="18"/>
  <c r="G157" i="19"/>
  <c r="E417" i="19"/>
  <c r="E732" i="19"/>
  <c r="E418" i="19"/>
  <c r="E733" i="19"/>
  <c r="E419" i="19"/>
  <c r="E734" i="19"/>
  <c r="E421" i="18"/>
  <c r="E158" i="19"/>
  <c r="F421" i="18"/>
  <c r="F158" i="19"/>
  <c r="B421" i="18"/>
  <c r="B158" i="19"/>
  <c r="C421" i="18"/>
  <c r="C158" i="19"/>
  <c r="D421" i="18"/>
  <c r="D158" i="19"/>
  <c r="G421" i="18"/>
  <c r="G158" i="19"/>
  <c r="E421" i="19"/>
  <c r="E735" i="19"/>
  <c r="E422" i="19"/>
  <c r="E736" i="19"/>
  <c r="E423" i="19"/>
  <c r="E737" i="19"/>
  <c r="E826" i="19"/>
  <c r="B1413" i="19"/>
  <c r="B1459" i="19"/>
  <c r="B1460" i="19"/>
  <c r="B1461" i="19"/>
  <c r="B1462" i="19"/>
  <c r="B1463" i="19"/>
  <c r="B1464" i="19"/>
  <c r="E424" i="18"/>
  <c r="E161" i="19"/>
  <c r="F424" i="18"/>
  <c r="F161" i="19"/>
  <c r="B424" i="18"/>
  <c r="B161" i="19"/>
  <c r="C424" i="18"/>
  <c r="C161" i="19"/>
  <c r="D424" i="18"/>
  <c r="D161" i="19"/>
  <c r="G424" i="18"/>
  <c r="G161" i="19"/>
  <c r="E431" i="19"/>
  <c r="E745" i="19"/>
  <c r="E829" i="19"/>
  <c r="B1416" i="19"/>
  <c r="B1472" i="19"/>
  <c r="E426" i="18"/>
  <c r="E163" i="19"/>
  <c r="F426" i="18"/>
  <c r="F163" i="19"/>
  <c r="B426" i="18"/>
  <c r="B163" i="19"/>
  <c r="C426" i="18"/>
  <c r="C163" i="19"/>
  <c r="D426" i="18"/>
  <c r="D163" i="19"/>
  <c r="G426" i="18"/>
  <c r="G163" i="19"/>
  <c r="E437" i="19"/>
  <c r="E751" i="19"/>
  <c r="E438" i="19"/>
  <c r="E752" i="19"/>
  <c r="E439" i="19"/>
  <c r="E753" i="19"/>
  <c r="E831" i="19"/>
  <c r="B1418" i="19"/>
  <c r="B1478" i="19"/>
  <c r="B1479" i="19"/>
  <c r="B1480" i="19"/>
  <c r="B441" i="19"/>
  <c r="B755" i="19"/>
  <c r="B442" i="19"/>
  <c r="B756" i="19"/>
  <c r="B443" i="19"/>
  <c r="B757" i="19"/>
  <c r="B832" i="19"/>
  <c r="C441" i="19"/>
  <c r="C755" i="19"/>
  <c r="C442" i="19"/>
  <c r="C756" i="19"/>
  <c r="C443" i="19"/>
  <c r="C757" i="19"/>
  <c r="C832" i="19"/>
  <c r="D441" i="19"/>
  <c r="D755" i="19"/>
  <c r="D442" i="19"/>
  <c r="D756" i="19"/>
  <c r="D443" i="19"/>
  <c r="D757" i="19"/>
  <c r="D832" i="19"/>
  <c r="E427" i="18"/>
  <c r="E164" i="19"/>
  <c r="F427" i="18"/>
  <c r="F164" i="19"/>
  <c r="B427" i="18"/>
  <c r="B164" i="19"/>
  <c r="C427" i="18"/>
  <c r="C164" i="19"/>
  <c r="D427" i="18"/>
  <c r="D164" i="19"/>
  <c r="G427" i="18"/>
  <c r="G164" i="19"/>
  <c r="E441" i="19"/>
  <c r="E755" i="19"/>
  <c r="E442" i="19"/>
  <c r="E756" i="19"/>
  <c r="E443" i="19"/>
  <c r="E757" i="19"/>
  <c r="E832" i="19"/>
  <c r="B1419" i="19"/>
  <c r="B1482" i="19"/>
  <c r="B1483" i="19"/>
  <c r="B1484" i="19"/>
  <c r="B445" i="19"/>
  <c r="B759" i="19"/>
  <c r="B446" i="19"/>
  <c r="B760" i="19"/>
  <c r="B833" i="19"/>
  <c r="C445" i="19"/>
  <c r="C759" i="19"/>
  <c r="C446" i="19"/>
  <c r="C760" i="19"/>
  <c r="C833" i="19"/>
  <c r="D445" i="19"/>
  <c r="D759" i="19"/>
  <c r="D446" i="19"/>
  <c r="D760" i="19"/>
  <c r="D833" i="19"/>
  <c r="E428" i="18"/>
  <c r="E165" i="19"/>
  <c r="F428" i="18"/>
  <c r="F165" i="19"/>
  <c r="B428" i="18"/>
  <c r="B165" i="19"/>
  <c r="C428" i="18"/>
  <c r="C165" i="19"/>
  <c r="D428" i="18"/>
  <c r="D165" i="19"/>
  <c r="G428" i="18"/>
  <c r="G165" i="19"/>
  <c r="E445" i="19"/>
  <c r="E759" i="19"/>
  <c r="E446" i="19"/>
  <c r="E760" i="19"/>
  <c r="E833" i="19"/>
  <c r="B1420" i="19"/>
  <c r="B1486" i="19"/>
  <c r="B1487" i="19"/>
  <c r="B448" i="19"/>
  <c r="B762" i="19"/>
  <c r="B449" i="19"/>
  <c r="B763" i="19"/>
  <c r="B834" i="19"/>
  <c r="C448" i="19"/>
  <c r="C762" i="19"/>
  <c r="C449" i="19"/>
  <c r="C763" i="19"/>
  <c r="C834" i="19"/>
  <c r="D448" i="19"/>
  <c r="D762" i="19"/>
  <c r="D449" i="19"/>
  <c r="D763" i="19"/>
  <c r="D834" i="19"/>
  <c r="E429" i="18"/>
  <c r="E166" i="19"/>
  <c r="F429" i="18"/>
  <c r="F166" i="19"/>
  <c r="B429" i="18"/>
  <c r="B166" i="19"/>
  <c r="C429" i="18"/>
  <c r="C166" i="19"/>
  <c r="D429" i="18"/>
  <c r="D166" i="19"/>
  <c r="G429" i="18"/>
  <c r="G166" i="19"/>
  <c r="E448" i="19"/>
  <c r="E762" i="19"/>
  <c r="E449" i="19"/>
  <c r="E763" i="19"/>
  <c r="E834" i="19"/>
  <c r="B1421" i="19"/>
  <c r="B1489" i="19"/>
  <c r="B1490" i="19"/>
  <c r="E430" i="18"/>
  <c r="E167" i="19"/>
  <c r="F430" i="18"/>
  <c r="F167" i="19"/>
  <c r="B430" i="18"/>
  <c r="B167" i="19"/>
  <c r="C430" i="18"/>
  <c r="C167" i="19"/>
  <c r="D430" i="18"/>
  <c r="D167" i="19"/>
  <c r="G430" i="18"/>
  <c r="G167" i="19"/>
  <c r="E451" i="19"/>
  <c r="E765" i="19"/>
  <c r="E452" i="19"/>
  <c r="E766" i="19"/>
  <c r="E453" i="19"/>
  <c r="E767" i="19"/>
  <c r="E835" i="19"/>
  <c r="B1422" i="19"/>
  <c r="B1492" i="19"/>
  <c r="B1493" i="19"/>
  <c r="B1494" i="19"/>
  <c r="E431" i="18"/>
  <c r="E168" i="19"/>
  <c r="F431" i="18"/>
  <c r="F168" i="19"/>
  <c r="B431" i="18"/>
  <c r="B168" i="19"/>
  <c r="C431" i="18"/>
  <c r="C168" i="19"/>
  <c r="D431" i="18"/>
  <c r="D168" i="19"/>
  <c r="G431" i="18"/>
  <c r="G168" i="19"/>
  <c r="E455" i="19"/>
  <c r="E769" i="19"/>
  <c r="E456" i="19"/>
  <c r="E770" i="19"/>
  <c r="E457" i="19"/>
  <c r="E771" i="19"/>
  <c r="E836" i="19"/>
  <c r="B1423" i="19"/>
  <c r="B1496" i="19"/>
  <c r="B1497" i="19"/>
  <c r="B1498" i="19"/>
  <c r="E432" i="18"/>
  <c r="E169" i="19"/>
  <c r="F432" i="18"/>
  <c r="F169" i="19"/>
  <c r="B432" i="18"/>
  <c r="B169" i="19"/>
  <c r="C432" i="18"/>
  <c r="C169" i="19"/>
  <c r="D432" i="18"/>
  <c r="D169" i="19"/>
  <c r="G432" i="18"/>
  <c r="G169" i="19"/>
  <c r="E459" i="19"/>
  <c r="E773" i="19"/>
  <c r="E460" i="19"/>
  <c r="E774" i="19"/>
  <c r="E461" i="19"/>
  <c r="E775" i="19"/>
  <c r="E837" i="19"/>
  <c r="B1424" i="19"/>
  <c r="B1500" i="19"/>
  <c r="B1501" i="19"/>
  <c r="B1502" i="19"/>
  <c r="E433" i="18"/>
  <c r="E170" i="19"/>
  <c r="F433" i="18"/>
  <c r="F170" i="19"/>
  <c r="B433" i="18"/>
  <c r="B170" i="19"/>
  <c r="C433" i="18"/>
  <c r="C170" i="19"/>
  <c r="D433" i="18"/>
  <c r="D170" i="19"/>
  <c r="G433" i="18"/>
  <c r="G170" i="19"/>
  <c r="E463" i="19"/>
  <c r="E777" i="19"/>
  <c r="E464" i="19"/>
  <c r="E778" i="19"/>
  <c r="E465" i="19"/>
  <c r="E779" i="19"/>
  <c r="E838" i="19"/>
  <c r="B1425" i="19"/>
  <c r="B1504" i="19"/>
  <c r="B1505" i="19"/>
  <c r="B1506" i="19"/>
  <c r="E434" i="18"/>
  <c r="E171" i="19"/>
  <c r="F434" i="18"/>
  <c r="F171" i="19"/>
  <c r="B434" i="18"/>
  <c r="B171" i="19"/>
  <c r="C434" i="18"/>
  <c r="C171" i="19"/>
  <c r="D434" i="18"/>
  <c r="D171" i="19"/>
  <c r="G434" i="18"/>
  <c r="G171" i="19"/>
  <c r="E467" i="19"/>
  <c r="E781" i="19"/>
  <c r="E468" i="19"/>
  <c r="E782" i="19"/>
  <c r="E469" i="19"/>
  <c r="E783" i="19"/>
  <c r="E839" i="19"/>
  <c r="B1426" i="19"/>
  <c r="B1508" i="19"/>
  <c r="B1509" i="19"/>
  <c r="B1510" i="19"/>
  <c r="B1427" i="19"/>
  <c r="B1512" i="19"/>
  <c r="B1513" i="19"/>
  <c r="B1514" i="19"/>
  <c r="B478" i="19"/>
  <c r="B792" i="19"/>
  <c r="B479" i="19"/>
  <c r="B793" i="19"/>
  <c r="B480" i="19"/>
  <c r="B794" i="19"/>
  <c r="B842" i="19"/>
  <c r="C478" i="19"/>
  <c r="C792" i="19"/>
  <c r="C479" i="19"/>
  <c r="C793" i="19"/>
  <c r="C480" i="19"/>
  <c r="C794" i="19"/>
  <c r="C842" i="19"/>
  <c r="D478" i="19"/>
  <c r="D792" i="19"/>
  <c r="D479" i="19"/>
  <c r="D793" i="19"/>
  <c r="D480" i="19"/>
  <c r="D794" i="19"/>
  <c r="D842" i="19"/>
  <c r="B1429" i="19"/>
  <c r="B1519" i="19"/>
  <c r="B1520" i="19"/>
  <c r="B1521" i="19"/>
  <c r="B482" i="19"/>
  <c r="B796" i="19"/>
  <c r="B483" i="19"/>
  <c r="B797" i="19"/>
  <c r="B484" i="19"/>
  <c r="B798" i="19"/>
  <c r="B843" i="19"/>
  <c r="C482" i="19"/>
  <c r="C796" i="19"/>
  <c r="C483" i="19"/>
  <c r="C797" i="19"/>
  <c r="C484" i="19"/>
  <c r="C798" i="19"/>
  <c r="C843" i="19"/>
  <c r="D482" i="19"/>
  <c r="D796" i="19"/>
  <c r="D483" i="19"/>
  <c r="D797" i="19"/>
  <c r="D484" i="19"/>
  <c r="D798" i="19"/>
  <c r="D843" i="19"/>
  <c r="B1430" i="19"/>
  <c r="B1523" i="19"/>
  <c r="B1524" i="19"/>
  <c r="B1525" i="19"/>
  <c r="B486" i="19"/>
  <c r="B800" i="19"/>
  <c r="B487" i="19"/>
  <c r="B801" i="19"/>
  <c r="B844" i="19"/>
  <c r="C486" i="19"/>
  <c r="C800" i="19"/>
  <c r="C487" i="19"/>
  <c r="C801" i="19"/>
  <c r="C844" i="19"/>
  <c r="D486" i="19"/>
  <c r="D800" i="19"/>
  <c r="D487" i="19"/>
  <c r="D801" i="19"/>
  <c r="D844" i="19"/>
  <c r="B1431" i="19"/>
  <c r="B1527" i="19"/>
  <c r="B1528" i="19"/>
  <c r="B489" i="19"/>
  <c r="B803" i="19"/>
  <c r="B490" i="19"/>
  <c r="B804" i="19"/>
  <c r="B845" i="19"/>
  <c r="C489" i="19"/>
  <c r="C803" i="19"/>
  <c r="C490" i="19"/>
  <c r="C804" i="19"/>
  <c r="C845" i="19"/>
  <c r="D489" i="19"/>
  <c r="D803" i="19"/>
  <c r="D490" i="19"/>
  <c r="D804" i="19"/>
  <c r="D845" i="19"/>
  <c r="B1432" i="19"/>
  <c r="B1530" i="19"/>
  <c r="B1531" i="19"/>
  <c r="B492" i="19"/>
  <c r="B806" i="19"/>
  <c r="B493" i="19"/>
  <c r="B807" i="19"/>
  <c r="B846" i="19"/>
  <c r="C492" i="19"/>
  <c r="C806" i="19"/>
  <c r="C493" i="19"/>
  <c r="C807" i="19"/>
  <c r="C846" i="19"/>
  <c r="D492" i="19"/>
  <c r="D806" i="19"/>
  <c r="D493" i="19"/>
  <c r="D807" i="19"/>
  <c r="D846" i="19"/>
  <c r="B1433" i="19"/>
  <c r="B1533" i="19"/>
  <c r="B1534" i="19"/>
  <c r="B495" i="19"/>
  <c r="B809" i="19"/>
  <c r="B496" i="19"/>
  <c r="B810" i="19"/>
  <c r="B847" i="19"/>
  <c r="C495" i="19"/>
  <c r="C809" i="19"/>
  <c r="C496" i="19"/>
  <c r="C810" i="19"/>
  <c r="C847" i="19"/>
  <c r="D495" i="19"/>
  <c r="D809" i="19"/>
  <c r="D496" i="19"/>
  <c r="D810" i="19"/>
  <c r="D847" i="19"/>
  <c r="B1434" i="19"/>
  <c r="B1536" i="19"/>
  <c r="B1537" i="19"/>
  <c r="C1550" i="19"/>
  <c r="C218" i="19"/>
  <c r="E68" i="19"/>
  <c r="C219" i="19"/>
  <c r="E70" i="19"/>
  <c r="C221" i="19"/>
  <c r="E71" i="19"/>
  <c r="C222" i="19"/>
  <c r="E75" i="19"/>
  <c r="C226" i="19"/>
  <c r="E77" i="19"/>
  <c r="C228" i="19"/>
  <c r="E78" i="19"/>
  <c r="F78" i="19"/>
  <c r="C229" i="19"/>
  <c r="E79" i="19"/>
  <c r="F79" i="19"/>
  <c r="C230" i="19"/>
  <c r="E80" i="19"/>
  <c r="F80" i="19"/>
  <c r="C231" i="19"/>
  <c r="B81" i="19"/>
  <c r="C232" i="19"/>
  <c r="B82" i="19"/>
  <c r="C233" i="19"/>
  <c r="B83" i="19"/>
  <c r="C234" i="19"/>
  <c r="B84" i="19"/>
  <c r="C235" i="19"/>
  <c r="B85" i="19"/>
  <c r="C236" i="19"/>
  <c r="E86" i="19"/>
  <c r="C237" i="19"/>
  <c r="E87" i="19"/>
  <c r="C238" i="19"/>
  <c r="E88" i="19"/>
  <c r="C239" i="19"/>
  <c r="E89" i="19"/>
  <c r="C240" i="19"/>
  <c r="E90" i="19"/>
  <c r="C241" i="19"/>
  <c r="E91" i="19"/>
  <c r="C242" i="19"/>
  <c r="E92" i="19"/>
  <c r="C243" i="19"/>
  <c r="E93" i="19"/>
  <c r="C244" i="19"/>
  <c r="C256" i="19"/>
  <c r="B1571" i="19"/>
  <c r="B1048" i="19"/>
  <c r="B1082" i="19"/>
  <c r="B1083" i="19"/>
  <c r="B1084" i="19"/>
  <c r="B1049" i="19"/>
  <c r="B1086" i="19"/>
  <c r="B1087" i="19"/>
  <c r="B1088" i="19"/>
  <c r="B1089" i="19"/>
  <c r="B1090" i="19"/>
  <c r="B1091" i="19"/>
  <c r="B1050" i="19"/>
  <c r="B1093" i="19"/>
  <c r="B1094" i="19"/>
  <c r="B1095" i="19"/>
  <c r="B1051" i="19"/>
  <c r="B1097" i="19"/>
  <c r="B1098" i="19"/>
  <c r="B1099" i="19"/>
  <c r="B1100" i="19"/>
  <c r="B1101" i="19"/>
  <c r="B1102" i="19"/>
  <c r="B1054" i="19"/>
  <c r="B1110" i="19"/>
  <c r="B1056" i="19"/>
  <c r="B1116" i="19"/>
  <c r="B1117" i="19"/>
  <c r="B1118" i="19"/>
  <c r="B1057" i="19"/>
  <c r="B1120" i="19"/>
  <c r="B1121" i="19"/>
  <c r="B1122" i="19"/>
  <c r="B1058" i="19"/>
  <c r="B1124" i="19"/>
  <c r="B1125" i="19"/>
  <c r="B1059" i="19"/>
  <c r="B1127" i="19"/>
  <c r="B1128" i="19"/>
  <c r="B1060" i="19"/>
  <c r="B1130" i="19"/>
  <c r="B1131" i="19"/>
  <c r="B1132" i="19"/>
  <c r="B1061" i="19"/>
  <c r="B1134" i="19"/>
  <c r="B1135" i="19"/>
  <c r="B1136" i="19"/>
  <c r="B1062" i="19"/>
  <c r="B1138" i="19"/>
  <c r="B1139" i="19"/>
  <c r="B1140" i="19"/>
  <c r="B1063" i="19"/>
  <c r="B1142" i="19"/>
  <c r="B1143" i="19"/>
  <c r="B1144" i="19"/>
  <c r="B1064" i="19"/>
  <c r="B1146" i="19"/>
  <c r="B1147" i="19"/>
  <c r="B1148" i="19"/>
  <c r="B1065" i="19"/>
  <c r="B1150" i="19"/>
  <c r="B1151" i="19"/>
  <c r="B1152" i="19"/>
  <c r="B1067" i="19"/>
  <c r="B1157" i="19"/>
  <c r="B1158" i="19"/>
  <c r="B1159" i="19"/>
  <c r="B1068" i="19"/>
  <c r="B1161" i="19"/>
  <c r="B1162" i="19"/>
  <c r="B1163" i="19"/>
  <c r="B1069" i="19"/>
  <c r="B1165" i="19"/>
  <c r="B1166" i="19"/>
  <c r="B1070" i="19"/>
  <c r="B1168" i="19"/>
  <c r="B1169" i="19"/>
  <c r="B1071" i="19"/>
  <c r="B1171" i="19"/>
  <c r="B1172" i="19"/>
  <c r="B1072" i="19"/>
  <c r="B1174" i="19"/>
  <c r="B1175" i="19"/>
  <c r="D1188" i="19"/>
  <c r="D218" i="19"/>
  <c r="E114" i="19"/>
  <c r="D219" i="19"/>
  <c r="E116" i="19"/>
  <c r="D221" i="19"/>
  <c r="E117" i="19"/>
  <c r="D222" i="19"/>
  <c r="E121" i="19"/>
  <c r="D226" i="19"/>
  <c r="E123" i="19"/>
  <c r="D228" i="19"/>
  <c r="E124" i="19"/>
  <c r="F124" i="19"/>
  <c r="D229" i="19"/>
  <c r="E125" i="19"/>
  <c r="F125" i="19"/>
  <c r="D230" i="19"/>
  <c r="E126" i="19"/>
  <c r="F126" i="19"/>
  <c r="D231" i="19"/>
  <c r="B127" i="19"/>
  <c r="D232" i="19"/>
  <c r="B128" i="19"/>
  <c r="D233" i="19"/>
  <c r="B129" i="19"/>
  <c r="D234" i="19"/>
  <c r="B130" i="19"/>
  <c r="D235" i="19"/>
  <c r="B131" i="19"/>
  <c r="D236" i="19"/>
  <c r="E132" i="19"/>
  <c r="D237" i="19"/>
  <c r="E133" i="19"/>
  <c r="D238" i="19"/>
  <c r="E134" i="19"/>
  <c r="D239" i="19"/>
  <c r="E135" i="19"/>
  <c r="D240" i="19"/>
  <c r="E136" i="19"/>
  <c r="D241" i="19"/>
  <c r="E137" i="19"/>
  <c r="D242" i="19"/>
  <c r="E138" i="19"/>
  <c r="D243" i="19"/>
  <c r="E139" i="19"/>
  <c r="D244" i="19"/>
  <c r="D256" i="19"/>
  <c r="C1209" i="19"/>
  <c r="B867" i="19"/>
  <c r="B901" i="19"/>
  <c r="B902" i="19"/>
  <c r="B903" i="19"/>
  <c r="B868" i="19"/>
  <c r="B905" i="19"/>
  <c r="B906" i="19"/>
  <c r="B907" i="19"/>
  <c r="B908" i="19"/>
  <c r="B909" i="19"/>
  <c r="B910" i="19"/>
  <c r="B869" i="19"/>
  <c r="B912" i="19"/>
  <c r="B913" i="19"/>
  <c r="B914" i="19"/>
  <c r="B870" i="19"/>
  <c r="B916" i="19"/>
  <c r="B917" i="19"/>
  <c r="B918" i="19"/>
  <c r="B919" i="19"/>
  <c r="B920" i="19"/>
  <c r="B921" i="19"/>
  <c r="B873" i="19"/>
  <c r="B929" i="19"/>
  <c r="B875" i="19"/>
  <c r="B935" i="19"/>
  <c r="B936" i="19"/>
  <c r="B937" i="19"/>
  <c r="B876" i="19"/>
  <c r="B939" i="19"/>
  <c r="B940" i="19"/>
  <c r="B941" i="19"/>
  <c r="B877" i="19"/>
  <c r="B943" i="19"/>
  <c r="B944" i="19"/>
  <c r="B878" i="19"/>
  <c r="B946" i="19"/>
  <c r="B947" i="19"/>
  <c r="B879" i="19"/>
  <c r="B949" i="19"/>
  <c r="B950" i="19"/>
  <c r="B951" i="19"/>
  <c r="B880" i="19"/>
  <c r="B953" i="19"/>
  <c r="B954" i="19"/>
  <c r="B955" i="19"/>
  <c r="B881" i="19"/>
  <c r="B957" i="19"/>
  <c r="B958" i="19"/>
  <c r="B959" i="19"/>
  <c r="B882" i="19"/>
  <c r="B961" i="19"/>
  <c r="B962" i="19"/>
  <c r="B963" i="19"/>
  <c r="B883" i="19"/>
  <c r="B965" i="19"/>
  <c r="B966" i="19"/>
  <c r="B967" i="19"/>
  <c r="B884" i="19"/>
  <c r="B969" i="19"/>
  <c r="B970" i="19"/>
  <c r="B971" i="19"/>
  <c r="B886" i="19"/>
  <c r="B976" i="19"/>
  <c r="B977" i="19"/>
  <c r="B978" i="19"/>
  <c r="B887" i="19"/>
  <c r="B980" i="19"/>
  <c r="B981" i="19"/>
  <c r="B982" i="19"/>
  <c r="B888" i="19"/>
  <c r="B984" i="19"/>
  <c r="B985" i="19"/>
  <c r="B889" i="19"/>
  <c r="B987" i="19"/>
  <c r="B988" i="19"/>
  <c r="B890" i="19"/>
  <c r="B990" i="19"/>
  <c r="B991" i="19"/>
  <c r="B891" i="19"/>
  <c r="B993" i="19"/>
  <c r="B994" i="19"/>
  <c r="D1007" i="19"/>
  <c r="C1028" i="19"/>
  <c r="C1602" i="19"/>
  <c r="B1229" i="19"/>
  <c r="B1263" i="19"/>
  <c r="B1264" i="19"/>
  <c r="B1265" i="19"/>
  <c r="B1230" i="19"/>
  <c r="B1267" i="19"/>
  <c r="B1268" i="19"/>
  <c r="B1269" i="19"/>
  <c r="B1270" i="19"/>
  <c r="B1271" i="19"/>
  <c r="B1272" i="19"/>
  <c r="B1231" i="19"/>
  <c r="B1274" i="19"/>
  <c r="B1275" i="19"/>
  <c r="B1276" i="19"/>
  <c r="B1232" i="19"/>
  <c r="B1278" i="19"/>
  <c r="B1279" i="19"/>
  <c r="B1280" i="19"/>
  <c r="B1281" i="19"/>
  <c r="B1282" i="19"/>
  <c r="B1283" i="19"/>
  <c r="B1235" i="19"/>
  <c r="B1291" i="19"/>
  <c r="B1237" i="19"/>
  <c r="B1297" i="19"/>
  <c r="B1298" i="19"/>
  <c r="B1299" i="19"/>
  <c r="B1238" i="19"/>
  <c r="B1301" i="19"/>
  <c r="B1302" i="19"/>
  <c r="B1303" i="19"/>
  <c r="B1239" i="19"/>
  <c r="B1305" i="19"/>
  <c r="B1306" i="19"/>
  <c r="B1240" i="19"/>
  <c r="B1308" i="19"/>
  <c r="B1309" i="19"/>
  <c r="B1241" i="19"/>
  <c r="B1311" i="19"/>
  <c r="B1312" i="19"/>
  <c r="B1313" i="19"/>
  <c r="B1242" i="19"/>
  <c r="B1315" i="19"/>
  <c r="B1316" i="19"/>
  <c r="B1317" i="19"/>
  <c r="B1243" i="19"/>
  <c r="B1319" i="19"/>
  <c r="B1320" i="19"/>
  <c r="B1321" i="19"/>
  <c r="B1244" i="19"/>
  <c r="B1323" i="19"/>
  <c r="B1324" i="19"/>
  <c r="B1325" i="19"/>
  <c r="B1245" i="19"/>
  <c r="B1327" i="19"/>
  <c r="B1328" i="19"/>
  <c r="B1329" i="19"/>
  <c r="B1246" i="19"/>
  <c r="B1331" i="19"/>
  <c r="B1332" i="19"/>
  <c r="B1333" i="19"/>
  <c r="B1248" i="19"/>
  <c r="B1338" i="19"/>
  <c r="B1339" i="19"/>
  <c r="B1340" i="19"/>
  <c r="B1249" i="19"/>
  <c r="B1342" i="19"/>
  <c r="B1343" i="19"/>
  <c r="B1344" i="19"/>
  <c r="B1250" i="19"/>
  <c r="B1346" i="19"/>
  <c r="B1347" i="19"/>
  <c r="B1251" i="19"/>
  <c r="B1349" i="19"/>
  <c r="B1350" i="19"/>
  <c r="B1252" i="19"/>
  <c r="B1352" i="19"/>
  <c r="B1353" i="19"/>
  <c r="B1253" i="19"/>
  <c r="B1355" i="19"/>
  <c r="B1356" i="19"/>
  <c r="E422" i="18"/>
  <c r="E159" i="19"/>
  <c r="F422" i="18"/>
  <c r="F159" i="19"/>
  <c r="B422" i="18"/>
  <c r="B159" i="19"/>
  <c r="C422" i="18"/>
  <c r="C159" i="19"/>
  <c r="D422" i="18"/>
  <c r="D159" i="19"/>
  <c r="G422" i="18"/>
  <c r="G159" i="19"/>
  <c r="E425" i="19"/>
  <c r="E739" i="19"/>
  <c r="E426" i="19"/>
  <c r="E740" i="19"/>
  <c r="E427" i="19"/>
  <c r="E741" i="19"/>
  <c r="E423" i="18"/>
  <c r="E160" i="19"/>
  <c r="F423" i="18"/>
  <c r="F160" i="19"/>
  <c r="B423" i="18"/>
  <c r="B160" i="19"/>
  <c r="C423" i="18"/>
  <c r="C160" i="19"/>
  <c r="D423" i="18"/>
  <c r="D160" i="19"/>
  <c r="G423" i="18"/>
  <c r="G160" i="19"/>
  <c r="E429" i="19"/>
  <c r="E743" i="19"/>
  <c r="E425" i="18"/>
  <c r="E162" i="19"/>
  <c r="F425" i="18"/>
  <c r="F162" i="19"/>
  <c r="B425" i="18"/>
  <c r="B162" i="19"/>
  <c r="C425" i="18"/>
  <c r="C162" i="19"/>
  <c r="D425" i="18"/>
  <c r="D162" i="19"/>
  <c r="G425" i="18"/>
  <c r="G162" i="19"/>
  <c r="E433" i="19"/>
  <c r="E747" i="19"/>
  <c r="E434" i="19"/>
  <c r="E748" i="19"/>
  <c r="E435" i="19"/>
  <c r="E749" i="19"/>
  <c r="E1369" i="19"/>
  <c r="E218" i="19"/>
  <c r="E219" i="19"/>
  <c r="E220" i="19"/>
  <c r="E221" i="19"/>
  <c r="E222" i="19"/>
  <c r="E223" i="19"/>
  <c r="E224" i="19"/>
  <c r="E225" i="19"/>
  <c r="E226" i="19"/>
  <c r="E227" i="19"/>
  <c r="E228" i="19"/>
  <c r="E229" i="19"/>
  <c r="E230" i="19"/>
  <c r="E231" i="19"/>
  <c r="E232" i="19"/>
  <c r="E233" i="19"/>
  <c r="E234" i="19"/>
  <c r="E235" i="19"/>
  <c r="E236" i="19"/>
  <c r="E256" i="19"/>
  <c r="B1369" i="19"/>
  <c r="B218" i="19"/>
  <c r="E22" i="19"/>
  <c r="B219" i="19"/>
  <c r="E24" i="19"/>
  <c r="B221" i="19"/>
  <c r="E25" i="19"/>
  <c r="B222" i="19"/>
  <c r="E29" i="19"/>
  <c r="B226" i="19"/>
  <c r="E31" i="19"/>
  <c r="B228" i="19"/>
  <c r="E32" i="19"/>
  <c r="F32" i="19"/>
  <c r="B229" i="19"/>
  <c r="E33" i="19"/>
  <c r="F33" i="19"/>
  <c r="B230" i="19"/>
  <c r="E34" i="19"/>
  <c r="F34" i="19"/>
  <c r="B231" i="19"/>
  <c r="B35" i="19"/>
  <c r="B232" i="19"/>
  <c r="B36" i="19"/>
  <c r="B233" i="19"/>
  <c r="B37" i="19"/>
  <c r="B234" i="19"/>
  <c r="B38" i="19"/>
  <c r="B235" i="19"/>
  <c r="B39" i="19"/>
  <c r="B236" i="19"/>
  <c r="E40" i="19"/>
  <c r="B237" i="19"/>
  <c r="E41" i="19"/>
  <c r="B238" i="19"/>
  <c r="E42" i="19"/>
  <c r="B239" i="19"/>
  <c r="E43" i="19"/>
  <c r="B240" i="19"/>
  <c r="E44" i="19"/>
  <c r="B241" i="19"/>
  <c r="E45" i="19"/>
  <c r="B242" i="19"/>
  <c r="E46" i="19"/>
  <c r="B243" i="19"/>
  <c r="E47" i="19"/>
  <c r="B244" i="19"/>
  <c r="B256" i="19"/>
  <c r="C1369" i="19"/>
  <c r="B1390" i="19"/>
  <c r="D1369" i="19"/>
  <c r="C1390" i="19"/>
  <c r="D1390" i="19"/>
  <c r="E1188" i="19"/>
  <c r="B1188" i="19"/>
  <c r="C1188" i="19"/>
  <c r="B1209" i="19"/>
  <c r="D1209" i="19"/>
  <c r="D1603" i="19"/>
  <c r="E1007" i="19"/>
  <c r="B1007" i="19"/>
  <c r="C1007" i="19"/>
  <c r="B1028" i="19"/>
  <c r="D1028" i="19"/>
  <c r="D1602" i="19"/>
  <c r="C1603" i="19"/>
  <c r="B1614" i="19"/>
  <c r="D1550" i="19"/>
  <c r="C1571" i="19"/>
  <c r="B1603" i="19"/>
  <c r="B1602" i="19"/>
  <c r="C1614" i="19"/>
  <c r="E1550" i="19"/>
  <c r="B1550" i="19"/>
  <c r="D1571" i="19"/>
  <c r="D1614" i="19"/>
  <c r="C1604" i="19"/>
  <c r="D1604" i="19"/>
  <c r="B1613" i="19"/>
  <c r="B1604" i="19"/>
  <c r="C1613" i="19"/>
  <c r="D1613" i="19"/>
  <c r="B1612" i="19"/>
  <c r="C1612" i="19"/>
  <c r="D1612" i="19"/>
  <c r="B56" i="10"/>
  <c r="G56" i="10"/>
  <c r="K68" i="10"/>
  <c r="B80" i="14"/>
  <c r="B97" i="14"/>
  <c r="B139" i="16"/>
  <c r="C97" i="14"/>
  <c r="C139" i="16"/>
  <c r="D97" i="14"/>
  <c r="D139" i="16"/>
  <c r="E97" i="14"/>
  <c r="E139" i="16"/>
  <c r="F97" i="14"/>
  <c r="F139" i="16"/>
  <c r="G97" i="14"/>
  <c r="G139" i="16"/>
  <c r="H97" i="14"/>
  <c r="H139" i="16"/>
  <c r="I97" i="14"/>
  <c r="I139" i="16"/>
  <c r="E830" i="19"/>
  <c r="B78" i="14"/>
  <c r="B95" i="14"/>
  <c r="B137" i="16"/>
  <c r="C95" i="14"/>
  <c r="C137" i="16"/>
  <c r="D95" i="14"/>
  <c r="D137" i="16"/>
  <c r="E95" i="14"/>
  <c r="E137" i="16"/>
  <c r="F95" i="14"/>
  <c r="F137" i="16"/>
  <c r="G95" i="14"/>
  <c r="G137" i="16"/>
  <c r="H95" i="14"/>
  <c r="H137" i="16"/>
  <c r="I95" i="14"/>
  <c r="I137" i="16"/>
  <c r="E828" i="19"/>
  <c r="E827" i="19"/>
  <c r="B75" i="14"/>
  <c r="B92" i="14"/>
  <c r="B133" i="16"/>
  <c r="C92" i="14"/>
  <c r="C133" i="16"/>
  <c r="D92" i="14"/>
  <c r="D133" i="16"/>
  <c r="E92" i="14"/>
  <c r="E133" i="16"/>
  <c r="F92" i="14"/>
  <c r="F133" i="16"/>
  <c r="G92" i="14"/>
  <c r="G133" i="16"/>
  <c r="H92" i="14"/>
  <c r="H133" i="16"/>
  <c r="I92" i="14"/>
  <c r="I133" i="16"/>
  <c r="B74" i="14"/>
  <c r="B91" i="14"/>
  <c r="B132" i="16"/>
  <c r="C91" i="14"/>
  <c r="C132" i="16"/>
  <c r="D91" i="14"/>
  <c r="D132" i="16"/>
  <c r="E91" i="14"/>
  <c r="E132" i="16"/>
  <c r="F91" i="14"/>
  <c r="F132" i="16"/>
  <c r="G91" i="14"/>
  <c r="G132" i="16"/>
  <c r="H91" i="14"/>
  <c r="H132" i="16"/>
  <c r="I91" i="14"/>
  <c r="I132" i="16"/>
  <c r="B73" i="14"/>
  <c r="B90" i="14"/>
  <c r="B130" i="16"/>
  <c r="C90" i="14"/>
  <c r="C130" i="16"/>
  <c r="D90" i="14"/>
  <c r="D130" i="16"/>
  <c r="E90" i="14"/>
  <c r="E130" i="16"/>
  <c r="F90" i="14"/>
  <c r="F130" i="16"/>
  <c r="G90" i="14"/>
  <c r="G130" i="16"/>
  <c r="H90" i="14"/>
  <c r="H130" i="16"/>
  <c r="I90" i="14"/>
  <c r="I130" i="16"/>
  <c r="H434" i="18"/>
  <c r="H433" i="18"/>
  <c r="H432" i="18"/>
  <c r="H431" i="18"/>
  <c r="H430" i="18"/>
  <c r="H426" i="18"/>
  <c r="H425" i="18"/>
  <c r="H424" i="18"/>
  <c r="H423" i="18"/>
  <c r="H422" i="18"/>
  <c r="H421" i="18"/>
  <c r="H420" i="18"/>
  <c r="H419" i="18"/>
  <c r="H418" i="18"/>
  <c r="H417" i="18"/>
  <c r="H416" i="18"/>
  <c r="B93" i="13"/>
  <c r="K93" i="13"/>
  <c r="B94" i="13"/>
  <c r="K94" i="13"/>
  <c r="B95" i="13"/>
  <c r="K95" i="13"/>
  <c r="B96" i="13"/>
  <c r="K96" i="13"/>
  <c r="B97" i="13"/>
  <c r="K97" i="13"/>
  <c r="C226" i="18"/>
  <c r="C227" i="18"/>
  <c r="C228" i="18"/>
  <c r="C229" i="18"/>
  <c r="C230" i="18"/>
  <c r="C293" i="18"/>
  <c r="C294" i="18"/>
  <c r="C296" i="18"/>
  <c r="C297" i="18"/>
  <c r="C301" i="18"/>
  <c r="C303" i="18"/>
  <c r="C304" i="18"/>
  <c r="C305" i="18"/>
  <c r="C306" i="18"/>
  <c r="C312" i="18"/>
  <c r="C313" i="18"/>
  <c r="C314" i="18"/>
  <c r="C315" i="18"/>
  <c r="C316" i="18"/>
  <c r="C317" i="18"/>
  <c r="C318" i="18"/>
  <c r="C319" i="18"/>
  <c r="E373" i="18"/>
  <c r="B406" i="19"/>
  <c r="B722" i="19"/>
  <c r="C406" i="19"/>
  <c r="C722" i="19"/>
  <c r="D406" i="19"/>
  <c r="D722" i="19"/>
  <c r="B407" i="19"/>
  <c r="B723" i="19"/>
  <c r="C407" i="19"/>
  <c r="C723" i="19"/>
  <c r="D407" i="19"/>
  <c r="D723" i="19"/>
  <c r="B414" i="19"/>
  <c r="B729" i="19"/>
  <c r="C414" i="19"/>
  <c r="C729" i="19"/>
  <c r="D414" i="19"/>
  <c r="D729" i="19"/>
  <c r="B415" i="19"/>
  <c r="B730" i="19"/>
  <c r="C415" i="19"/>
  <c r="C730" i="19"/>
  <c r="D415" i="19"/>
  <c r="D730" i="19"/>
  <c r="B418" i="19"/>
  <c r="B733" i="19"/>
  <c r="C418" i="19"/>
  <c r="C733" i="19"/>
  <c r="D418" i="19"/>
  <c r="D733" i="19"/>
  <c r="B419" i="19"/>
  <c r="B734" i="19"/>
  <c r="C419" i="19"/>
  <c r="C734" i="19"/>
  <c r="D419" i="19"/>
  <c r="D734" i="19"/>
  <c r="B438" i="19"/>
  <c r="B752" i="19"/>
  <c r="C438" i="19"/>
  <c r="C752" i="19"/>
  <c r="D438" i="19"/>
  <c r="D752" i="19"/>
  <c r="B439" i="19"/>
  <c r="B753" i="19"/>
  <c r="C439" i="19"/>
  <c r="C753" i="19"/>
  <c r="D439" i="19"/>
  <c r="D753" i="19"/>
  <c r="B452" i="19"/>
  <c r="B766" i="19"/>
  <c r="C452" i="19"/>
  <c r="C766" i="19"/>
  <c r="D452" i="19"/>
  <c r="D766" i="19"/>
  <c r="B453" i="19"/>
  <c r="B767" i="19"/>
  <c r="C453" i="19"/>
  <c r="C767" i="19"/>
  <c r="D453" i="19"/>
  <c r="D767" i="19"/>
  <c r="B456" i="19"/>
  <c r="B770" i="19"/>
  <c r="C456" i="19"/>
  <c r="C770" i="19"/>
  <c r="D456" i="19"/>
  <c r="D770" i="19"/>
  <c r="B457" i="19"/>
  <c r="B771" i="19"/>
  <c r="C457" i="19"/>
  <c r="C771" i="19"/>
  <c r="D457" i="19"/>
  <c r="D771" i="19"/>
  <c r="B460" i="19"/>
  <c r="B774" i="19"/>
  <c r="C460" i="19"/>
  <c r="C774" i="19"/>
  <c r="D460" i="19"/>
  <c r="D774" i="19"/>
  <c r="B461" i="19"/>
  <c r="B775" i="19"/>
  <c r="C461" i="19"/>
  <c r="C775" i="19"/>
  <c r="D461" i="19"/>
  <c r="D775" i="19"/>
  <c r="B464" i="19"/>
  <c r="B778" i="19"/>
  <c r="C464" i="19"/>
  <c r="C778" i="19"/>
  <c r="D464" i="19"/>
  <c r="D778" i="19"/>
  <c r="B465" i="19"/>
  <c r="B779" i="19"/>
  <c r="C465" i="19"/>
  <c r="C779" i="19"/>
  <c r="D465" i="19"/>
  <c r="D779" i="19"/>
  <c r="B468" i="19"/>
  <c r="B782" i="19"/>
  <c r="C468" i="19"/>
  <c r="C782" i="19"/>
  <c r="D468" i="19"/>
  <c r="D782" i="19"/>
  <c r="B469" i="19"/>
  <c r="B783" i="19"/>
  <c r="C469" i="19"/>
  <c r="C783" i="19"/>
  <c r="D469" i="19"/>
  <c r="D783" i="19"/>
  <c r="C405" i="19"/>
  <c r="C721" i="19"/>
  <c r="C824" i="19"/>
  <c r="D405" i="19"/>
  <c r="D721" i="19"/>
  <c r="D824" i="19"/>
  <c r="C413" i="19"/>
  <c r="C728" i="19"/>
  <c r="C825" i="19"/>
  <c r="D413" i="19"/>
  <c r="D728" i="19"/>
  <c r="D825" i="19"/>
  <c r="C417" i="19"/>
  <c r="C732" i="19"/>
  <c r="C826" i="19"/>
  <c r="D417" i="19"/>
  <c r="D732" i="19"/>
  <c r="D826" i="19"/>
  <c r="C431" i="19"/>
  <c r="C745" i="19"/>
  <c r="C829" i="19"/>
  <c r="D431" i="19"/>
  <c r="D745" i="19"/>
  <c r="D829" i="19"/>
  <c r="C437" i="19"/>
  <c r="C751" i="19"/>
  <c r="C831" i="19"/>
  <c r="D437" i="19"/>
  <c r="D751" i="19"/>
  <c r="D831" i="19"/>
  <c r="C451" i="19"/>
  <c r="C765" i="19"/>
  <c r="C835" i="19"/>
  <c r="D451" i="19"/>
  <c r="D765" i="19"/>
  <c r="D835" i="19"/>
  <c r="C455" i="19"/>
  <c r="C769" i="19"/>
  <c r="C836" i="19"/>
  <c r="D455" i="19"/>
  <c r="D769" i="19"/>
  <c r="D836" i="19"/>
  <c r="C459" i="19"/>
  <c r="C773" i="19"/>
  <c r="C837" i="19"/>
  <c r="D459" i="19"/>
  <c r="D773" i="19"/>
  <c r="D837" i="19"/>
  <c r="C463" i="19"/>
  <c r="C777" i="19"/>
  <c r="C838" i="19"/>
  <c r="D463" i="19"/>
  <c r="D777" i="19"/>
  <c r="D838" i="19"/>
  <c r="C467" i="19"/>
  <c r="C781" i="19"/>
  <c r="C839" i="19"/>
  <c r="D467" i="19"/>
  <c r="D781" i="19"/>
  <c r="D839" i="19"/>
  <c r="D475" i="19"/>
  <c r="D789" i="19"/>
  <c r="D476" i="19"/>
  <c r="D790" i="19"/>
  <c r="D841" i="19"/>
  <c r="C475" i="19"/>
  <c r="C789" i="19"/>
  <c r="C476" i="19"/>
  <c r="C790" i="19"/>
  <c r="C841" i="19"/>
  <c r="B475" i="19"/>
  <c r="B789" i="19"/>
  <c r="B476" i="19"/>
  <c r="B790" i="19"/>
  <c r="B841" i="19"/>
  <c r="D471" i="19"/>
  <c r="D785" i="19"/>
  <c r="D472" i="19"/>
  <c r="D786" i="19"/>
  <c r="D473" i="19"/>
  <c r="D787" i="19"/>
  <c r="D840" i="19"/>
  <c r="C471" i="19"/>
  <c r="C785" i="19"/>
  <c r="C472" i="19"/>
  <c r="C786" i="19"/>
  <c r="C473" i="19"/>
  <c r="C787" i="19"/>
  <c r="C840" i="19"/>
  <c r="B473" i="19"/>
  <c r="B787" i="19"/>
  <c r="B472" i="19"/>
  <c r="B786" i="19"/>
  <c r="D147" i="10"/>
  <c r="D146" i="10"/>
  <c r="D145" i="10"/>
  <c r="D144" i="10"/>
  <c r="D143" i="10"/>
  <c r="D142" i="10"/>
  <c r="D141" i="10"/>
  <c r="D140" i="10"/>
  <c r="B139" i="10"/>
  <c r="D139" i="10"/>
  <c r="B138" i="10"/>
  <c r="D138" i="10"/>
  <c r="B137" i="10"/>
  <c r="D137" i="10"/>
  <c r="B136" i="10"/>
  <c r="D136" i="10"/>
  <c r="B135" i="10"/>
  <c r="D135" i="10"/>
  <c r="D134" i="10"/>
  <c r="D133" i="10"/>
  <c r="D132" i="10"/>
  <c r="D131" i="10"/>
  <c r="D130" i="10"/>
  <c r="D129" i="10"/>
  <c r="D128" i="10"/>
  <c r="D127" i="10"/>
  <c r="B126" i="10"/>
  <c r="D126" i="10"/>
  <c r="D125" i="10"/>
  <c r="D124" i="10"/>
  <c r="B123" i="10"/>
  <c r="D123" i="10"/>
  <c r="D122" i="10"/>
  <c r="D121" i="10"/>
  <c r="B405" i="19"/>
  <c r="B721" i="19"/>
  <c r="B824" i="19"/>
  <c r="B413" i="19"/>
  <c r="B728" i="19"/>
  <c r="B825" i="19"/>
  <c r="B417" i="19"/>
  <c r="B732" i="19"/>
  <c r="B826" i="19"/>
  <c r="B431" i="19"/>
  <c r="B745" i="19"/>
  <c r="B829" i="19"/>
  <c r="B437" i="19"/>
  <c r="B751" i="19"/>
  <c r="B831" i="19"/>
  <c r="B451" i="19"/>
  <c r="B765" i="19"/>
  <c r="B835" i="19"/>
  <c r="B455" i="19"/>
  <c r="B769" i="19"/>
  <c r="B836" i="19"/>
  <c r="B459" i="19"/>
  <c r="B773" i="19"/>
  <c r="B837" i="19"/>
  <c r="B463" i="19"/>
  <c r="B777" i="19"/>
  <c r="B838" i="19"/>
  <c r="B467" i="19"/>
  <c r="B781" i="19"/>
  <c r="B839" i="19"/>
  <c r="B471" i="19"/>
  <c r="B785" i="19"/>
  <c r="B840" i="19"/>
  <c r="B1620" i="19"/>
  <c r="B1636" i="19"/>
  <c r="C1636" i="19"/>
  <c r="D1636" i="19"/>
  <c r="B2025" i="19"/>
  <c r="B2059" i="19"/>
  <c r="B2060" i="19"/>
  <c r="B2061" i="19"/>
  <c r="B2026" i="19"/>
  <c r="B2063" i="19"/>
  <c r="B2064" i="19"/>
  <c r="B2065" i="19"/>
  <c r="B2066" i="19"/>
  <c r="B2067" i="19"/>
  <c r="B2068" i="19"/>
  <c r="B2027" i="19"/>
  <c r="B2070" i="19"/>
  <c r="B2071" i="19"/>
  <c r="B2072" i="19"/>
  <c r="B2028" i="19"/>
  <c r="B2074" i="19"/>
  <c r="B2075" i="19"/>
  <c r="B2076" i="19"/>
  <c r="B2077" i="19"/>
  <c r="B2078" i="19"/>
  <c r="B2079" i="19"/>
  <c r="B2031" i="19"/>
  <c r="B2087" i="19"/>
  <c r="B2033" i="19"/>
  <c r="B2093" i="19"/>
  <c r="B2094" i="19"/>
  <c r="B2095" i="19"/>
  <c r="B2034" i="19"/>
  <c r="B2097" i="19"/>
  <c r="B2098" i="19"/>
  <c r="B2099" i="19"/>
  <c r="B2035" i="19"/>
  <c r="B2101" i="19"/>
  <c r="B2102" i="19"/>
  <c r="B2036" i="19"/>
  <c r="B2104" i="19"/>
  <c r="B2105" i="19"/>
  <c r="B2037" i="19"/>
  <c r="B2107" i="19"/>
  <c r="B2108" i="19"/>
  <c r="B2109" i="19"/>
  <c r="B2038" i="19"/>
  <c r="B2111" i="19"/>
  <c r="B2112" i="19"/>
  <c r="B2113" i="19"/>
  <c r="B2039" i="19"/>
  <c r="B2115" i="19"/>
  <c r="B2116" i="19"/>
  <c r="B2117" i="19"/>
  <c r="B2040" i="19"/>
  <c r="B2119" i="19"/>
  <c r="B2120" i="19"/>
  <c r="B2121" i="19"/>
  <c r="B2041" i="19"/>
  <c r="B2123" i="19"/>
  <c r="B2124" i="19"/>
  <c r="B2125" i="19"/>
  <c r="B2042" i="19"/>
  <c r="B2127" i="19"/>
  <c r="B2128" i="19"/>
  <c r="B2129" i="19"/>
  <c r="B2044" i="19"/>
  <c r="B2134" i="19"/>
  <c r="B2135" i="19"/>
  <c r="B2136" i="19"/>
  <c r="B2045" i="19"/>
  <c r="B2138" i="19"/>
  <c r="B2139" i="19"/>
  <c r="B2140" i="19"/>
  <c r="B2046" i="19"/>
  <c r="B2142" i="19"/>
  <c r="B2143" i="19"/>
  <c r="B2047" i="19"/>
  <c r="B2145" i="19"/>
  <c r="B2146" i="19"/>
  <c r="B2048" i="19"/>
  <c r="B2148" i="19"/>
  <c r="B2149" i="19"/>
  <c r="B2049" i="19"/>
  <c r="B2151" i="19"/>
  <c r="B2152" i="19"/>
  <c r="C2165" i="19"/>
  <c r="B2186" i="19"/>
  <c r="B1834" i="19"/>
  <c r="C1834" i="19"/>
  <c r="B1849" i="19"/>
  <c r="B1883" i="19"/>
  <c r="B1884" i="19"/>
  <c r="B1885" i="19"/>
  <c r="B1850" i="19"/>
  <c r="B1887" i="19"/>
  <c r="B1888" i="19"/>
  <c r="B1889" i="19"/>
  <c r="B1890" i="19"/>
  <c r="B1891" i="19"/>
  <c r="B1892" i="19"/>
  <c r="B1851" i="19"/>
  <c r="B1894" i="19"/>
  <c r="B1895" i="19"/>
  <c r="B1896" i="19"/>
  <c r="B1852" i="19"/>
  <c r="B1898" i="19"/>
  <c r="B1899" i="19"/>
  <c r="B1900" i="19"/>
  <c r="B1901" i="19"/>
  <c r="B1902" i="19"/>
  <c r="B1903" i="19"/>
  <c r="B1855" i="19"/>
  <c r="B1911" i="19"/>
  <c r="B1857" i="19"/>
  <c r="B1917" i="19"/>
  <c r="B1918" i="19"/>
  <c r="B1919" i="19"/>
  <c r="B1858" i="19"/>
  <c r="B1921" i="19"/>
  <c r="B1922" i="19"/>
  <c r="B1923" i="19"/>
  <c r="B1859" i="19"/>
  <c r="B1925" i="19"/>
  <c r="B1926" i="19"/>
  <c r="B1860" i="19"/>
  <c r="B1928" i="19"/>
  <c r="B1929" i="19"/>
  <c r="B1861" i="19"/>
  <c r="B1931" i="19"/>
  <c r="B1932" i="19"/>
  <c r="B1933" i="19"/>
  <c r="B1862" i="19"/>
  <c r="B1935" i="19"/>
  <c r="B1936" i="19"/>
  <c r="B1937" i="19"/>
  <c r="B1863" i="19"/>
  <c r="B1939" i="19"/>
  <c r="B1940" i="19"/>
  <c r="B1941" i="19"/>
  <c r="B1864" i="19"/>
  <c r="B1943" i="19"/>
  <c r="B1944" i="19"/>
  <c r="B1945" i="19"/>
  <c r="B1865" i="19"/>
  <c r="B1947" i="19"/>
  <c r="B1948" i="19"/>
  <c r="B1949" i="19"/>
  <c r="B1866" i="19"/>
  <c r="B1951" i="19"/>
  <c r="B1952" i="19"/>
  <c r="B1953" i="19"/>
  <c r="B1868" i="19"/>
  <c r="B1958" i="19"/>
  <c r="B1959" i="19"/>
  <c r="B1960" i="19"/>
  <c r="B1869" i="19"/>
  <c r="B1962" i="19"/>
  <c r="B1963" i="19"/>
  <c r="B1964" i="19"/>
  <c r="B1870" i="19"/>
  <c r="B1966" i="19"/>
  <c r="B1967" i="19"/>
  <c r="B1871" i="19"/>
  <c r="B1969" i="19"/>
  <c r="B1970" i="19"/>
  <c r="B1872" i="19"/>
  <c r="B1972" i="19"/>
  <c r="B1973" i="19"/>
  <c r="B1873" i="19"/>
  <c r="B1975" i="19"/>
  <c r="B1976" i="19"/>
  <c r="D1989" i="19"/>
  <c r="C2010" i="19"/>
  <c r="B1647" i="19"/>
  <c r="B1662" i="19"/>
  <c r="B1696" i="19"/>
  <c r="B1697" i="19"/>
  <c r="B1698" i="19"/>
  <c r="B1663" i="19"/>
  <c r="B1700" i="19"/>
  <c r="B1701" i="19"/>
  <c r="B1702" i="19"/>
  <c r="B1703" i="19"/>
  <c r="B1704" i="19"/>
  <c r="B1705" i="19"/>
  <c r="B1664" i="19"/>
  <c r="B1707" i="19"/>
  <c r="B1708" i="19"/>
  <c r="B1709" i="19"/>
  <c r="B1665" i="19"/>
  <c r="B1711" i="19"/>
  <c r="B1712" i="19"/>
  <c r="B1713" i="19"/>
  <c r="B1714" i="19"/>
  <c r="B1715" i="19"/>
  <c r="B1716" i="19"/>
  <c r="B1668" i="19"/>
  <c r="B1724" i="19"/>
  <c r="B1670" i="19"/>
  <c r="B1730" i="19"/>
  <c r="B1731" i="19"/>
  <c r="B1732" i="19"/>
  <c r="B1671" i="19"/>
  <c r="B1734" i="19"/>
  <c r="B1735" i="19"/>
  <c r="B1736" i="19"/>
  <c r="B1672" i="19"/>
  <c r="B1738" i="19"/>
  <c r="B1739" i="19"/>
  <c r="B1673" i="19"/>
  <c r="B1741" i="19"/>
  <c r="B1742" i="19"/>
  <c r="B1674" i="19"/>
  <c r="B1744" i="19"/>
  <c r="B1745" i="19"/>
  <c r="B1746" i="19"/>
  <c r="B1675" i="19"/>
  <c r="B1748" i="19"/>
  <c r="B1749" i="19"/>
  <c r="B1750" i="19"/>
  <c r="B1676" i="19"/>
  <c r="B1752" i="19"/>
  <c r="B1753" i="19"/>
  <c r="B1754" i="19"/>
  <c r="B1677" i="19"/>
  <c r="B1756" i="19"/>
  <c r="B1757" i="19"/>
  <c r="B1758" i="19"/>
  <c r="B1678" i="19"/>
  <c r="B1760" i="19"/>
  <c r="B1761" i="19"/>
  <c r="B1762" i="19"/>
  <c r="B1679" i="19"/>
  <c r="B1764" i="19"/>
  <c r="B1765" i="19"/>
  <c r="B1766" i="19"/>
  <c r="B1681" i="19"/>
  <c r="B1771" i="19"/>
  <c r="B1772" i="19"/>
  <c r="B1773" i="19"/>
  <c r="B1682" i="19"/>
  <c r="B1775" i="19"/>
  <c r="B1776" i="19"/>
  <c r="B1777" i="19"/>
  <c r="B1683" i="19"/>
  <c r="B1779" i="19"/>
  <c r="B1780" i="19"/>
  <c r="B1684" i="19"/>
  <c r="B1782" i="19"/>
  <c r="B1783" i="19"/>
  <c r="B1685" i="19"/>
  <c r="B1785" i="19"/>
  <c r="B1786" i="19"/>
  <c r="B1686" i="19"/>
  <c r="B1788" i="19"/>
  <c r="B1789" i="19"/>
  <c r="D1802" i="19"/>
  <c r="C1823" i="19"/>
  <c r="C2218" i="19"/>
  <c r="E2165" i="19"/>
  <c r="B2165" i="19"/>
  <c r="D2165" i="19"/>
  <c r="C2186" i="19"/>
  <c r="D2186" i="19"/>
  <c r="E1989" i="19"/>
  <c r="B1989" i="19"/>
  <c r="C1989" i="19"/>
  <c r="B2010" i="19"/>
  <c r="D2010" i="19"/>
  <c r="D2219" i="19"/>
  <c r="E1802" i="19"/>
  <c r="B1802" i="19"/>
  <c r="C1802" i="19"/>
  <c r="B1823" i="19"/>
  <c r="D1823" i="19"/>
  <c r="D2218" i="19"/>
  <c r="C2219" i="19"/>
  <c r="B2227" i="19"/>
  <c r="B2219" i="19"/>
  <c r="B2218" i="19"/>
  <c r="C2227" i="19"/>
  <c r="D2227" i="19"/>
  <c r="D2217" i="19"/>
  <c r="C2217" i="19"/>
  <c r="B2228" i="19"/>
  <c r="B2217" i="19"/>
  <c r="C2228" i="19"/>
  <c r="D2228" i="19"/>
  <c r="B2229" i="19"/>
  <c r="C2229" i="19"/>
  <c r="D2229" i="19"/>
  <c r="B2235" i="19"/>
  <c r="D2251" i="19"/>
  <c r="C2251" i="19"/>
  <c r="B2251" i="19"/>
  <c r="B2266" i="19"/>
  <c r="B11" i="20"/>
  <c r="B12" i="20"/>
  <c r="B13" i="20"/>
  <c r="B2267" i="19"/>
  <c r="B15" i="20"/>
  <c r="B16" i="20"/>
  <c r="B17" i="20"/>
  <c r="B18" i="20"/>
  <c r="B19" i="20"/>
  <c r="B20" i="20"/>
  <c r="B2268" i="19"/>
  <c r="B22" i="20"/>
  <c r="B23" i="20"/>
  <c r="B24" i="20"/>
  <c r="B2269" i="19"/>
  <c r="B26" i="20"/>
  <c r="B27" i="20"/>
  <c r="B28" i="20"/>
  <c r="B29" i="20"/>
  <c r="B30" i="20"/>
  <c r="B31" i="20"/>
  <c r="B2272" i="19"/>
  <c r="B39" i="20"/>
  <c r="B2274" i="19"/>
  <c r="B45" i="20"/>
  <c r="B46" i="20"/>
  <c r="B47" i="20"/>
  <c r="B2278" i="19"/>
  <c r="B59" i="20"/>
  <c r="B60" i="20"/>
  <c r="B61" i="20"/>
  <c r="B2279" i="19"/>
  <c r="B63" i="20"/>
  <c r="B64" i="20"/>
  <c r="B65" i="20"/>
  <c r="B2280" i="19"/>
  <c r="B67" i="20"/>
  <c r="B68" i="20"/>
  <c r="B69" i="20"/>
  <c r="B2281" i="19"/>
  <c r="B71" i="20"/>
  <c r="B72" i="20"/>
  <c r="B73" i="20"/>
  <c r="B2282" i="19"/>
  <c r="B75" i="20"/>
  <c r="B76" i="20"/>
  <c r="B77" i="20"/>
  <c r="B2283" i="19"/>
  <c r="B79" i="20"/>
  <c r="B80" i="20"/>
  <c r="B81" i="20"/>
  <c r="B2285" i="19"/>
  <c r="B86" i="20"/>
  <c r="B87" i="20"/>
  <c r="B88" i="20"/>
  <c r="B2286" i="19"/>
  <c r="B90" i="20"/>
  <c r="B91" i="20"/>
  <c r="B92" i="20"/>
  <c r="B2287" i="19"/>
  <c r="B94" i="20"/>
  <c r="B95" i="20"/>
  <c r="B2288" i="19"/>
  <c r="B97" i="20"/>
  <c r="B98" i="20"/>
  <c r="B2289" i="19"/>
  <c r="B100" i="20"/>
  <c r="B101" i="20"/>
  <c r="B2290" i="19"/>
  <c r="B103" i="20"/>
  <c r="B104" i="20"/>
  <c r="B113" i="20"/>
  <c r="B115" i="20"/>
  <c r="B116" i="20"/>
  <c r="B118" i="20"/>
  <c r="B120" i="20"/>
  <c r="B121" i="20"/>
  <c r="B127" i="20"/>
  <c r="B131" i="20"/>
  <c r="B139" i="20"/>
  <c r="B141" i="20"/>
  <c r="B143" i="20"/>
  <c r="B145" i="20"/>
  <c r="B147" i="20"/>
  <c r="B149" i="20"/>
  <c r="B153" i="20"/>
  <c r="B155" i="20"/>
  <c r="B157" i="20"/>
  <c r="B159" i="20"/>
  <c r="B161" i="20"/>
  <c r="B163" i="20"/>
  <c r="B71" i="11"/>
  <c r="C107" i="11"/>
  <c r="C38" i="13"/>
  <c r="C176" i="16"/>
  <c r="B2277" i="19"/>
  <c r="B137" i="20"/>
  <c r="B70" i="11"/>
  <c r="C106" i="11"/>
  <c r="C37" i="13"/>
  <c r="C175" i="16"/>
  <c r="B2276" i="19"/>
  <c r="B135" i="20"/>
  <c r="B69" i="11"/>
  <c r="C105" i="11"/>
  <c r="C36" i="13"/>
  <c r="C174" i="16"/>
  <c r="B2275" i="19"/>
  <c r="B133" i="20"/>
  <c r="B57" i="20"/>
  <c r="B56" i="20"/>
  <c r="B54" i="20"/>
  <c r="B53" i="20"/>
  <c r="B51" i="20"/>
  <c r="B50" i="20"/>
  <c r="B49" i="20"/>
  <c r="L373" i="18"/>
  <c r="C333" i="18"/>
  <c r="C332" i="18"/>
  <c r="C331" i="18"/>
  <c r="H427" i="18"/>
  <c r="H428" i="18"/>
  <c r="H429" i="18"/>
  <c r="C36" i="12"/>
  <c r="C65" i="13"/>
  <c r="C23" i="15"/>
  <c r="C35" i="12"/>
  <c r="C64" i="13"/>
  <c r="C22" i="15"/>
  <c r="C34" i="12"/>
  <c r="C63" i="13"/>
  <c r="C21" i="15"/>
</calcChain>
</file>

<file path=xl/sharedStrings.xml><?xml version="1.0" encoding="utf-8"?>
<sst xmlns="http://schemas.openxmlformats.org/spreadsheetml/2006/main" count="9052" uniqueCount="1988">
  <si>
    <t>1000. Company, charging year, data version</t>
  </si>
  <si>
    <t>Company</t>
  </si>
  <si>
    <t>Year</t>
  </si>
  <si>
    <t>Version</t>
  </si>
  <si>
    <t>Company, charging year, data version</t>
  </si>
  <si>
    <t>1001. CDCM target revenue (monetary amounts in £)</t>
  </si>
  <si>
    <t>Further description</t>
  </si>
  <si>
    <t>Term</t>
  </si>
  <si>
    <t>CRC</t>
  </si>
  <si>
    <t>Value</t>
  </si>
  <si>
    <t>Revenue elements and subtotals (£/year)</t>
  </si>
  <si>
    <t>Base Demand Revenue Before Inflation</t>
  </si>
  <si>
    <t>RPI Indexation Factor</t>
  </si>
  <si>
    <t>Merger Adjustment</t>
  </si>
  <si>
    <t>Base Demand Revenue</t>
  </si>
  <si>
    <t>Pass-Through Business Rates</t>
  </si>
  <si>
    <t>Pass-Through Licence Fees</t>
  </si>
  <si>
    <t>Pass-Through Transmission Exit</t>
  </si>
  <si>
    <t>Pass-Through Price Control Reopener</t>
  </si>
  <si>
    <t>Pass-Through Others</t>
  </si>
  <si>
    <t>Allowed Pass-Through Items</t>
  </si>
  <si>
    <t>Losses Incentive #1</t>
  </si>
  <si>
    <t>Losses Incentive #2</t>
  </si>
  <si>
    <t>Losses Incentive #3</t>
  </si>
  <si>
    <t>Losses Incentive #4</t>
  </si>
  <si>
    <t>Quality of Service Incentive Adjustment</t>
  </si>
  <si>
    <t>Transmission Connection Point Charges Incentive Adjustment</t>
  </si>
  <si>
    <t>Innovation Funding Incentive Adjustment</t>
  </si>
  <si>
    <t>Incentive Revenue for Distributed Generation</t>
  </si>
  <si>
    <t>Connection Guaranteed Standards Systems &amp; Processes penalty</t>
  </si>
  <si>
    <t>Low Carbon Network Fund #1</t>
  </si>
  <si>
    <t>Low Carbon Network Fund #2</t>
  </si>
  <si>
    <t>Low Carbon Network Fund #3</t>
  </si>
  <si>
    <t>Incentive Revenue and Other Adjustments</t>
  </si>
  <si>
    <t>Correction Factor</t>
  </si>
  <si>
    <t>Tax Trigger Mechanism Adjustment</t>
  </si>
  <si>
    <t>Total Allowed Revenue</t>
  </si>
  <si>
    <t>Other 1. Excluded services - Top-up, standby, and enhanced system security</t>
  </si>
  <si>
    <t>Other 2. Excluded services - Revenue protection services</t>
  </si>
  <si>
    <t>Other 3. Excluded services - Miscellaneous</t>
  </si>
  <si>
    <t>Other 4.</t>
  </si>
  <si>
    <t>Other 5.</t>
  </si>
  <si>
    <t>Total Other Revenue to be Recovered by Use of System Charges</t>
  </si>
  <si>
    <t>Total Revenue for Use of System Charges</t>
  </si>
  <si>
    <t>1. Revenue raised outside CDCM - EDCM and Certain Interconnector Revenue</t>
  </si>
  <si>
    <t>2. Voluntary under-recovery</t>
  </si>
  <si>
    <t>3. Revenue raised outside CDCM</t>
  </si>
  <si>
    <t>4. Revenue raised outside CDCM</t>
  </si>
  <si>
    <t>Total Revenue to be raised outside the CDCM</t>
  </si>
  <si>
    <t>Latest Forecast of CDCM Revenue</t>
  </si>
  <si>
    <t>A1</t>
  </si>
  <si>
    <t>A2</t>
  </si>
  <si>
    <t>A3</t>
  </si>
  <si>
    <t>A = A1*A2 – A3</t>
  </si>
  <si>
    <t>B1</t>
  </si>
  <si>
    <t>B2</t>
  </si>
  <si>
    <t>B3</t>
  </si>
  <si>
    <t>B4</t>
  </si>
  <si>
    <t>B5</t>
  </si>
  <si>
    <t>B=B1+B2+B3+B4+B5</t>
  </si>
  <si>
    <t>C1</t>
  </si>
  <si>
    <t>C2</t>
  </si>
  <si>
    <t>C3</t>
  </si>
  <si>
    <t>C4</t>
  </si>
  <si>
    <t>C5</t>
  </si>
  <si>
    <t>C6</t>
  </si>
  <si>
    <t>C7</t>
  </si>
  <si>
    <t>C=C1+C2+C3+C4+C5+C6+C7</t>
  </si>
  <si>
    <t>D</t>
  </si>
  <si>
    <t>E</t>
  </si>
  <si>
    <t>F=A+B+C+D+E</t>
  </si>
  <si>
    <t>G1 (see note 1)</t>
  </si>
  <si>
    <t>G2 (see note 1)</t>
  </si>
  <si>
    <t>G3 (see note 1)</t>
  </si>
  <si>
    <t>G4</t>
  </si>
  <si>
    <t>G5</t>
  </si>
  <si>
    <t>G=G1+G2+G3+G4+G5</t>
  </si>
  <si>
    <t>H = F + G</t>
  </si>
  <si>
    <t>I1</t>
  </si>
  <si>
    <t>I2</t>
  </si>
  <si>
    <t>I3</t>
  </si>
  <si>
    <t>I4</t>
  </si>
  <si>
    <t>I=I1+I2+I3+I4</t>
  </si>
  <si>
    <t>J = H – I</t>
  </si>
  <si>
    <t>PUt</t>
  </si>
  <si>
    <t>PIADt</t>
  </si>
  <si>
    <t>MGt</t>
  </si>
  <si>
    <t>BRt</t>
  </si>
  <si>
    <t>RBt</t>
  </si>
  <si>
    <t>LFt</t>
  </si>
  <si>
    <t>TBt</t>
  </si>
  <si>
    <t>UNCt</t>
  </si>
  <si>
    <t>MPTt, HBt, IEDt</t>
  </si>
  <si>
    <t>PTt</t>
  </si>
  <si>
    <t>UILt</t>
  </si>
  <si>
    <t>PCOLt</t>
  </si>
  <si>
    <t>–COLt</t>
  </si>
  <si>
    <t>PPLt</t>
  </si>
  <si>
    <t>IQt</t>
  </si>
  <si>
    <t>ITt</t>
  </si>
  <si>
    <t>IFIt</t>
  </si>
  <si>
    <t>IGt</t>
  </si>
  <si>
    <t>CGSRAt, CGSSPt, AUMt</t>
  </si>
  <si>
    <t>LCN1t</t>
  </si>
  <si>
    <t>LCN2t</t>
  </si>
  <si>
    <t>LCN3t</t>
  </si>
  <si>
    <t>–Kt</t>
  </si>
  <si>
    <t>CTRAt</t>
  </si>
  <si>
    <t>ARt</t>
  </si>
  <si>
    <t>ES4</t>
  </si>
  <si>
    <t>ES5</t>
  </si>
  <si>
    <t>ES7</t>
  </si>
  <si>
    <t>CRC3</t>
  </si>
  <si>
    <t>CRC4</t>
  </si>
  <si>
    <t>CRC7</t>
  </si>
  <si>
    <t>CRC8</t>
  </si>
  <si>
    <t>CRC9</t>
  </si>
  <si>
    <t>CRC10</t>
  </si>
  <si>
    <t>CRC11</t>
  </si>
  <si>
    <t>CRC12</t>
  </si>
  <si>
    <t>CRC13</t>
  </si>
  <si>
    <t>CRC15</t>
  </si>
  <si>
    <t>Note 1: Revenues associated with excluded services should only be included insofar as they are charged as Use of System Charges.</t>
  </si>
  <si>
    <t>1010. Financial and general assumptions</t>
  </si>
  <si>
    <t>Sources: financial assumptions; calendar; network model.</t>
  </si>
  <si>
    <t>These financial assumptions determine the annuity rate applied to convert the asset values of the network model into an annual charge.</t>
  </si>
  <si>
    <t>Rate of return</t>
  </si>
  <si>
    <t>Annualisation period (years)</t>
  </si>
  <si>
    <t>Annuity proportion for customer-contributed assets</t>
  </si>
  <si>
    <t>Power factor</t>
  </si>
  <si>
    <t>Days in the charging year</t>
  </si>
  <si>
    <t>Financial and general assumptions</t>
  </si>
  <si>
    <t>1017. Diversity allowance between top and bottom of network level</t>
  </si>
  <si>
    <t>Source: operational data analysis and/or network model.</t>
  </si>
  <si>
    <t>The diversity figure against GSP is the diversity between GSP Group (the whole system) and individual GSPs.</t>
  </si>
  <si>
    <t>The diversity figure against 132kV is the diversity between GSPs (the top of the 132kV network) and 132kV/EHV bulk supply points (the bottom of the 132kV network). </t>
  </si>
  <si>
    <t>The diversity figure against EHV is the diversity between 132kV/EHV bulk supply points (the top of the EHV network) and EHV/HV primary substations (the bottom of the EHV network). </t>
  </si>
  <si>
    <t>The diversity figure against HV is the diversity between EHV/HV primary substations (the top of the HV network) and HV/LV substations (the bottom of the HV network). </t>
  </si>
  <si>
    <t>Diversity allowance between top and bottom of network level</t>
  </si>
  <si>
    <t>GSPs</t>
  </si>
  <si>
    <t>132kV</t>
  </si>
  <si>
    <t>132kV/EHV</t>
  </si>
  <si>
    <t>EHV</t>
  </si>
  <si>
    <t>EHV/HV</t>
  </si>
  <si>
    <t>HV</t>
  </si>
  <si>
    <t>HV/LV</t>
  </si>
  <si>
    <t>LV circuits</t>
  </si>
  <si>
    <t>1018. Proportion of relevant load going through 132kV/HV direct transformation</t>
  </si>
  <si>
    <t>132kV/HV</t>
  </si>
  <si>
    <t>1019. Network model GSP peak demand (MW)</t>
  </si>
  <si>
    <t>Network model GSP peak demand (MW)</t>
  </si>
  <si>
    <t>1020. Gross asset cost by network level (£)</t>
  </si>
  <si>
    <t>Gross assets £</t>
  </si>
  <si>
    <t>1022. LV service model asset cost (£)</t>
  </si>
  <si>
    <t>LV service model 1</t>
  </si>
  <si>
    <t>LV service model 2</t>
  </si>
  <si>
    <t>LV service model 3</t>
  </si>
  <si>
    <t>LV service model 4</t>
  </si>
  <si>
    <t>LV service model 5</t>
  </si>
  <si>
    <t>LV service model 6</t>
  </si>
  <si>
    <t>LV service model 7</t>
  </si>
  <si>
    <t>LV service model 8</t>
  </si>
  <si>
    <t>LV service model asset cost (£)</t>
  </si>
  <si>
    <t>1023. HV service model asset cost (£)</t>
  </si>
  <si>
    <t>HV service model 1</t>
  </si>
  <si>
    <t>HV service model 2</t>
  </si>
  <si>
    <t>HV service model 3</t>
  </si>
  <si>
    <t>HV service model 4</t>
  </si>
  <si>
    <t>HV service model 5</t>
  </si>
  <si>
    <t>HV service model asset cost (£)</t>
  </si>
  <si>
    <t>1025. Matrix of applicability of LV service models to tariffs with fixed charges</t>
  </si>
  <si>
    <t>Domestic Unrestricted</t>
  </si>
  <si>
    <t>Domestic Two Rate</t>
  </si>
  <si>
    <t>Small Non Domestic Unrestricted</t>
  </si>
  <si>
    <t>Small Non Domestic Two Rate</t>
  </si>
  <si>
    <t>LV Medium Non-Domestic</t>
  </si>
  <si>
    <t>LV Sub Medium Non-Domestic</t>
  </si>
  <si>
    <t>LV Network Domestic</t>
  </si>
  <si>
    <t>LV Network Non-Domestic Non-CT</t>
  </si>
  <si>
    <t>LV HH Metered</t>
  </si>
  <si>
    <t>LV Sub HH Metered</t>
  </si>
  <si>
    <t>LV Generation NHH or Aggregate HH</t>
  </si>
  <si>
    <t>LV Sub Generation NHH</t>
  </si>
  <si>
    <t>LV Generation Intermittent</t>
  </si>
  <si>
    <t>LV Generation Non-Intermittent</t>
  </si>
  <si>
    <t>LV Sub Generation Intermittent</t>
  </si>
  <si>
    <t>LV Sub Generation Non-Intermittent</t>
  </si>
  <si>
    <t>1026. Matrix of applicability of LV service models to unmetered tariffs</t>
  </si>
  <si>
    <t>Source: service models</t>
  </si>
  <si>
    <t>Proportion of service model involved in connecting load of 1 MWh/year</t>
  </si>
  <si>
    <t>All LV unmetered tariffs</t>
  </si>
  <si>
    <t>1028. Matrix of applicability of HV service models to tariffs with fixed charges</t>
  </si>
  <si>
    <t>HV Medium Non-Domestic</t>
  </si>
  <si>
    <t>HV HH Metered</t>
  </si>
  <si>
    <t>HV Generation Intermittent</t>
  </si>
  <si>
    <t>HV Generation Non-Intermittent</t>
  </si>
  <si>
    <t>1032. Loss adjustment factors to transmission</t>
  </si>
  <si>
    <t>Source: losses model or loss adjustment factors at time of system peak.</t>
  </si>
  <si>
    <t>Loss adjustment factor</t>
  </si>
  <si>
    <t>1037. Embedded network (LDNO) discounts</t>
  </si>
  <si>
    <t>Source: separate price control disaggregation model.</t>
  </si>
  <si>
    <t>No discount</t>
  </si>
  <si>
    <t>LDNO LV: LV user</t>
  </si>
  <si>
    <t>LDNO HV: LV user</t>
  </si>
  <si>
    <t>LDNO HV: LV sub user</t>
  </si>
  <si>
    <t>LDNO HV: HV user</t>
  </si>
  <si>
    <t>LDNO discount</t>
  </si>
  <si>
    <t>1039. LDNO discounts (p/kWh)</t>
  </si>
  <si>
    <t>LDNO discounts (p/kWh)</t>
  </si>
  <si>
    <t>1041. Load profile data for demand users</t>
  </si>
  <si>
    <t>Source: load data analysis.</t>
  </si>
  <si>
    <t>Coincidence factor</t>
  </si>
  <si>
    <t>Load factor</t>
  </si>
  <si>
    <t>Domestic Off Peak (related MPAN)</t>
  </si>
  <si>
    <t>Small Non Domestic Off Peak (related MPAN)</t>
  </si>
  <si>
    <t>NHH UMS category A</t>
  </si>
  <si>
    <t>NHH UMS category B</t>
  </si>
  <si>
    <t>NHH UMS category C</t>
  </si>
  <si>
    <t>NHH UMS category D</t>
  </si>
  <si>
    <t>LV UMS (Pseudo HH Metered)</t>
  </si>
  <si>
    <t>1053. Volume forecasts for the charging year</t>
  </si>
  <si>
    <t>Source: forecast.</t>
  </si>
  <si>
    <t>Please include MPAN counts for tariffs with no fixed charge (e.g. off-peak tariffs), but exclude MPANs on tariffs with a fixed</t>
  </si>
  <si>
    <t>charge that are not subject to a fixed charge due to a site grouping arrangement.</t>
  </si>
  <si>
    <t>Rate 1 units (MWh)</t>
  </si>
  <si>
    <t>Rate 2 units (MWh)</t>
  </si>
  <si>
    <t>Rate 3 units (MWh)</t>
  </si>
  <si>
    <t>MPANs</t>
  </si>
  <si>
    <t>Import capacity (kVA)</t>
  </si>
  <si>
    <t>Reactive power units (MVArh)</t>
  </si>
  <si>
    <t>&gt; Domestic Unrestricted</t>
  </si>
  <si>
    <t>LDNO LV: Domestic Unrestricted</t>
  </si>
  <si>
    <t>LDNO HV: Domestic Unrestricted</t>
  </si>
  <si>
    <t>&gt; Domestic Two Rate</t>
  </si>
  <si>
    <t>LDNO LV: Domestic Two Rate</t>
  </si>
  <si>
    <t>LDNO HV: Domestic Two Rate</t>
  </si>
  <si>
    <t>&gt; Domestic Off Peak (related MPAN)</t>
  </si>
  <si>
    <t>LDNO LV: Domestic Off Peak (related MPAN)</t>
  </si>
  <si>
    <t>LDNO HV: Domestic Off Peak (related MPAN)</t>
  </si>
  <si>
    <t>&gt; Small Non Domestic Unrestricted</t>
  </si>
  <si>
    <t>LDNO LV: Small Non Domestic Unrestricted</t>
  </si>
  <si>
    <t>LDNO HV: Small Non Domestic Unrestricted</t>
  </si>
  <si>
    <t>&gt; Small Non Domestic Two Rate</t>
  </si>
  <si>
    <t>LDNO LV: Small Non Domestic Two Rate</t>
  </si>
  <si>
    <t>LDNO HV: Small Non Domestic Two Rate</t>
  </si>
  <si>
    <t>&gt; Small Non Domestic Off Peak (related MPAN)</t>
  </si>
  <si>
    <t>LDNO LV: Small Non Domestic Off Peak (related MPAN)</t>
  </si>
  <si>
    <t>LDNO HV: Small Non Domestic Off Peak (related MPAN)</t>
  </si>
  <si>
    <t>&gt; LV Medium Non-Domestic</t>
  </si>
  <si>
    <t>LDNO LV: LV Medium Non-Domestic</t>
  </si>
  <si>
    <t>LDNO HV: LV Medium Non-Domestic</t>
  </si>
  <si>
    <t>&gt; LV Sub Medium Non-Domestic</t>
  </si>
  <si>
    <t>&gt; HV Medium Non-Domestic</t>
  </si>
  <si>
    <t>&gt; LV Network Domestic</t>
  </si>
  <si>
    <t>LDNO LV: LV Network Domestic</t>
  </si>
  <si>
    <t>LDNO HV: LV Network Domestic</t>
  </si>
  <si>
    <t>&gt; LV Network Non-Domestic Non-CT</t>
  </si>
  <si>
    <t>LDNO LV: LV Network Non-Domestic Non-CT</t>
  </si>
  <si>
    <t>LDNO HV: LV Network Non-Domestic Non-CT</t>
  </si>
  <si>
    <t>&gt; LV HH Metered</t>
  </si>
  <si>
    <t>LDNO LV: LV HH Metered</t>
  </si>
  <si>
    <t>LDNO HV: LV HH Metered</t>
  </si>
  <si>
    <t>&gt; LV Sub HH Metered</t>
  </si>
  <si>
    <t>LDNO HV: LV Sub HH Metered</t>
  </si>
  <si>
    <t>&gt; HV HH Metered</t>
  </si>
  <si>
    <t>LDNO HV: HV HH Metered</t>
  </si>
  <si>
    <t>&gt; NHH UMS category A</t>
  </si>
  <si>
    <t>LDNO LV: NHH UMS category A</t>
  </si>
  <si>
    <t>LDNO HV: NHH UMS category A</t>
  </si>
  <si>
    <t>&gt; NHH UMS category B</t>
  </si>
  <si>
    <t>LDNO LV: NHH UMS category B</t>
  </si>
  <si>
    <t>LDNO HV: NHH UMS category B</t>
  </si>
  <si>
    <t>&gt; NHH UMS category C</t>
  </si>
  <si>
    <t>LDNO LV: NHH UMS category C</t>
  </si>
  <si>
    <t>LDNO HV: NHH UMS category C</t>
  </si>
  <si>
    <t>&gt; NHH UMS category D</t>
  </si>
  <si>
    <t>LDNO LV: NHH UMS category D</t>
  </si>
  <si>
    <t>LDNO HV: NHH UMS category D</t>
  </si>
  <si>
    <t>&gt; LV UMS (Pseudo HH Metered)</t>
  </si>
  <si>
    <t>LDNO LV: LV UMS (Pseudo HH Metered)</t>
  </si>
  <si>
    <t>LDNO HV: LV UMS (Pseudo HH Metered)</t>
  </si>
  <si>
    <t>&gt; LV Generation NHH or Aggregate HH</t>
  </si>
  <si>
    <t>LDNO LV: LV Generation NHH or Aggregate HH</t>
  </si>
  <si>
    <t>LDNO HV: LV Generation NHH or Aggregate HH</t>
  </si>
  <si>
    <t>&gt; LV Sub Generation NHH</t>
  </si>
  <si>
    <t>LDNO HV: LV Sub Generation NHH</t>
  </si>
  <si>
    <t>&gt; LV Generation Intermittent</t>
  </si>
  <si>
    <t>LDNO LV: LV Generation Intermittent</t>
  </si>
  <si>
    <t>LDNO HV: LV Generation Intermittent</t>
  </si>
  <si>
    <t>&gt; LV Generation Non-Intermittent</t>
  </si>
  <si>
    <t>LDNO LV: LV Generation Non-Intermittent</t>
  </si>
  <si>
    <t>LDNO HV: LV Generation Non-Intermittent</t>
  </si>
  <si>
    <t>&gt; LV Sub Generation Intermittent</t>
  </si>
  <si>
    <t>LDNO HV: LV Sub Generation Intermittent</t>
  </si>
  <si>
    <t>&gt; LV Sub Generation Non-Intermittent</t>
  </si>
  <si>
    <t>LDNO HV: LV Sub Generation Non-Intermittent</t>
  </si>
  <si>
    <t>&gt; HV Generation Intermittent</t>
  </si>
  <si>
    <t>LDNO HV: HV Generation Intermittent</t>
  </si>
  <si>
    <t>&gt; HV Generation Non-Intermittent</t>
  </si>
  <si>
    <t>LDNO HV: HV Generation Non-Intermittent</t>
  </si>
  <si>
    <t>1055. Transmission exit charges (£/year)</t>
  </si>
  <si>
    <t>Transmission
exit</t>
  </si>
  <si>
    <t>Transmission exit charges (£/year)</t>
  </si>
  <si>
    <t>1059. Other expenditure</t>
  </si>
  <si>
    <t>Direct cost (£/year)</t>
  </si>
  <si>
    <t>Indirect cost (£/year)</t>
  </si>
  <si>
    <t>Indirect cost proportion</t>
  </si>
  <si>
    <t>Network rates (£/year)</t>
  </si>
  <si>
    <t>Other expenditure</t>
  </si>
  <si>
    <t>1060. Customer contributions under current connection charging policy</t>
  </si>
  <si>
    <t>Source: analysis of expenditure data and/or survey of capital expenditure schemes.</t>
  </si>
  <si>
    <t>Customer contribution percentages by network level of supply and by asset network level.</t>
  </si>
  <si>
    <t>These proportions should reflect the current connection charging method, not necessarily the method that was in place when the connection was built.</t>
  </si>
  <si>
    <t>Assets
132kV</t>
  </si>
  <si>
    <t>Assets
132kV/EHV</t>
  </si>
  <si>
    <t>Assets
EHV</t>
  </si>
  <si>
    <t>Assets
EHV/HV</t>
  </si>
  <si>
    <t>Assets
132kV/HV</t>
  </si>
  <si>
    <t>Assets
HV</t>
  </si>
  <si>
    <t>Assets
HV/LV</t>
  </si>
  <si>
    <t>Assets
LV circuits</t>
  </si>
  <si>
    <t>LV network</t>
  </si>
  <si>
    <t>LV substation</t>
  </si>
  <si>
    <t>HV network</t>
  </si>
  <si>
    <t>HV substation</t>
  </si>
  <si>
    <t>1061. Average split of rate 1 units by distribution time band</t>
  </si>
  <si>
    <t>Red</t>
  </si>
  <si>
    <t>Amber</t>
  </si>
  <si>
    <t>Green</t>
  </si>
  <si>
    <t>1062. Average split of rate 2 units by distribution time band</t>
  </si>
  <si>
    <t>1064. Average split of rate 1 units by special distribution time band</t>
  </si>
  <si>
    <t>Black</t>
  </si>
  <si>
    <t>Yellow</t>
  </si>
  <si>
    <t>1066. Typical annual hours by special distribution time band</t>
  </si>
  <si>
    <t>Source: definition of distribution time bands.</t>
  </si>
  <si>
    <t>The figures in this table will be automatically adjusted to match the number of days in the charging period.</t>
  </si>
  <si>
    <t>Annual hours</t>
  </si>
  <si>
    <t>1068. Typical annual hours by distribution time band</t>
  </si>
  <si>
    <t>1069. Peaking probabilities by network level</t>
  </si>
  <si>
    <t>Source: analysis of network operation data.</t>
  </si>
  <si>
    <t>Red, amber and green peaking probabilities</t>
  </si>
  <si>
    <t>Black peaking probabilities</t>
  </si>
  <si>
    <t>1092. Average kVAr by kVA, by network level</t>
  </si>
  <si>
    <t>Source: analysis of operational data.</t>
  </si>
  <si>
    <t>This is the average of MVAr/MVA or SQRT(1-PF^2) across relevant network elements.</t>
  </si>
  <si>
    <t>Average kVAr by kVA, by network level</t>
  </si>
  <si>
    <t>This sheet contains all the input data (except LLFCs which might be entered directly into the Tariff sheet).</t>
  </si>
  <si>
    <t>This sheet calculates matrices of loss adjustment factors and of network use factors.</t>
  </si>
  <si>
    <t>These matrices map out the extent to which each type of user uses each level of the network, and are used throughout the workbook.</t>
  </si>
  <si>
    <t>2001. Loss adjustment factors to transmission</t>
  </si>
  <si>
    <t>Data sources:</t>
  </si>
  <si>
    <t>x1 = Network level for each tariff (to get loss factors applicable to capacity) (in Loss adjustment factors to transmission)</t>
  </si>
  <si>
    <t>x2 = 1032. Loss adjustment factors to transmission</t>
  </si>
  <si>
    <t>Kind:</t>
  </si>
  <si>
    <t>Fixed data</t>
  </si>
  <si>
    <t>Sum-product calculation</t>
  </si>
  <si>
    <t>Formula:</t>
  </si>
  <si>
    <t/>
  </si>
  <si>
    <t>=SUMPRODUCT(x1, x2)</t>
  </si>
  <si>
    <t>Network level for each tariff (to get loss factors applicable to capacity)</t>
  </si>
  <si>
    <t>2002. Mapping of DRM network levels to core network levels</t>
  </si>
  <si>
    <t>2003. Loss adjustment factor to transmission for each DRM network level</t>
  </si>
  <si>
    <t>x1 = 2002. Mapping of DRM network levels to core network levels</t>
  </si>
  <si>
    <t>Sum-product calculation =SUMPRODUCT(x1, x2)</t>
  </si>
  <si>
    <t>Loss adjustment factor to transmission for each DRM network level</t>
  </si>
  <si>
    <t>2004. Loss adjustment factor to transmission for each network level</t>
  </si>
  <si>
    <t>x1 = 2003. Loss adjustment factor to transmission for each DRM network level</t>
  </si>
  <si>
    <t>x2 = 1 for GSP level</t>
  </si>
  <si>
    <t>Combine tables = x1 or x2</t>
  </si>
  <si>
    <t>Loss adjustment factor to transmission for each network level</t>
  </si>
  <si>
    <t>2005. Network use factors</t>
  </si>
  <si>
    <t>These network use factors indicate to what extent each network level is used by each tariff. This table reflects the policy that</t>
  </si>
  <si>
    <t>generators receive credits only in respect of network levels above the voltage of connection. Generators do not receive credits at the</t>
  </si>
  <si>
    <t>voltage of connection. The factors in this table are before any adjustment for a 132kV/HV network level or for generation-dominated areas.</t>
  </si>
  <si>
    <t>2006. Proportion going through 132kV/EHV</t>
  </si>
  <si>
    <t>x1 = 1018. Proportion of relevant load going through 132kV/HV direct transformation</t>
  </si>
  <si>
    <t>Calculation =1-x1</t>
  </si>
  <si>
    <t>2007. Proportion going through EHV</t>
  </si>
  <si>
    <t>2008. Proportion going through EHV/HV</t>
  </si>
  <si>
    <t>2009. Rerouteing matrix for all network levels</t>
  </si>
  <si>
    <t>x2 = 2006. Proportion going through 132kV/EHV</t>
  </si>
  <si>
    <t>x3 = 2007. Proportion going through EHV</t>
  </si>
  <si>
    <t>x4 = 2008. Proportion going through EHV/HV</t>
  </si>
  <si>
    <t>x5 = Rerouteing matrix: default elements</t>
  </si>
  <si>
    <t>x6 = Map GSP to GSP</t>
  </si>
  <si>
    <t>Combine tables = x1 or x2 or x3 or x4 or x5 or x6</t>
  </si>
  <si>
    <t>2010. Network use factors: interim step in calculations before adjustments</t>
  </si>
  <si>
    <t>x1 = 2005. Network use factors</t>
  </si>
  <si>
    <t>x2 = 2009. Rerouteing matrix for all network levels</t>
  </si>
  <si>
    <t>2011. Network use factors for all tariffs</t>
  </si>
  <si>
    <t>x1 = Network use factors including 132kV/HV for generation dominated tariffs</t>
  </si>
  <si>
    <t>x2 = Network use factors including 132kV/HV for HV Sub tariffs</t>
  </si>
  <si>
    <t>x3 = 2010. Network use factors: interim step in calculations before adjustments</t>
  </si>
  <si>
    <t>Combine tables = x1 or x2 or x3</t>
  </si>
  <si>
    <t>2012. Loss adjustment factors between end user meter reading and each network level, scaled by network use</t>
  </si>
  <si>
    <t>x1 = 2004. Loss adjustment factor to transmission for each network level</t>
  </si>
  <si>
    <t>x2 = 2011. Network use factors for all tariffs</t>
  </si>
  <si>
    <t>x3 = 2001. Loss adjustment factor to transmission (in Loss adjustment factors to transmission)</t>
  </si>
  <si>
    <t>Calculation =IF(x1="",x2,x2*x3/x1)</t>
  </si>
  <si>
    <t>This sheet collects data from a network model and calculates aggregated annuitised unit costs from these data.</t>
  </si>
  <si>
    <t>2101. Annuity rate</t>
  </si>
  <si>
    <t>x1 = 1010. Rate of return (in Financial and general assumptions)</t>
  </si>
  <si>
    <t>x2 = 1010. Annualisation period (years) (in Financial and general assumptions)</t>
  </si>
  <si>
    <t>x3 = 1010. Days in the charging year (in Financial and general assumptions)</t>
  </si>
  <si>
    <t>Calculation =PMT(x1,x2,-1)*IF(OR(x3&gt;366,x3&lt;365),x3/365.25,1)</t>
  </si>
  <si>
    <t>Annuity rate</t>
  </si>
  <si>
    <t>2102. Loss adjustment factor to transmission for each core level</t>
  </si>
  <si>
    <t>x1 = 1032. Loss adjustment factors to transmission</t>
  </si>
  <si>
    <t>Loss adjustment factor to transmission for each core level</t>
  </si>
  <si>
    <t>2103. Loss adjustment factors</t>
  </si>
  <si>
    <t>x1 = 2102. Loss adjustment factor to transmission for each core level</t>
  </si>
  <si>
    <t>x2 = Loss adjustment factor to transmission for network level exit (in Loss adjustment factors)</t>
  </si>
  <si>
    <t>Copy cells</t>
  </si>
  <si>
    <t>Special copy</t>
  </si>
  <si>
    <t>=x1</t>
  </si>
  <si>
    <t>= x2</t>
  </si>
  <si>
    <t>Loss adjustment factor to transmission for network level exit</t>
  </si>
  <si>
    <t>Loss adjustment factor to transmission for network level entry</t>
  </si>
  <si>
    <t>2104. Diversity calculations</t>
  </si>
  <si>
    <t>x1 = 1017. Diversity allowance between top and bottom of network level</t>
  </si>
  <si>
    <t>x2 = Coincidence to system peak at level exit (in Diversity calculations)</t>
  </si>
  <si>
    <t>Special calculation</t>
  </si>
  <si>
    <t>=previous/(1+x1)</t>
  </si>
  <si>
    <t>=1/x2-1</t>
  </si>
  <si>
    <t>Coincidence to GSP peak at level exit</t>
  </si>
  <si>
    <t>Coincidence to system peak at level exit</t>
  </si>
  <si>
    <t>Diversity allowance between level exit and GSP Group</t>
  </si>
  <si>
    <t>2105. Network model total maximum demand at substation (MW)</t>
  </si>
  <si>
    <t>x1 = 1019. Network model GSP peak demand (MW)</t>
  </si>
  <si>
    <t>x2 = 2104. Coincidence to GSP peak at level exit (in Diversity calculations)</t>
  </si>
  <si>
    <t>Calculation =x1/x2</t>
  </si>
  <si>
    <t>Network model total maximum demand at substation (MW)</t>
  </si>
  <si>
    <t>2106. Network model contribution to system maximum load measured at network level exit (MW)</t>
  </si>
  <si>
    <t>x1 = 2105. Network model total maximum demand at substation (MW)</t>
  </si>
  <si>
    <t>x2 = 2104. Coincidence to system peak at level exit (in Diversity calculations)</t>
  </si>
  <si>
    <t>x3 = 2103. Loss adjustment factor to transmission for network level exit (in Loss adjustment factors)</t>
  </si>
  <si>
    <t>Calculation =x1*x2/x3</t>
  </si>
  <si>
    <t>Network model contribution to system maximum load measured at network level exit (MW)</t>
  </si>
  <si>
    <t>2107. Rerouteing matrix for DRM network levels</t>
  </si>
  <si>
    <t>Combine tables = x1 or x2 or x3 or x4 or x5</t>
  </si>
  <si>
    <t>2108. GSP simultaneous maximum load assumed through each network level (MW)</t>
  </si>
  <si>
    <t>x1 = 2106. Network model contribution to system maximum load measured at network level exit (MW)</t>
  </si>
  <si>
    <t>x2 = 2107. Rerouteing matrix for DRM network levels</t>
  </si>
  <si>
    <t>GSP simultaneous maximum load assumed through each network level (MW)</t>
  </si>
  <si>
    <t>2109. Network model annuity by simultaneous maximum load for each network level (£/kW/year)</t>
  </si>
  <si>
    <t>x1 = 2108. GSP simultaneous maximum load assumed through each network level (MW)</t>
  </si>
  <si>
    <t>x2 = 1020. Gross asset cost by network level (£)</t>
  </si>
  <si>
    <t>x3 = 2101. Annuity rate</t>
  </si>
  <si>
    <t>Calculation =IF(x1,0.001*x2*x3/x1,0)</t>
  </si>
  <si>
    <t>Model £/kW SML</t>
  </si>
  <si>
    <t>Assets 132kV</t>
  </si>
  <si>
    <t>Assets 132kV/EHV</t>
  </si>
  <si>
    <t>Assets EHV</t>
  </si>
  <si>
    <t>Assets EHV/HV</t>
  </si>
  <si>
    <t>Assets 132kV/HV</t>
  </si>
  <si>
    <t>Assets HV</t>
  </si>
  <si>
    <t>Assets HV/LV</t>
  </si>
  <si>
    <t>Assets LV circuits</t>
  </si>
  <si>
    <t>This sheet collects and processes data from the service models.</t>
  </si>
  <si>
    <t>2201. Asset £/customer from LV service models</t>
  </si>
  <si>
    <t>x1 = 1025. Matrix of applicability of LV service models to tariffs with fixed charges</t>
  </si>
  <si>
    <t>x2 = 1022. LV service model asset cost (£)</t>
  </si>
  <si>
    <t>Assets
LV customer</t>
  </si>
  <si>
    <t>2202. LV unmetered service model assets £/(MWh/year)</t>
  </si>
  <si>
    <t>x1 = 1026. Matrix of applicability of LV service models to unmetered tariffs</t>
  </si>
  <si>
    <t>LV unmetered service model assets £/(MWh/year)</t>
  </si>
  <si>
    <t>2203. LV unmetered service model asset charge (p/kWh)</t>
  </si>
  <si>
    <t>x1 = 1010. Annuity proportion for customer-contributed assets (in Financial and general assumptions)</t>
  </si>
  <si>
    <t>x2 = 2202. LV unmetered service model assets £/(MWh/year)</t>
  </si>
  <si>
    <t>Calculation =0.1*x1*x2*x3</t>
  </si>
  <si>
    <t>LV unmetered service model asset charge (p/kWh)</t>
  </si>
  <si>
    <t>2204. Asset £/customer from HV service models</t>
  </si>
  <si>
    <t>x1 = 1028. Matrix of applicability of HV service models to tariffs with fixed charges</t>
  </si>
  <si>
    <t>x2 = 1023. HV service model asset cost (£)</t>
  </si>
  <si>
    <t>Assets
HV customer</t>
  </si>
  <si>
    <t>2205. Service model assets by tariff (£)</t>
  </si>
  <si>
    <t>x1 = 2201. Asset £/customer from LV service models</t>
  </si>
  <si>
    <t>x2 = 2204. Asset £/customer from HV service models</t>
  </si>
  <si>
    <t>2206. Replacement annuities for service models</t>
  </si>
  <si>
    <t>x1 = 1010. Days in the charging year (in Financial and general assumptions)</t>
  </si>
  <si>
    <t>x2 = 2205. Service model assets by tariff (£)</t>
  </si>
  <si>
    <t>x4 = 1010. Annuity proportion for customer-contributed assets (in Financial and general assumptions)</t>
  </si>
  <si>
    <t>x5 = Service model p/MPAN/day charge (in Replacement annuities for service models)</t>
  </si>
  <si>
    <t>Calculation</t>
  </si>
  <si>
    <t>Cell summation</t>
  </si>
  <si>
    <t>=100/x1*x2*x3*x4</t>
  </si>
  <si>
    <t>=SUM(x5)</t>
  </si>
  <si>
    <t>Service model p/MPAN/day charge</t>
  </si>
  <si>
    <t>Service model p/MPAN/day</t>
  </si>
  <si>
    <t>This sheet compiles information about the assumed characteristics of network users.</t>
  </si>
  <si>
    <t>A load factor represents the average load of a user or user group, relative to the maximum load level of that user or</t>
  </si>
  <si>
    <t>user group. Load factors are numbers between 0 and 1.</t>
  </si>
  <si>
    <t>A coincidence factor represents the expectation value of the load of a user or user group at the time of system maximum load,</t>
  </si>
  <si>
    <t>relative to the maximum load level of that user or user group.  Coincidence factors are numbers between 0 and 1.</t>
  </si>
  <si>
    <t>A load coefficient is the expectation value of the load of a user or user group at the time of system maximum load, relative to the average load level of that user or user group.</t>
  </si>
  <si>
    <t>For demand users, the load coefficient is a demand coefficient and can be calculated as the ratio of the coincidence factor to the load factor.</t>
  </si>
  <si>
    <t>2301. Demand coefficient (load at time of system maximum load divided by average load)</t>
  </si>
  <si>
    <t>x1 = 1041. Coincidence factor to system maximum load for each type of demand user (in Load profile data for demand users)</t>
  </si>
  <si>
    <t>x2 = 1041. Load factor for each type of demand user (in Load profile data for demand users)</t>
  </si>
  <si>
    <t>Demand coefficient</t>
  </si>
  <si>
    <t>2302. Load coefficient</t>
  </si>
  <si>
    <t>x1 = 2301. Demand coefficient (load at time of system maximum load divided by average load)</t>
  </si>
  <si>
    <t>x2 = Negative of generation coefficient; set to -1</t>
  </si>
  <si>
    <t>Load coefficient</t>
  </si>
  <si>
    <t>2303. Discount map</t>
  </si>
  <si>
    <t>2304. LDNO discounts and volumes adjusted for discount</t>
  </si>
  <si>
    <t>x1 = 2303. Discount map</t>
  </si>
  <si>
    <t>x2 = 1037. Embedded network (LDNO) discounts</t>
  </si>
  <si>
    <t>x3 = 100 per cent discount for generators on LDNO networks</t>
  </si>
  <si>
    <t>x4 = Discount for each tariff (except for fixed charges) (in LDNO discounts and volumes adjusted for discount)</t>
  </si>
  <si>
    <t>x5 = 1053. Rate 1 units (MWh) by tariff (in Volume forecasts for the charging year)</t>
  </si>
  <si>
    <t>x6 = 1053. Rate 2 units (MWh) by tariff (in Volume forecasts for the charging year)</t>
  </si>
  <si>
    <t>x7 = 1053. Rate 3 units (MWh) by tariff (in Volume forecasts for the charging year)</t>
  </si>
  <si>
    <t>x8 = 1053. MPANs by tariff (in Volume forecasts for the charging year)</t>
  </si>
  <si>
    <t>x9 = Discount for each tariff for fixed charges only (in LDNO discounts and volumes adjusted for discount)</t>
  </si>
  <si>
    <t>x10 = 1053. Import capacity (kVA) by tariff (in Volume forecasts for the charging year)</t>
  </si>
  <si>
    <t>x11 = 1053. Reactive power units (MVArh) by tariff (in Volume forecasts for the charging year)</t>
  </si>
  <si>
    <t>Combine tables</t>
  </si>
  <si>
    <t>= x3 or x4</t>
  </si>
  <si>
    <t>=x5*(1-x4)</t>
  </si>
  <si>
    <t>=x6*(1-x4)</t>
  </si>
  <si>
    <t>=x7*(1-x4)</t>
  </si>
  <si>
    <t>=x8*(1-x9)</t>
  </si>
  <si>
    <t>=x10*(1-x4)</t>
  </si>
  <si>
    <t>=x11*(1-x4)</t>
  </si>
  <si>
    <t>Discount for each tariff (except for fixed charges)</t>
  </si>
  <si>
    <t>Discount for each tariff for fixed charges only</t>
  </si>
  <si>
    <t>2305. Equivalent volume for each end user</t>
  </si>
  <si>
    <t>x1 = 2304. Rate 1 units (MWh) (in LDNO discounts and volumes adjusted for discount)</t>
  </si>
  <si>
    <t>x2 = 2304. Rate 2 units (MWh) (in LDNO discounts and volumes adjusted for discount)</t>
  </si>
  <si>
    <t>x3 = 2304. Rate 3 units (MWh) (in LDNO discounts and volumes adjusted for discount)</t>
  </si>
  <si>
    <t>x4 = 2304. MPANs (in LDNO discounts and volumes adjusted for discount)</t>
  </si>
  <si>
    <t>x5 = 2304. Import capacity (kVA) (in LDNO discounts and volumes adjusted for discount)</t>
  </si>
  <si>
    <t>x6 = 2304. Reactive power units (MVArh) (in LDNO discounts and volumes adjusted for discount)</t>
  </si>
  <si>
    <t>=SUM(x1)</t>
  </si>
  <si>
    <t>=SUM(x2)</t>
  </si>
  <si>
    <t>=SUM(x3)</t>
  </si>
  <si>
    <t>=SUM(x4)</t>
  </si>
  <si>
    <t>=SUM(x6)</t>
  </si>
  <si>
    <t>2401. Adjust annual hours by distribution time band to match days in year</t>
  </si>
  <si>
    <t>x1 = 1068. Typical annual hours by distribution time band</t>
  </si>
  <si>
    <t>x2 = 1010. Days in the charging year (in Financial and general assumptions)</t>
  </si>
  <si>
    <t>x3 = Total hours in the year according to time band hours input data (in Adjust annual hours by distribution time band to match days in year)</t>
  </si>
  <si>
    <t>=x1*24*x2/x3</t>
  </si>
  <si>
    <t>Hours aggregate</t>
  </si>
  <si>
    <t>Annual hours by distribution time band (reconciled to days in year)</t>
  </si>
  <si>
    <t>Adjust annual hours by distribution time band to match days in year</t>
  </si>
  <si>
    <t>2402. Normalisation of split of rate 1 units by time band</t>
  </si>
  <si>
    <t>x1 = 1061. Average split of rate 1 units by distribution time band</t>
  </si>
  <si>
    <t>x2 = Total split (in Normalisation of split of rate 1 units by time band)</t>
  </si>
  <si>
    <t>x3 = 2401. Annual hours by distribution time band (reconciled to days in year) (in Adjust annual hours by distribution time band to match days in year)</t>
  </si>
  <si>
    <t>x4 = 1010. Days in the charging year (in Financial and general assumptions)</t>
  </si>
  <si>
    <t>=IF(x2,x1/x2,x3/x4/24)</t>
  </si>
  <si>
    <t>Total split</t>
  </si>
  <si>
    <t>Normalised split of rate 1 units by distribution time band</t>
  </si>
  <si>
    <t>2403. Split of rate 1 units between distribution time bands</t>
  </si>
  <si>
    <t>x1 = 2402. Normalised split of rate 1 units by distribution time band (in Normalisation of split of rate 1 units by time band)</t>
  </si>
  <si>
    <t>x2 = Split of rate 1 units between distribution time bands (default)</t>
  </si>
  <si>
    <t>2404. Normalisation of split of rate 2 units by time band</t>
  </si>
  <si>
    <t>x1 = 1062. Average split of rate 2 units by distribution time band</t>
  </si>
  <si>
    <t>x2 = Total split (in Normalisation of split of rate 2 units by time band)</t>
  </si>
  <si>
    <t>Normalised split of rate 2 units by distribution time band</t>
  </si>
  <si>
    <t>2405. Split of rate 2 units between distribution time bands</t>
  </si>
  <si>
    <t>x1 = 2404. Normalised split of rate 2 units by distribution time band (in Normalisation of split of rate 2 units by time band)</t>
  </si>
  <si>
    <t>x2 = Split of rate 2 units between distribution time bands (default)</t>
  </si>
  <si>
    <t>2406. Split of rate 3 units between distribution time bands (default)</t>
  </si>
  <si>
    <t>2407. All units (MWh)</t>
  </si>
  <si>
    <t>x1 = 2305. Rate 1 units (MWh) (in Equivalent volume for each end user)</t>
  </si>
  <si>
    <t>x2 = 2305. Rate 2 units (MWh) (in Equivalent volume for each end user)</t>
  </si>
  <si>
    <t>x3 = 2305. Rate 3 units (MWh) (in Equivalent volume for each end user)</t>
  </si>
  <si>
    <t>Calculation =x1+x2+x3</t>
  </si>
  <si>
    <t>All units (MWh)</t>
  </si>
  <si>
    <t>2408. Calculation of implied load coefficients for one-rate users</t>
  </si>
  <si>
    <t>x1 = 2407. All units (MWh)</t>
  </si>
  <si>
    <t>x2 = 2305. Rate 1 units (MWh) (in Equivalent volume for each end user)</t>
  </si>
  <si>
    <t>x3 = 2403. Split of rate 1 units between distribution time bands</t>
  </si>
  <si>
    <t>x4 = 2401. Annual hours by distribution time band (reconciled to days in year) (in Adjust annual hours by distribution time band to match days in year)</t>
  </si>
  <si>
    <t>x5 = Use of distribution time bands by units in demand forecast for one-rate tariffs (in Calculation of implied load coefficients for one-rate users)</t>
  </si>
  <si>
    <t>x6 = 1010. Days in the charging year (in Financial and general assumptions)</t>
  </si>
  <si>
    <t>=IF(x1&gt;0,(x2*x3)/x1,0)</t>
  </si>
  <si>
    <t>=IF(x4&gt;0,x5*x6*24/x4,0)</t>
  </si>
  <si>
    <t>Use of distribution time bands by units in demand forecast for one-rate tariffs</t>
  </si>
  <si>
    <t>Peak band load coefficient for one-rate tariffs</t>
  </si>
  <si>
    <t>2409. Calculation of implied load coefficients for two-rate users</t>
  </si>
  <si>
    <t>x4 = 2305. Rate 2 units (MWh) (in Equivalent volume for each end user)</t>
  </si>
  <si>
    <t>x5 = 2405. Split of rate 2 units between distribution time bands</t>
  </si>
  <si>
    <t>x6 = 2401. Annual hours by distribution time band (reconciled to days in year) (in Adjust annual hours by distribution time band to match days in year)</t>
  </si>
  <si>
    <t>x7 = Use of distribution time bands by units in demand forecast for two-rate tariffs (in Calculation of implied load coefficients for two-rate users)</t>
  </si>
  <si>
    <t>x8 = 1010. Days in the charging year (in Financial and general assumptions)</t>
  </si>
  <si>
    <t>=IF(x1&gt;0,(x2*x3+x4*x5)/x1,0)</t>
  </si>
  <si>
    <t>=IF(x6&gt;0,x7*x8*24/x6,0)</t>
  </si>
  <si>
    <t>Use of distribution time bands by units in demand forecast for two-rate tariffs</t>
  </si>
  <si>
    <t>Peak band load coefficient for two-rate tariffs</t>
  </si>
  <si>
    <t>2410. Calculation of implied load coefficients for three-rate users</t>
  </si>
  <si>
    <t>x6 = 2305. Rate 3 units (MWh) (in Equivalent volume for each end user)</t>
  </si>
  <si>
    <t>x7 = 2406. Split of rate 3 units between distribution time bands (default)</t>
  </si>
  <si>
    <t>x8 = 2401. Annual hours by distribution time band (reconciled to days in year) (in Adjust annual hours by distribution time band to match days in year)</t>
  </si>
  <si>
    <t>x9 = Use of distribution time bands by units in demand forecast for three-rate tariffs (in Calculation of implied load coefficients for three-rate users)</t>
  </si>
  <si>
    <t>x10 = 1010. Days in the charging year (in Financial and general assumptions)</t>
  </si>
  <si>
    <t>=IF(x1&gt;0,(x2*x3+x4*x5+x6*x7)/x1,0)</t>
  </si>
  <si>
    <t>=IF(x8&gt;0,x9*x10*24/x8,0)</t>
  </si>
  <si>
    <t>Use of distribution time bands by units in demand forecast for three-rate tariffs</t>
  </si>
  <si>
    <t>Peak band load coefficient for three-rate tariffs</t>
  </si>
  <si>
    <t>2411. Calculation of adjusted time band load coefficients</t>
  </si>
  <si>
    <t>x1 = 2408. Peak band load coefficient for one-rate tariffs (in Calculation of implied load coefficients for one-rate users)</t>
  </si>
  <si>
    <t>x2 = 2409. Peak band load coefficient for two-rate tariffs (in Calculation of implied load coefficients for two-rate users)</t>
  </si>
  <si>
    <t>x3 = 2410. Peak band load coefficient for three-rate tariffs (in Calculation of implied load coefficients for three-rate users)</t>
  </si>
  <si>
    <t>x4 = Peak band load coefficient (in Calculation of adjusted time band load coefficients)</t>
  </si>
  <si>
    <t>x5 = 2302. Load coefficient</t>
  </si>
  <si>
    <t>= x1 or x2 or x3</t>
  </si>
  <si>
    <t>=IF(x4&lt;&gt;0,x5/x4,IF(x5&lt;0,-1,1))</t>
  </si>
  <si>
    <t>Peak band load coefficient</t>
  </si>
  <si>
    <t>Load coefficient correction factor (kW at peak in band / band average kW)</t>
  </si>
  <si>
    <t>2412. Normalisation of peaking probabilities</t>
  </si>
  <si>
    <t>x1 = 1069. Red, amber and green peaking probabilities (in Peaking probabilities by network level)</t>
  </si>
  <si>
    <t>x2 = Total probability (should be 100%) (in Normalisation of peaking probabilities)</t>
  </si>
  <si>
    <t>x3 = 1068. Typical annual hours by distribution time band</t>
  </si>
  <si>
    <t>x4 = 2401. Total hours in the year according to time band hours input data (in Adjust annual hours by distribution time band to match days in year)</t>
  </si>
  <si>
    <t>=IF(x2,x1/x2,x3/x4)</t>
  </si>
  <si>
    <t>Total probability (should be 100%)</t>
  </si>
  <si>
    <t>Normalised peaking probabilities</t>
  </si>
  <si>
    <t>2413. Peaking probabilities by network level (reshaped)</t>
  </si>
  <si>
    <t>x1 = 2412. Normalised peaking probabilities (in Normalisation of peaking probabilities)</t>
  </si>
  <si>
    <t>Reshape table = x1</t>
  </si>
  <si>
    <t>Probability of peak within timeband</t>
  </si>
  <si>
    <t>2414. Pseudo load coefficient by time band and network level</t>
  </si>
  <si>
    <t>x1 = 2401. Annual hours by distribution time band (reconciled to days in year) (in Adjust annual hours by distribution time band to match days in year)</t>
  </si>
  <si>
    <t>x2 = 2411. Load coefficient correction factor (kW at peak in band / band average kW) (in Calculation of adjusted time band load coefficients)</t>
  </si>
  <si>
    <t>x3 = 2413. Peaking probabilities by network level (reshaped)</t>
  </si>
  <si>
    <t>Calculation =IF(x1&gt;0,x2*x3*24*x4/x1,0)</t>
  </si>
  <si>
    <t>2415. Single rate non half hourly pseudo timeband load coefficients</t>
  </si>
  <si>
    <t>x1 = 2414. Pseudo load coefficient by time band and network level</t>
  </si>
  <si>
    <t>Copy cells = x1</t>
  </si>
  <si>
    <t>2416. Single rate non half hourly units (MWh)</t>
  </si>
  <si>
    <t>Single rate non half hourly units (MWh)</t>
  </si>
  <si>
    <t>2417. Single rate non half hourly timeband use</t>
  </si>
  <si>
    <t>x1 = 2403. Split of rate 1 units between distribution time bands</t>
  </si>
  <si>
    <t>2418. Single rate non half hourly tariff pseudo load coefficient</t>
  </si>
  <si>
    <t>x1 = 2415. Single rate non half hourly pseudo timeband load coefficients</t>
  </si>
  <si>
    <t>x2 = 2417. Single rate non half hourly timeband use</t>
  </si>
  <si>
    <t>2419. Multi rate non half hourly units (MWh)</t>
  </si>
  <si>
    <t>Multi rate non half hourly units (MWh)</t>
  </si>
  <si>
    <t>2420. Multi rate non half hourly pseudo timeband load coefficients</t>
  </si>
  <si>
    <t>2421. Multi rate non half hourly timeband use</t>
  </si>
  <si>
    <t>x1 = 2409. Use of distribution time bands by units in demand forecast for two-rate tariffs (in Calculation of implied load coefficients for two-rate users)</t>
  </si>
  <si>
    <t>2422. Multi rate non half hourly tariff pseudo load coefficient</t>
  </si>
  <si>
    <t>x1 = 2420. Multi rate non half hourly pseudo timeband load coefficients</t>
  </si>
  <si>
    <t>x2 = 2421. Multi rate non half hourly timeband use</t>
  </si>
  <si>
    <t>2423. Off-peak non half hourly units (MWh)</t>
  </si>
  <si>
    <t>Off-peak non half hourly units (MWh)</t>
  </si>
  <si>
    <t>2424. Off-peak non half hourly pseudo timeband load coefficients</t>
  </si>
  <si>
    <t>2425. Off-peak non half hourly timeband use</t>
  </si>
  <si>
    <t>2426. Off-peak non half hourly tariff pseudo load coefficient</t>
  </si>
  <si>
    <t>x1 = 2424. Off-peak non half hourly pseudo timeband load coefficients</t>
  </si>
  <si>
    <t>x2 = 2425. Off-peak non half hourly timeband use</t>
  </si>
  <si>
    <t>2427. Aggregated half hourly units (MWh)</t>
  </si>
  <si>
    <t>Aggregated half hourly units (MWh)</t>
  </si>
  <si>
    <t>2428. Aggregated half hourly pseudo timeband load coefficients</t>
  </si>
  <si>
    <t>2429. Aggregated half hourly timeband use</t>
  </si>
  <si>
    <t>x1 = 2410. Use of distribution time bands by units in demand forecast for three-rate tariffs (in Calculation of implied load coefficients for three-rate users)</t>
  </si>
  <si>
    <t>2430. Aggregated half hourly tariff pseudo load coefficient</t>
  </si>
  <si>
    <t>x1 = 2428. Aggregated half hourly pseudo timeband load coefficients</t>
  </si>
  <si>
    <t>x2 = 2429. Aggregated half hourly timeband use</t>
  </si>
  <si>
    <t>2431. Average non half hourly tariff pseudo load coefficient</t>
  </si>
  <si>
    <t>x1 = 2416. Single rate non half hourly units (MWh)</t>
  </si>
  <si>
    <t>x2 = 2418. Single rate non half hourly tariff pseudo load coefficient</t>
  </si>
  <si>
    <t>x3 = 2419. Multi rate non half hourly units (MWh)</t>
  </si>
  <si>
    <t>x4 = 2422. Multi rate non half hourly tariff pseudo load coefficient</t>
  </si>
  <si>
    <t>x5 = 2423. Off-peak non half hourly units (MWh)</t>
  </si>
  <si>
    <t>x6 = 2426. Off-peak non half hourly tariff pseudo load coefficient</t>
  </si>
  <si>
    <t>Calculation =(x1*x2+x3*x4+x5*x6)/(x1+x3+x5)</t>
  </si>
  <si>
    <t>Domestic equalisation group</t>
  </si>
  <si>
    <t>Non-domestic equalisation group</t>
  </si>
  <si>
    <t>2432. Average non half hourly timeband use</t>
  </si>
  <si>
    <t>x4 = 2421. Multi rate non half hourly timeband use</t>
  </si>
  <si>
    <t>x6 = 2425. Off-peak non half hourly timeband use</t>
  </si>
  <si>
    <t>2433. Aggregated half hourly tariff pseudo load coefficient using average non half hourly unit mix</t>
  </si>
  <si>
    <t>x2 = 2432. Average non half hourly timeband use</t>
  </si>
  <si>
    <t>2434. Relative correction factor for aggregated half hourly tariff</t>
  </si>
  <si>
    <t>x1 = 2431. Average non half hourly tariff pseudo load coefficient</t>
  </si>
  <si>
    <t>x2 = 2433. Aggregated half hourly tariff pseudo load coefficient using average non half hourly unit mix</t>
  </si>
  <si>
    <t>2435. Correction factor for non half hourly tariffs</t>
  </si>
  <si>
    <t>x7 = 2427. Aggregated half hourly units (MWh)</t>
  </si>
  <si>
    <t>x8 = 2430. Aggregated half hourly tariff pseudo load coefficient</t>
  </si>
  <si>
    <t>x9 = 2434. Relative correction factor for aggregated half hourly tariff</t>
  </si>
  <si>
    <t>Calculation =(x1*x2+x3*x4+x5*x6+x7*x8)/(x1*x2+x3*x4+x5*x6+x7*x8*x9)</t>
  </si>
  <si>
    <t>2436. Single rate non half hourly corrected pseudo timeband load coefficient</t>
  </si>
  <si>
    <t>x2 = 2435. Correction factor for non half hourly tariffs</t>
  </si>
  <si>
    <t>Calculation =x1*x2</t>
  </si>
  <si>
    <t>2437. Multi rate non half hourly corrected pseudo timeband load coefficient</t>
  </si>
  <si>
    <t>2438. Off-peak non half hourly corrected pseudo timeband load coefficient</t>
  </si>
  <si>
    <t>2439. Aggregated half hourly corrected pseudo timeband load coefficient</t>
  </si>
  <si>
    <t>x3 = 2434. Relative correction factor for aggregated half hourly tariff</t>
  </si>
  <si>
    <t>Calculation =x1*x2*x3</t>
  </si>
  <si>
    <t>2440. Pseudo load coefficient by time band and network level (equalised)</t>
  </si>
  <si>
    <t>x1 = 2436. Single rate non half hourly corrected pseudo timeband load coefficient</t>
  </si>
  <si>
    <t>x2 = 2437. Multi rate non half hourly corrected pseudo timeband load coefficient</t>
  </si>
  <si>
    <t>x3 = 2438. Off-peak non half hourly corrected pseudo timeband load coefficient</t>
  </si>
  <si>
    <t>x4 = 2439. Aggregated half hourly corrected pseudo timeband load coefficient</t>
  </si>
  <si>
    <t>x5 = 2414. Pseudo load coefficient by time band and network level</t>
  </si>
  <si>
    <t>2441. Unit rate 1 pseudo load coefficient by network level</t>
  </si>
  <si>
    <t>x1 = 2440. Pseudo load coefficient by time band and network level (equalised)</t>
  </si>
  <si>
    <t>x2 = 2403. Split of rate 1 units between distribution time bands</t>
  </si>
  <si>
    <t>2442. Unit rate 2 pseudo load coefficient by network level</t>
  </si>
  <si>
    <t>x2 = 2405. Split of rate 2 units between distribution time bands</t>
  </si>
  <si>
    <t>2443. Unit rate 3 pseudo load coefficient by network level</t>
  </si>
  <si>
    <t>x2 = 2406. Split of rate 3 units between distribution time bands (default)</t>
  </si>
  <si>
    <t>2444. Adjust annual hours by special distribution time band to match days in year</t>
  </si>
  <si>
    <t>x1 = 1066. Typical annual hours by special distribution time band</t>
  </si>
  <si>
    <t>x3 = Total hours in the year according to special time band hours input data (in Adjust annual hours by special distribution time band to match days in year)</t>
  </si>
  <si>
    <t>Annual hours by special distribution time band (reconciled to days in year)</t>
  </si>
  <si>
    <t>Adjust annual hours by special distribution time band to match days in year</t>
  </si>
  <si>
    <t>2445. Normalisation of split of rate 1 units by special time band</t>
  </si>
  <si>
    <t>x1 = 1064. Average split of rate 1 units by special distribution time band</t>
  </si>
  <si>
    <t>x2 = Total split (in Normalisation of split of rate 1 units by special time band)</t>
  </si>
  <si>
    <t>x3 = 2444. Annual hours by special distribution time band (reconciled to days in year) (in Adjust annual hours by special distribution time band to match days in year)</t>
  </si>
  <si>
    <t>Normalised split of rate 1 units by special distribution time band</t>
  </si>
  <si>
    <t>2446. Split of rate 1 units between special distribution time bands</t>
  </si>
  <si>
    <t>x1 = 2445. Normalised split of rate 1 units by special distribution time band (in Normalisation of split of rate 1 units by special time band)</t>
  </si>
  <si>
    <t>x2 = Split of rate 1 units between special distribution time bands (default)</t>
  </si>
  <si>
    <t>2447. Split of rate 2 units between special distribution time bands (default)</t>
  </si>
  <si>
    <t>2448. Split of rate 3 units between special distribution time bands (default)</t>
  </si>
  <si>
    <t>2449. Calculation of implied special load coefficients for one-rate users</t>
  </si>
  <si>
    <t>x3 = 2446. Split of rate 1 units between special distribution time bands</t>
  </si>
  <si>
    <t>x4 = 2444. Annual hours by special distribution time band (reconciled to days in year) (in Adjust annual hours by special distribution time band to match days in year)</t>
  </si>
  <si>
    <t>x5 = Use of special distribution time bands by units in demand forecast for one-rate tariffs (in Calculation of implied special load coefficients for one-rate users)</t>
  </si>
  <si>
    <t>Use of special distribution time bands by units in demand forecast for one-rate tariffs</t>
  </si>
  <si>
    <t>Peak band special load coefficient for one-rate tariffs</t>
  </si>
  <si>
    <t>2450. Calculation of implied special load coefficients for three-rate users</t>
  </si>
  <si>
    <t>x5 = 2447. Split of rate 2 units between special distribution time bands (default)</t>
  </si>
  <si>
    <t>x7 = 2448. Split of rate 3 units between special distribution time bands (default)</t>
  </si>
  <si>
    <t>x8 = 2444. Annual hours by special distribution time band (reconciled to days in year) (in Adjust annual hours by special distribution time band to match days in year)</t>
  </si>
  <si>
    <t>x9 = Use of special distribution time bands by units in demand forecast for three-rate tariffs (in Calculation of implied special load coefficients for three-rate users)</t>
  </si>
  <si>
    <t>Use of special distribution time bands by units in demand forecast for three-rate tariffs</t>
  </si>
  <si>
    <t>Peak band special load coefficient for three-rate tariffs</t>
  </si>
  <si>
    <t>2451. Estimated contributions to peak demand</t>
  </si>
  <si>
    <t>x1 = 2449. Peak band special load coefficient for one-rate tariffs (in Calculation of implied special load coefficients for one-rate users)</t>
  </si>
  <si>
    <t>x2 = 2450. Peak band special load coefficient for three-rate tariffs (in Calculation of implied special load coefficients for three-rate users)</t>
  </si>
  <si>
    <t>x3 = Peak band special load coefficient (in Estimated contributions to peak demand)</t>
  </si>
  <si>
    <t>x4 = 2407. All units (MWh)</t>
  </si>
  <si>
    <t>x5 = 1010. Days in the charging year (in Financial and general assumptions)</t>
  </si>
  <si>
    <t>x6 = 2302. Load coefficient</t>
  </si>
  <si>
    <t>= x1 or x2</t>
  </si>
  <si>
    <t>=x3*x4/24/x5*1000</t>
  </si>
  <si>
    <t>=x6*x4/24/x5*1000</t>
  </si>
  <si>
    <t>Peak band special load coefficient</t>
  </si>
  <si>
    <t>Contribution to peak band kW</t>
  </si>
  <si>
    <t>Contribution to system-peak-time kW</t>
  </si>
  <si>
    <t>2452. Load coefficient correction factor for the group</t>
  </si>
  <si>
    <t>x1 = 2451. Contribution to peak band kW (in Estimated contributions to peak demand)</t>
  </si>
  <si>
    <t>x2 = 2451. Contribution to system-peak-time kW (in Estimated contributions to peak demand)</t>
  </si>
  <si>
    <t>Calculation =IF(SUM(x1),SUM(x2)/SUM(x1),0)</t>
  </si>
  <si>
    <t>Load coefficient correction factor for the group</t>
  </si>
  <si>
    <t>2453. Calculation of special peaking probabilities</t>
  </si>
  <si>
    <t>x2 = Amber peaking probabilities (in Calculation of special peaking probabilities)</t>
  </si>
  <si>
    <t>x5 = 1069. Black peaking probabilities (in Peaking probabilities by network level)</t>
  </si>
  <si>
    <t>x6 = Red peaking probabilities (in Calculation of special peaking probabilities)</t>
  </si>
  <si>
    <t>x7 = Amber peaking rates (in Calculation of special peaking probabilities)</t>
  </si>
  <si>
    <t>x9 = Yellow peaking probabilities (in Calculation of special peaking probabilities)</t>
  </si>
  <si>
    <t>x10 = Green peaking probabilities (in Calculation of special peaking probabilities)</t>
  </si>
  <si>
    <t>=x2*24*x3/x4</t>
  </si>
  <si>
    <t>=IF(x5,MAX(0,x2+x6-x5),x7*x8/x3/24)</t>
  </si>
  <si>
    <t>=1-x9-x10</t>
  </si>
  <si>
    <t>Red peaking probabilities</t>
  </si>
  <si>
    <t>Amber peaking probabilities</t>
  </si>
  <si>
    <t>Green peaking probabilities</t>
  </si>
  <si>
    <t>Amber peaking rates</t>
  </si>
  <si>
    <t>Yellow peaking probabilities</t>
  </si>
  <si>
    <t>2454. Special peaking probabilities by network level</t>
  </si>
  <si>
    <t>x1 = 2453. Green peaking probabilities (in Calculation of special peaking probabilities)</t>
  </si>
  <si>
    <t>x2 = 2453. Yellow peaking probabilities (in Calculation of special peaking probabilities)</t>
  </si>
  <si>
    <t>x3 = 2453. Black peaking probabilities (in Calculation of special peaking probabilities)</t>
  </si>
  <si>
    <t>2455. Special peaking probabilities by network level (reshaped)</t>
  </si>
  <si>
    <t>x1 = 2454. Special peaking probabilities by network level</t>
  </si>
  <si>
    <t>2456. Pseudo load coefficient by special time band and network level</t>
  </si>
  <si>
    <t>x1 = 2444. Annual hours by special distribution time band (reconciled to days in year) (in Adjust annual hours by special distribution time band to match days in year)</t>
  </si>
  <si>
    <t>x2 = 2452. Load coefficient correction factor for the group</t>
  </si>
  <si>
    <t>x3 = 2455. Special peaking probabilities by network level (reshaped)</t>
  </si>
  <si>
    <t>Pseudo load coefficient by special time band and network level</t>
  </si>
  <si>
    <t>2457. Unit rate 1 pseudo load coefficient by network level (special)</t>
  </si>
  <si>
    <t>x1 = 2456. Pseudo load coefficient by special time band and network level</t>
  </si>
  <si>
    <t>x2 = 2446. Split of rate 1 units between special distribution time bands</t>
  </si>
  <si>
    <t>2458. Unit rate 2 pseudo load coefficient by network level (special)</t>
  </si>
  <si>
    <t>x2 = 2447. Split of rate 2 units between special distribution time bands (default)</t>
  </si>
  <si>
    <t>2459. Unit rate 3 pseudo load coefficient by network level (special)</t>
  </si>
  <si>
    <t>x2 = 2448. Split of rate 3 units between special distribution time bands (default)</t>
  </si>
  <si>
    <t>2460. Unit rate 1 pseudo load coefficient by network level (combined)</t>
  </si>
  <si>
    <t>x1 = 2441. Unit rate 1 pseudo load coefficient by network level</t>
  </si>
  <si>
    <t>x2 = 2457. Unit rate 1 pseudo load coefficient by network level (special)</t>
  </si>
  <si>
    <t>2461. Unit rate 2 pseudo load coefficient by network level (combined)</t>
  </si>
  <si>
    <t>x1 = 2442. Unit rate 2 pseudo load coefficient by network level</t>
  </si>
  <si>
    <t>x2 = 2458. Unit rate 2 pseudo load coefficient by network level (special)</t>
  </si>
  <si>
    <t>2462. Unit rate 3 pseudo load coefficient by network level (combined)</t>
  </si>
  <si>
    <t>x1 = 2443. Unit rate 3 pseudo load coefficient by network level</t>
  </si>
  <si>
    <t>x2 = 2459. Unit rate 3 pseudo load coefficient by network level (special)</t>
  </si>
  <si>
    <t>2501. Contributions of users on one-rate multi tariffs to system simultaneous maximum load by network level (kW)</t>
  </si>
  <si>
    <t>x2 = 2460. Unit rate 1 pseudo load coefficient by network level (combined)</t>
  </si>
  <si>
    <t>x3 = 2012. Loss adjustment factors between end user meter reading and each network level, scaled by network use</t>
  </si>
  <si>
    <t>Calculation =(x1*x2)*x3/(24*x4)*1000</t>
  </si>
  <si>
    <t>2502. Contributions of users on two-rate multi tariffs to system simultaneous maximum load by network level (kW)</t>
  </si>
  <si>
    <t>x3 = 2305. Rate 2 units (MWh) (in Equivalent volume for each end user)</t>
  </si>
  <si>
    <t>x4 = 2461. Unit rate 2 pseudo load coefficient by network level (combined)</t>
  </si>
  <si>
    <t>x5 = 2012. Loss adjustment factors between end user meter reading and each network level, scaled by network use</t>
  </si>
  <si>
    <t>Calculation =(x1*x2+x3*x4)*x5/(24*x6)*1000</t>
  </si>
  <si>
    <t>2503. Contributions of users on three-rate multi tariffs to system simultaneous maximum load by network level (kW)</t>
  </si>
  <si>
    <t>x5 = 2305. Rate 3 units (MWh) (in Equivalent volume for each end user)</t>
  </si>
  <si>
    <t>x6 = 2462. Unit rate 3 pseudo load coefficient by network level (combined)</t>
  </si>
  <si>
    <t>x7 = 2012. Loss adjustment factors between end user meter reading and each network level, scaled by network use</t>
  </si>
  <si>
    <t>Calculation =(x1*x2+x3*x4+x5*x6)*x7/(24*x8)*1000</t>
  </si>
  <si>
    <t>2504. Estimated contributions of users on each tariff to system simultaneous maximum load by network level (kW)</t>
  </si>
  <si>
    <t>x2 = 2302. Load coefficient</t>
  </si>
  <si>
    <t>Calculation =x1*x2*x3/(24*x4)*1000</t>
  </si>
  <si>
    <t>2505. Contributions of users on each tariff to system simultaneous maximum load by network level (kW)</t>
  </si>
  <si>
    <t>x1 = 2501. Contributions of users on one-rate multi tariffs to system simultaneous maximum load by network level (kW)</t>
  </si>
  <si>
    <t>x2 = 2502. Contributions of users on two-rate multi tariffs to system simultaneous maximum load by network level (kW)</t>
  </si>
  <si>
    <t>x3 = 2503. Contributions of users on three-rate multi tariffs to system simultaneous maximum load by network level (kW)</t>
  </si>
  <si>
    <t>x4 = 2504. Estimated contributions of users on each tariff to system simultaneous maximum load by network level (kW)</t>
  </si>
  <si>
    <t>Combine tables = x1 or x2 or x3 or x4</t>
  </si>
  <si>
    <t>2506. Forecast system simultaneous maximum load (kW) from forecast units</t>
  </si>
  <si>
    <t>x1 = 2505. Contributions of users on each tariff to system simultaneous maximum load by network level (kW)</t>
  </si>
  <si>
    <t>Cell summation =SUM(x1)</t>
  </si>
  <si>
    <t>Forecast system simultaneous maximum load (kW) from forecast units</t>
  </si>
  <si>
    <t>2601. Pre-processing of data for standing charge factors</t>
  </si>
  <si>
    <t>x1 = Standing charges factors (in Pre-processing of data for standing charge factors)</t>
  </si>
  <si>
    <t>x2 = 1018. Proportion of relevant load going through 132kV/HV direct transformation</t>
  </si>
  <si>
    <t>x3 = Standing charges factors for 132kV/HV (in Pre-processing of data for standing charge factors)</t>
  </si>
  <si>
    <t>=x1+0.2*x2*x3</t>
  </si>
  <si>
    <t>Standing charges factors</t>
  </si>
  <si>
    <t>Standing charges factors for 132kV/HV</t>
  </si>
  <si>
    <t>Adjusted standing charges factors for 132kV</t>
  </si>
  <si>
    <t>2602. Standing charges factors adapted to use 132kV/HV</t>
  </si>
  <si>
    <t>x1 = 2601. Standing charges factors for 132kV/HV (in Pre-processing of data for standing charge factors)</t>
  </si>
  <si>
    <t>x2 = 2601. Adjusted standing charges factors for 132kV (in Pre-processing of data for standing charge factors)</t>
  </si>
  <si>
    <t>x3 = 2601. Standing charges factors (in Pre-processing of data for standing charge factors)</t>
  </si>
  <si>
    <t>2603. Capacity-based contributions to chargeable aggregate maximum load by network level (kW)</t>
  </si>
  <si>
    <t>x1 = 2305. Import capacity (kVA) (in Equivalent volume for each end user)</t>
  </si>
  <si>
    <t>x2 = 1010. Power factor for all flows in the network model (in Financial and general assumptions)</t>
  </si>
  <si>
    <t>x3 = 2602. Standing charges factors adapted to use 132kV/HV</t>
  </si>
  <si>
    <t>x4 = 2012. Loss adjustment factors between end user meter reading and each network level, scaled by network use</t>
  </si>
  <si>
    <t>Calculation =x1*x2*x3*x4</t>
  </si>
  <si>
    <t>2604. Unit-based contributions to chargeable aggregate maximum load (kW)</t>
  </si>
  <si>
    <t>Calculation =x1/x2*x3*x4/(24*x5)*1000</t>
  </si>
  <si>
    <t>2605. Contributions to aggregate maximum load by network level (kW)</t>
  </si>
  <si>
    <t>x1 = 2603. Capacity-based contributions to chargeable aggregate maximum load by network level (kW)</t>
  </si>
  <si>
    <t>x2 = 2604. Unit-based contributions to chargeable aggregate maximum load (kW)</t>
  </si>
  <si>
    <t>2606. Forecast chargeable aggregate maximum load (kW)</t>
  </si>
  <si>
    <t>x1 = 2605. Contributions to aggregate maximum load by network level (kW)</t>
  </si>
  <si>
    <t>Forecast chargeable aggregate maximum load (kW)</t>
  </si>
  <si>
    <t>2607. Forecast simultaneous load subject to standing charge factors (kW)</t>
  </si>
  <si>
    <t>x2 = 2602. Standing charges factors adapted to use 132kV/HV</t>
  </si>
  <si>
    <t>2608. Forecast simultaneous load replaced by standing charge (kW)</t>
  </si>
  <si>
    <t>x1 = 2607. Forecast simultaneous load subject to standing charge factors (kW)</t>
  </si>
  <si>
    <t>Forecast simultaneous load replaced by standing charge (kW)</t>
  </si>
  <si>
    <t>2609. Calculated LV diversity allowance</t>
  </si>
  <si>
    <t>x1 = 2606. Forecast chargeable aggregate maximum load (kW)</t>
  </si>
  <si>
    <t>x2 = 2608. Forecast simultaneous load replaced by standing charge (kW)</t>
  </si>
  <si>
    <t>Calculation =x1/x2-1</t>
  </si>
  <si>
    <t>Calculated LV diversity allowance</t>
  </si>
  <si>
    <t>2610. Network level mapping for diversity allowances</t>
  </si>
  <si>
    <t>2611. Diversity allowances including 132kV/HV</t>
  </si>
  <si>
    <t>x1 = 2104. Diversity allowance between level exit and GSP Group (in Diversity calculations)</t>
  </si>
  <si>
    <t>x2 = 2610. Network level mapping for diversity allowances</t>
  </si>
  <si>
    <t>Diversity allowances including 132kV/HV</t>
  </si>
  <si>
    <t>2612. Diversity allowances (including calculated LV value)</t>
  </si>
  <si>
    <t>x1 = 2609. Calculated LV diversity allowance</t>
  </si>
  <si>
    <t>x2 = 2611. Diversity allowances including 132kV/HV</t>
  </si>
  <si>
    <t>Diversity allowances (including calculated LV value)</t>
  </si>
  <si>
    <t>2613. Forecast simultaneous maximum load (kW) adjusted for standing charges</t>
  </si>
  <si>
    <t>x1 = 2506. Forecast system simultaneous maximum load (kW) from forecast units</t>
  </si>
  <si>
    <t>x3 = 2606. Forecast chargeable aggregate maximum load (kW)</t>
  </si>
  <si>
    <t>x4 = 2612. Diversity allowances (including calculated LV value)</t>
  </si>
  <si>
    <t>Calculation =x1-x2+x3/(1+x4)</t>
  </si>
  <si>
    <t>Forecast simultaneous maximum load (kW) adjusted for standing charges</t>
  </si>
  <si>
    <t>2701. Operating expenditure coded by network level (£/year)</t>
  </si>
  <si>
    <t>x1 = 1055. Transmission exit charges (£/year)</t>
  </si>
  <si>
    <t>x2 = Zero for levels other than transmission exit</t>
  </si>
  <si>
    <t>Operating
132kV</t>
  </si>
  <si>
    <t>Operating
132kV/EHV</t>
  </si>
  <si>
    <t>Operating
EHV</t>
  </si>
  <si>
    <t>Operating
EHV/HV</t>
  </si>
  <si>
    <t>Operating
132kV/HV</t>
  </si>
  <si>
    <t>Operating
HV</t>
  </si>
  <si>
    <t>Operating
HV/LV</t>
  </si>
  <si>
    <t>Operating
LV circuits</t>
  </si>
  <si>
    <t>Operating
LV customer</t>
  </si>
  <si>
    <t>Operating
HV customer</t>
  </si>
  <si>
    <t>Operating expenditure coded by network level (£/year)</t>
  </si>
  <si>
    <t>2702. Network model assets (£) scaled by load forecast</t>
  </si>
  <si>
    <t>x2 = 2613. Forecast simultaneous maximum load (kW) adjusted for standing charges</t>
  </si>
  <si>
    <t>x3 = 1020. Gross asset cost by network level (£)</t>
  </si>
  <si>
    <t>Calculation =IF(x1,x2*x3/x1/1000,0)</t>
  </si>
  <si>
    <t>Network model assets (£) scaled by load forecast</t>
  </si>
  <si>
    <t>2703. Annual consumption by tariff for unmetered users (MWh)</t>
  </si>
  <si>
    <t>Annual consumption by tariff for unmetered users (MWh)</t>
  </si>
  <si>
    <t>2704. Total unmetered units</t>
  </si>
  <si>
    <t>x1 = 2703. Annual consumption by tariff for unmetered users (MWh)</t>
  </si>
  <si>
    <t>Total unmetered units</t>
  </si>
  <si>
    <t>2705. Service model asset data</t>
  </si>
  <si>
    <t>x1 = 2205. Service model assets by tariff (£)</t>
  </si>
  <si>
    <t>x2 = 2305. MPANs (in Equivalent volume for each end user)</t>
  </si>
  <si>
    <t>x3 = 2202. LV unmetered service model assets £/(MWh/year)</t>
  </si>
  <si>
    <t>x4 = 2704. Total unmetered units</t>
  </si>
  <si>
    <t>x5 = Service model assets (£) scaled by annual MWh (in Service model asset data)</t>
  </si>
  <si>
    <t>x6 = Service model assets (£) scaled by user count (in Service model asset data)</t>
  </si>
  <si>
    <t>x7 = Service model assets (£) scaled by annual MWh (in Service model asset data)</t>
  </si>
  <si>
    <t>=x3*x4</t>
  </si>
  <si>
    <t>= x5</t>
  </si>
  <si>
    <t>=x6+x7</t>
  </si>
  <si>
    <t>Service model assets (£) scaled by user count</t>
  </si>
  <si>
    <t>Service model assets (£) scaled by annual MWh</t>
  </si>
  <si>
    <t>Service model assets (£)</t>
  </si>
  <si>
    <t>Service model asset data</t>
  </si>
  <si>
    <t>2706. Data for allocation of operating expenditure</t>
  </si>
  <si>
    <t>x1 = 2702. Network model assets (£) scaled by load forecast</t>
  </si>
  <si>
    <t>x2 = 2705. Service model assets (£) (in Service model asset data)</t>
  </si>
  <si>
    <t>x3 = Model assets (£) scaled by demand forecast (in Data for allocation of operating expenditure)</t>
  </si>
  <si>
    <t>Model assets (£) scaled by demand forecast</t>
  </si>
  <si>
    <t>Denominator for allocation of operating expenditure</t>
  </si>
  <si>
    <t>Data for allocation of operating expenditure</t>
  </si>
  <si>
    <t>2707. Amount of expenditure to be allocated according to asset values (£/year)</t>
  </si>
  <si>
    <t>x1 = 1059. Direct cost (£/year) (in Other expenditure)</t>
  </si>
  <si>
    <t>x2 = 1059. Network rates (£/year) (in Other expenditure)</t>
  </si>
  <si>
    <t>x3 = 1059. Indirect cost (£/year) (in Other expenditure)</t>
  </si>
  <si>
    <t>x4 = 1059. Indirect cost proportion (in Other expenditure)</t>
  </si>
  <si>
    <t>Calculation =x1+x2+x3*x4</t>
  </si>
  <si>
    <t>Amount of expenditure to be allocated according to asset values (£/year)</t>
  </si>
  <si>
    <t>2708. Total operating expenditure by network level  (£/year)</t>
  </si>
  <si>
    <t>x1 = 2701. Operating expenditure coded by network level (£/year)</t>
  </si>
  <si>
    <t>x2 = 2707. Amount of expenditure to be allocated according to asset values (£/year)</t>
  </si>
  <si>
    <t>x3 = 2706. Denominator for allocation of operating expenditure (in Data for allocation of operating expenditure)</t>
  </si>
  <si>
    <t>x4 = 2706. Model assets (£) scaled by demand forecast (in Data for allocation of operating expenditure)</t>
  </si>
  <si>
    <t>Calculation =x1+x2/x3*x4</t>
  </si>
  <si>
    <t>Total operating expenditure by network level  (£/year)</t>
  </si>
  <si>
    <t>2709. Operating expenditure percentage by network level</t>
  </si>
  <si>
    <t>x1 = 2706. Model assets (£) scaled by demand forecast (in Data for allocation of operating expenditure)</t>
  </si>
  <si>
    <t>x2 = 2708. Total operating expenditure by network level  (£/year)</t>
  </si>
  <si>
    <t>Calculation =IF(x1="","",IF(x1&gt;0,x2/x1,0))</t>
  </si>
  <si>
    <t>Operating expenditure percentage by network level</t>
  </si>
  <si>
    <t>2710. Unit operating expenditure based on simultaneous maximum load (£/kW/year)</t>
  </si>
  <si>
    <t>x1 = 2613. Forecast simultaneous maximum load (kW) adjusted for standing charges</t>
  </si>
  <si>
    <t>Calculation =IF(x1&gt;0,x2/x1,0)</t>
  </si>
  <si>
    <t>Unit operating expenditure based on simultaneous maximum load (£/kW/year)</t>
  </si>
  <si>
    <t>2711. Operating expenditure for customer assets p/MPAN/day</t>
  </si>
  <si>
    <t>x2 = 2709. Operating expenditure percentage by network level</t>
  </si>
  <si>
    <t>x3 = 2205. Service model assets by tariff (£)</t>
  </si>
  <si>
    <t>x4 = Operating expenditure p/MPAN/day by level (in Operating expenditure for customer assets p/MPAN/day)</t>
  </si>
  <si>
    <t>=100/x1*x2*x3</t>
  </si>
  <si>
    <t>Operating expenditure p/MPAN/day by level</t>
  </si>
  <si>
    <t>Operating expenditure for customer assets p/MPAN/day total</t>
  </si>
  <si>
    <t>2712. Operating expenditure for unmetered customer assets (p/kWh)</t>
  </si>
  <si>
    <t>x1 = 2709. Operating expenditure percentage by network level</t>
  </si>
  <si>
    <t>Calculation =0.1*x1*x2</t>
  </si>
  <si>
    <t>This sheet calculates factors used to take account of the costs deemed to be covered by connection charges.</t>
  </si>
  <si>
    <t>2801. Network level of supply (for customer contributions) by tariff</t>
  </si>
  <si>
    <t>2802. Contribution proportion of asset annuities, by customer type and network level of assets</t>
  </si>
  <si>
    <t>x1 = 1060. Customer contributions under current connection charging policy</t>
  </si>
  <si>
    <t>x2 = 1010. Annuity proportion for customer-contributed assets (in Financial and general assumptions)</t>
  </si>
  <si>
    <t>Calculation =x1*(1-x2)</t>
  </si>
  <si>
    <t>2803. Proportion of asset annuities deemed to be covered by customer contributions</t>
  </si>
  <si>
    <t>x1 = 2801. Network level of supply (for customer contributions) by tariff</t>
  </si>
  <si>
    <t>x2 = 2802. Contribution proportion of asset annuities, by customer type and network level of assets</t>
  </si>
  <si>
    <t>2804. Proportion of annual charge covered by contributions (for all charging levels)</t>
  </si>
  <si>
    <t>x1 = Zero for operating expenditure</t>
  </si>
  <si>
    <t>x2 = Zero for GSPs level</t>
  </si>
  <si>
    <t>x3 = 2803. Proportion of asset annuities deemed to be covered by customer contributions</t>
  </si>
  <si>
    <t>This sheet calculates average p/kWh and p/kW/day charges that would apply if no costs were recovered through capacity or fixed charges.</t>
  </si>
  <si>
    <t>2901. Unit cost at each level, £/kW/year (relative to system simultaneous maximum load)</t>
  </si>
  <si>
    <t>x1 = 2109. Network model annuity by simultaneous maximum load for each network level (£/kW/year)</t>
  </si>
  <si>
    <t>x2 = 2710. Unit operating expenditure based on simultaneous maximum load (£/kW/year)</t>
  </si>
  <si>
    <t>Unit cost at each level, £/kW/year (relative to system simultaneous maximum load)</t>
  </si>
  <si>
    <t>2902. Pay-as-you-go yardstick unit costs by charging level (p/kWh)</t>
  </si>
  <si>
    <t>x1 = 2901. Unit cost at each level, £/kW/year (relative to system simultaneous maximum load)</t>
  </si>
  <si>
    <t>x4 = 2804. Proportion of annual charge covered by contributions (for all charging levels)</t>
  </si>
  <si>
    <t>Calculation =x1*x2*x3*(1-x4)/(24*x5)*100</t>
  </si>
  <si>
    <t>2903. Contributions to pay-as-you-go unit rate 1 (p/kWh)</t>
  </si>
  <si>
    <t>x1 = 2460. Unit rate 1 pseudo load coefficient by network level (combined)</t>
  </si>
  <si>
    <t>x2 = 2901. Unit cost at each level, £/kW/year (relative to system simultaneous maximum load)</t>
  </si>
  <si>
    <t>Calculation =x1*x2*x3*(1-x4)*100/(24*x5)</t>
  </si>
  <si>
    <t>2904. Contributions to pay-as-you-go unit rate 2 (p/kWh)</t>
  </si>
  <si>
    <t>x1 = 2461. Unit rate 2 pseudo load coefficient by network level (combined)</t>
  </si>
  <si>
    <t>2905. Contributions to pay-as-you-go unit rate 3 (p/kWh)</t>
  </si>
  <si>
    <t>x1 = 2462. Unit rate 3 pseudo load coefficient by network level (combined)</t>
  </si>
  <si>
    <t>This sheet reallocates some costs from unit charges to fixed or capacity charges, for demand users only.</t>
  </si>
  <si>
    <t>3001. Costs based on aggregate maximum load (£/kW/year)</t>
  </si>
  <si>
    <t>x2 = 2612. Diversity allowances (including calculated LV value)</t>
  </si>
  <si>
    <t>Calculation =x1/(1+x2)</t>
  </si>
  <si>
    <t>Costs based on aggregate maximum load (£/kW/year)</t>
  </si>
  <si>
    <t>3002. Capacity elements p/kVA/day</t>
  </si>
  <si>
    <t>This calculation uses aggregate maximum load and no coincidence factor.</t>
  </si>
  <si>
    <t>x1 = 2602. Standing charges factors adapted to use 132kV/HV</t>
  </si>
  <si>
    <t>x2 = 2012. Loss adjustment factors between end user meter reading and each network level, scaled by network use</t>
  </si>
  <si>
    <t>x3 = 3001. Costs based on aggregate maximum load (£/kW/year)</t>
  </si>
  <si>
    <t>x4 = 1010. Power factor for all flows in the network model (in Financial and general assumptions)</t>
  </si>
  <si>
    <t>x6 = 2804. Proportion of annual charge covered by contributions (for all charging levels)</t>
  </si>
  <si>
    <t>Calculation =100*x1*x2*x3*x4/x5*(1-x6)</t>
  </si>
  <si>
    <t>3003. Yardstick components p/kWh (taking account of standing charges)</t>
  </si>
  <si>
    <t>x2 = 2902. Pay-as-you-go yardstick unit costs by charging level (p/kWh)</t>
  </si>
  <si>
    <t>Calculation =(1-x1)*x2</t>
  </si>
  <si>
    <t>3004. Contributions to unit rate 1 p/kWh by network level (taking account of standing charges)</t>
  </si>
  <si>
    <t>x2 = 2903. Contributions to pay-as-you-go unit rate 1 (p/kWh)</t>
  </si>
  <si>
    <t>3005. Contributions to unit rate 2 p/kWh by network level (taking account of standing charges)</t>
  </si>
  <si>
    <t>x2 = 2904. Contributions to pay-as-you-go unit rate 2 (p/kWh)</t>
  </si>
  <si>
    <t>3006. Contributions to unit rate 3 p/kWh by network level (taking account of standing charges)</t>
  </si>
  <si>
    <t>x2 = 2905. Contributions to pay-as-you-go unit rate 3 (p/kWh)</t>
  </si>
  <si>
    <t>This sheet allocates standing charges to fixed charges for non half hourly settled demand users.</t>
  </si>
  <si>
    <t>3101. Mapping of tariffs to tariff groups</t>
  </si>
  <si>
    <t>LV domestic and small non-domestic tariffs</t>
  </si>
  <si>
    <t>LV medium non-domestic tariffs</t>
  </si>
  <si>
    <t>LV substation aggregated tariffs</t>
  </si>
  <si>
    <t>HV network aggregated tariffs</t>
  </si>
  <si>
    <t>3102. Capacity use for tariffs charged for capacity on an exit point basis</t>
  </si>
  <si>
    <t>x4 = 2305. MPANs (in Equivalent volume for each end user)</t>
  </si>
  <si>
    <t>=x1/x2/(24*x3)*1000</t>
  </si>
  <si>
    <t>= x4</t>
  </si>
  <si>
    <t>Unit-based contributions to aggregate maximum load (kW)</t>
  </si>
  <si>
    <t>3103. Aggregate capacity (kW)</t>
  </si>
  <si>
    <t>x1 = 3101. Mapping of tariffs to tariff groups</t>
  </si>
  <si>
    <t>x2 = 3102. Unit-based contributions to aggregate maximum load (kW) (in Capacity use for tariffs charged for capacity on an exit point basis)</t>
  </si>
  <si>
    <t>Aggregate capacity (kW)</t>
  </si>
  <si>
    <t>3104. Aggregate number of users charged for capacity on an exit point basis</t>
  </si>
  <si>
    <t>x2 = 3102. MPANs (in Equivalent volume for each end user) (in Capacity use for tariffs charged for capacity on an exit point basis)</t>
  </si>
  <si>
    <t>Aggregate number of users charged for capacity on an exit point basis</t>
  </si>
  <si>
    <t>3105. Average maximum kVA by exit point</t>
  </si>
  <si>
    <t>x1 = 3104. Aggregate number of users charged for capacity on an exit point basis</t>
  </si>
  <si>
    <t>x2 = 3103. Aggregate capacity (kW)</t>
  </si>
  <si>
    <t>x3 = 1010. Power factor for all flows in the network model (in Financial and general assumptions)</t>
  </si>
  <si>
    <t>Calculation =IF(x1,x2/x1/x3,0)</t>
  </si>
  <si>
    <t>Average maximum kVA by exit point</t>
  </si>
  <si>
    <t>3106. Deemed average maximum kVA for each tariff</t>
  </si>
  <si>
    <t>x2 = 3105. Average maximum kVA by exit point</t>
  </si>
  <si>
    <t>Deemed average maximum kVA for each tariff</t>
  </si>
  <si>
    <t>3107. Capacity-driven fixed charge elements from standing charges factors p/MPAN/day</t>
  </si>
  <si>
    <t>x1 = 3002. Capacity elements p/kVA/day</t>
  </si>
  <si>
    <t>x2 = 3106. Deemed average maximum kVA for each tariff</t>
  </si>
  <si>
    <t>3201. Network use factors for generator reactive unit charges</t>
  </si>
  <si>
    <t>These factors differ from the network use factors for active power charges/credits in the case of generators, who do not qualify</t>
  </si>
  <si>
    <t>for active power credits at the voltage of connection but are charged reactive unit charges for costs caused at that voltage.</t>
  </si>
  <si>
    <t>3202. Standard components p/kWh for reactive power (absolute value)</t>
  </si>
  <si>
    <t>x1 = 3003. Yardstick components p/kWh (taking account of standing charges)</t>
  </si>
  <si>
    <t>Calculation =ABS(x1)</t>
  </si>
  <si>
    <t>3203. Standard reactive p/kVArh</t>
  </si>
  <si>
    <t>x1 = 3202. Standard components p/kWh for reactive power (absolute value)</t>
  </si>
  <si>
    <t>x2 = 1092. Average kVAr by kVA, by network level</t>
  </si>
  <si>
    <t>3204. Absolute value of load coefficient (kW peak / average kW)</t>
  </si>
  <si>
    <t>x1 = 2302. Load coefficient</t>
  </si>
  <si>
    <t>Absolute load coefficient</t>
  </si>
  <si>
    <t>3205. Pay-as-you-go components p/kWh for reactive power (absolute value)</t>
  </si>
  <si>
    <t>x2 = 3204. Absolute value of load coefficient (kW peak / average kW)</t>
  </si>
  <si>
    <t>x4 = 2004. Loss adjustment factor to transmission for each network level</t>
  </si>
  <si>
    <t>x5 = 2804. Proportion of annual charge covered by contributions (for all charging levels)</t>
  </si>
  <si>
    <t>x6 = 3201. Network use factors for generator reactive unit charges</t>
  </si>
  <si>
    <t>x7 = 1010. Days in the charging year (in Financial and general assumptions)</t>
  </si>
  <si>
    <t>Calculation =x1*x2*x3/x4*(1-x5)*x6/(24*x7)*100</t>
  </si>
  <si>
    <t>3206. Pay-as-you-go reactive p/kVArh</t>
  </si>
  <si>
    <t>x1 = 3205. Pay-as-you-go components p/kWh for reactive power (absolute value)</t>
  </si>
  <si>
    <t>This sheet aggregates elements of tariffs excluding revenue matching and final adjustments and rounding.</t>
  </si>
  <si>
    <t>3301. Unit rate 1 p/kWh (elements)</t>
  </si>
  <si>
    <t>x1 = 3004. Unit rate 1 total p/kWh (taking account of standing charges) — for Tariffs with Unit rate 1 p/kWh from Standard 1 kWh</t>
  </si>
  <si>
    <t>x2 = 2903. Pay-as-you-go unit rate 1 (p/kWh) — for Tariffs with Unit rate 1 p/kWh from PAYG 1 kWh</t>
  </si>
  <si>
    <t>x3 = 2903. Pay-as-you-go unit rate 1 (p/kWh) — for Tariffs with Unit rate 1 p/kWh from PAYG 1 kWh &amp; customer</t>
  </si>
  <si>
    <t>x4 = 2902. Pay-as-you-go yardstick unit rate (p/kWh) — for Tariffs with Unit rate 1 p/kWh from PAYG yardstick kWh</t>
  </si>
  <si>
    <t>x5 = 2203. LV unmetered service model asset charge (p/kWh) — for Tariffs with Unit rate 1 p/kWh from PAYG 1 kWh &amp; customer</t>
  </si>
  <si>
    <t>x6 = 2712. Operating expenditure for unmetered customer assets (p/kWh) — for Tariffs with Unit rate 1 p/kWh from PAYG 1 kWh &amp; customer</t>
  </si>
  <si>
    <t>3302. Unit rate 2 p/kWh (elements)</t>
  </si>
  <si>
    <t>x1 = 3005. Unit rate 2 total p/kWh (taking account of standing charges) — for Tariffs with Unit rate 2 p/kWh from Standard 2 kWh</t>
  </si>
  <si>
    <t>x2 = 2904. Pay-as-you-go unit rate 2 (p/kWh) — for Tariffs with Unit rate 2 p/kWh from PAYG 2 kWh</t>
  </si>
  <si>
    <t>x3 = 2904. Pay-as-you-go unit rate 2 (p/kWh) — for Tariffs with Unit rate 2 p/kWh from PAYG 2 kWh &amp; customer</t>
  </si>
  <si>
    <t>x4 = 2203. LV unmetered service model asset charge (p/kWh) — for Tariffs with Unit rate 2 p/kWh from PAYG 2 kWh &amp; customer</t>
  </si>
  <si>
    <t>x5 = 2712. Operating expenditure for unmetered customer assets (p/kWh) — for Tariffs with Unit rate 2 p/kWh from PAYG 2 kWh &amp; customer</t>
  </si>
  <si>
    <t>3303. Unit rate 3 p/kWh (elements)</t>
  </si>
  <si>
    <t>x1 = 3006. Unit rate 3 total p/kWh (taking account of standing charges) — for Tariffs with Unit rate 3 p/kWh from Standard 3 kWh</t>
  </si>
  <si>
    <t>x2 = 2905. Pay-as-you-go unit rate 3 (p/kWh) — for Tariffs with Unit rate 3 p/kWh from PAYG 3 kWh</t>
  </si>
  <si>
    <t>x3 = 2905. Pay-as-you-go unit rate 3 (p/kWh) — for Tariffs with Unit rate 3 p/kWh from PAYG 3 kWh &amp; customer</t>
  </si>
  <si>
    <t>x4 = 2203. LV unmetered service model asset charge (p/kWh) — for Tariffs with Unit rate 3 p/kWh from PAYG 3 kWh &amp; customer</t>
  </si>
  <si>
    <t>x5 = 2712. Operating expenditure for unmetered customer assets (p/kWh) — for Tariffs with Unit rate 3 p/kWh from PAYG 3 kWh &amp; customer</t>
  </si>
  <si>
    <t>3304. Fixed charge p/MPAN/day (elements)</t>
  </si>
  <si>
    <t>x1 = 3107. Fixed charge from standing charges factors p/MPAN/day — for Tariffs with Fixed charge p/MPAN/day from Fixed from network &amp; customer</t>
  </si>
  <si>
    <t>x2 = 2206. Service model p/MPAN/day (in Replacement annuities for service models) — for Tariffs with Fixed charge p/MPAN/day from Customer</t>
  </si>
  <si>
    <t>x3 = 2206. Service model p/MPAN/day (in Replacement annuities for service models) — for Tariffs with Fixed charge p/MPAN/day from Fixed from network &amp; customer</t>
  </si>
  <si>
    <t>x4 = 2711. Operating expenditure for customer assets p/MPAN/day total (in Operating expenditure for customer assets p/MPAN/day) — for Tariffs with Fixed charge p/MPAN/day from Customer</t>
  </si>
  <si>
    <t>x5 = 2711. Operating expenditure for customer assets p/MPAN/day total (in Operating expenditure for customer assets p/MPAN/day) — for Tariffs with Fixed charge p/MPAN/day from Fixed from network &amp; customer</t>
  </si>
  <si>
    <t>3305. Capacity charge p/kVA/day (elements)</t>
  </si>
  <si>
    <t>x1 = 3002. Capacity charge p/kVA/day — for Tariffs with Capacity charge p/kVA/day from Capacity</t>
  </si>
  <si>
    <t>3306. Reactive power charge p/kVArh (elements)</t>
  </si>
  <si>
    <t>x1 = 3206. Pay-as-you-go reactive p/kVArh</t>
  </si>
  <si>
    <t>x2 = 3203. Standard reactive p/kVArh</t>
  </si>
  <si>
    <t>3307. Summary of charges before revenue matching</t>
  </si>
  <si>
    <t>x1 = 3301. Unit rate 1 p/kWh (elements)</t>
  </si>
  <si>
    <t>x2 = 3302. Unit rate 2 p/kWh (elements)</t>
  </si>
  <si>
    <t>x3 = 3303. Unit rate 3 p/kWh (elements)</t>
  </si>
  <si>
    <t>x4 = 3304. Fixed charge p/MPAN/day (elements)</t>
  </si>
  <si>
    <t>x5 = 3305. Capacity charge p/kVA/day (elements)</t>
  </si>
  <si>
    <t>x6 = 3306. Reactive power charge p/kVArh (elements)</t>
  </si>
  <si>
    <t>Unit rate 1 p/kWh (total)</t>
  </si>
  <si>
    <t>Unit rate 2 p/kWh (total)</t>
  </si>
  <si>
    <t>Unit rate 3 p/kWh (total)</t>
  </si>
  <si>
    <t>Fixed charge p/MPAN/day (total)</t>
  </si>
  <si>
    <t>Capacity charge p/kVA/day (total)</t>
  </si>
  <si>
    <t>Reactive power charge p/kVArh</t>
  </si>
  <si>
    <t>3401. Net revenues by tariff before matching (£)</t>
  </si>
  <si>
    <t>x2 = 3307. Fixed charge p/MPAN/day (total) (in Summary of charges before revenue matching)</t>
  </si>
  <si>
    <t>x3 = 2305. MPANs (in Equivalent volume for each end user)</t>
  </si>
  <si>
    <t>x4 = 3307. Capacity charge p/kVA/day (total) (in Summary of charges before revenue matching)</t>
  </si>
  <si>
    <t>x5 = 2305. Import capacity (kVA) (in Equivalent volume for each end user)</t>
  </si>
  <si>
    <t>x6 = 3307. Unit rate 1 p/kWh (total) (in Summary of charges before revenue matching)</t>
  </si>
  <si>
    <t>x7 = 2305. Rate 1 units (MWh) (in Equivalent volume for each end user)</t>
  </si>
  <si>
    <t>x8 = 3307. Unit rate 2 p/kWh (total) (in Summary of charges before revenue matching)</t>
  </si>
  <si>
    <t>x9 = 2305. Rate 2 units (MWh) (in Equivalent volume for each end user)</t>
  </si>
  <si>
    <t>x10 = 3307. Unit rate 3 p/kWh (total) (in Summary of charges before revenue matching)</t>
  </si>
  <si>
    <t>x11 = 2305. Rate 3 units (MWh) (in Equivalent volume for each end user)</t>
  </si>
  <si>
    <t>x12 = 3307. Reactive power charge p/kVArh (in Summary of charges before revenue matching)</t>
  </si>
  <si>
    <t>x13 = 2305. Reactive power units (MVArh) (in Equivalent volume for each end user)</t>
  </si>
  <si>
    <t>Calculation =0.01*x1*(x2*x3+x4*x5)+10*(x6*x7+x8*x9+x10*x11+x12*x13)</t>
  </si>
  <si>
    <t>Net revenues</t>
  </si>
  <si>
    <t>3402. Target CDCM revenue</t>
  </si>
  <si>
    <t>x1 = 1001. Value (in CDCM target revenue (monetary amounts in £))</t>
  </si>
  <si>
    <t>x2 = Target CDCM revenue (£/year) (in Target CDCM revenue)</t>
  </si>
  <si>
    <t>x3 = 1001. Revenue elements and subtotals (£/year) (in CDCM target revenue (monetary amounts in £))</t>
  </si>
  <si>
    <t>= derived from x1</t>
  </si>
  <si>
    <t>=x2-x3</t>
  </si>
  <si>
    <t>Target CDCM revenue (£/year)</t>
  </si>
  <si>
    <t>Check (should be zero)</t>
  </si>
  <si>
    <t>3403. Revenue surplus or shortfall</t>
  </si>
  <si>
    <t>x1 = 3401. Net revenues by tariff before matching (£)</t>
  </si>
  <si>
    <t>x2 = 3402. Target CDCM revenue (£/year) (in Target CDCM revenue)</t>
  </si>
  <si>
    <t>x3 = Total net revenues before matching (£) (in Revenue surplus or shortfall)</t>
  </si>
  <si>
    <t>Total net revenues before matching (£)</t>
  </si>
  <si>
    <t>Revenue shortfall (surplus) £</t>
  </si>
  <si>
    <t>Revenue surplus or shortfall</t>
  </si>
  <si>
    <t>This sheet modifies tariffs so that the total expected net revenues matches the target.</t>
  </si>
  <si>
    <t>3501. Factor to scale to £1/kW at transmission exit level</t>
  </si>
  <si>
    <t>Calculation =IF(x1,1/x1,0)</t>
  </si>
  <si>
    <t>Factor to scale to £1/kW at transmission exit level</t>
  </si>
  <si>
    <t>3502. Applicability factor for £1/kW scaler</t>
  </si>
  <si>
    <t>x1 = 3501. Factor to scale to £1/kW at transmission exit level</t>
  </si>
  <si>
    <t>x2 = Zero for other levels</t>
  </si>
  <si>
    <t>Applicability factor for £1/kW scaler</t>
  </si>
  <si>
    <t>3503. Scalable elements of tariff components</t>
  </si>
  <si>
    <t>x2 = 3502. Applicability factor for £1/kW scaler</t>
  </si>
  <si>
    <t>x3 = 3302. Unit rate 2 p/kWh (elements)</t>
  </si>
  <si>
    <t>x4 = 3303. Unit rate 3 p/kWh (elements)</t>
  </si>
  <si>
    <t>x5 = 3304. Fixed charge p/MPAN/day (elements)</t>
  </si>
  <si>
    <t>x6 = 3305. Capacity charge p/kVA/day (elements)</t>
  </si>
  <si>
    <t>x7 = 3306. Reactive power charge p/kVArh (elements)</t>
  </si>
  <si>
    <t>=SUMPRODUCT(x3, x2)</t>
  </si>
  <si>
    <t>=SUMPRODUCT(x4, x2)</t>
  </si>
  <si>
    <t>=SUMPRODUCT(x5, x2)</t>
  </si>
  <si>
    <t>=SUMPRODUCT(x6, x2)</t>
  </si>
  <si>
    <t>=SUMPRODUCT(x7, x2)</t>
  </si>
  <si>
    <t>Unit rate 1 p/kWh scalable part</t>
  </si>
  <si>
    <t>Unit rate 2 p/kWh scalable part</t>
  </si>
  <si>
    <t>Unit rate 3 p/kWh scalable part</t>
  </si>
  <si>
    <t>Fixed charge p/MPAN/day scalable part</t>
  </si>
  <si>
    <t>Capacity charge p/kVA/day scalable part</t>
  </si>
  <si>
    <t>Reactive power charge p/kVArh scalable part</t>
  </si>
  <si>
    <t>3504. Marginal revenue effect of scaler</t>
  </si>
  <si>
    <t>x2 = 3503. Unit rate 1 p/kWh scalable part (in Scalable elements of tariff components)</t>
  </si>
  <si>
    <t>x3 = 2305. Rate 1 units (MWh) (in Equivalent volume for each end user)</t>
  </si>
  <si>
    <t>x4 = 3503. Unit rate 2 p/kWh scalable part (in Scalable elements of tariff components)</t>
  </si>
  <si>
    <t>x5 = 2305. Rate 2 units (MWh) (in Equivalent volume for each end user)</t>
  </si>
  <si>
    <t>x6 = 3503. Unit rate 3 p/kWh scalable part (in Scalable elements of tariff components)</t>
  </si>
  <si>
    <t>x7 = 2305. Rate 3 units (MWh) (in Equivalent volume for each end user)</t>
  </si>
  <si>
    <t>x8 = 3503. Fixed charge p/MPAN/day scalable part (in Scalable elements of tariff components)</t>
  </si>
  <si>
    <t>x9 = 1010. Days in the charging year (in Financial and general assumptions)</t>
  </si>
  <si>
    <t>x10 = 2305. MPANs (in Equivalent volume for each end user)</t>
  </si>
  <si>
    <t>x11 = 3503. Capacity charge p/kVA/day scalable part (in Scalable elements of tariff components)</t>
  </si>
  <si>
    <t>x12 = 2305. Import capacity (kVA) (in Equivalent volume for each end user)</t>
  </si>
  <si>
    <t>x13 = 3503. Reactive power charge p/kVArh scalable part (in Scalable elements of tariff components)</t>
  </si>
  <si>
    <t>x14 = 2305. Reactive power units (MVArh) (in Equivalent volume for each end user)</t>
  </si>
  <si>
    <t>=IF(x1&lt;0,0,x2*x3*10)</t>
  </si>
  <si>
    <t>=IF(x1&lt;0,0,x4*x5*10)</t>
  </si>
  <si>
    <t>=IF(x1&lt;0,0,x6*x7*10)</t>
  </si>
  <si>
    <t>=x8*x9*x10/100</t>
  </si>
  <si>
    <t>=x11*x9*x12/100</t>
  </si>
  <si>
    <t>=IF(x1&lt;0,0,x13*x14*10)</t>
  </si>
  <si>
    <t>Effect through Unit rate 1 p/kWh</t>
  </si>
  <si>
    <t>Effect through Unit rate 2 p/kWh</t>
  </si>
  <si>
    <t>Effect through Unit rate 3 p/kWh</t>
  </si>
  <si>
    <t>Effect through Fixed charge p/MPAN/day</t>
  </si>
  <si>
    <t>Effect through Capacity charge p/kVA/day</t>
  </si>
  <si>
    <t>Effect through Reactive power charge p/kVArh</t>
  </si>
  <si>
    <t>3505. Scaler value at which the minimum is breached</t>
  </si>
  <si>
    <t>x1 = 3503. Unit rate 1 p/kWh scalable part (in Scalable elements of tariff components)</t>
  </si>
  <si>
    <t>x2 = 3307. Unit rate 1 p/kWh (total) (in Summary of charges before revenue matching)</t>
  </si>
  <si>
    <t>x3 = 3503. Unit rate 2 p/kWh scalable part (in Scalable elements of tariff components)</t>
  </si>
  <si>
    <t>x4 = 3307. Unit rate 2 p/kWh (total) (in Summary of charges before revenue matching)</t>
  </si>
  <si>
    <t>x5 = 3503. Unit rate 3 p/kWh scalable part (in Scalable elements of tariff components)</t>
  </si>
  <si>
    <t>x6 = 3307. Unit rate 3 p/kWh (total) (in Summary of charges before revenue matching)</t>
  </si>
  <si>
    <t>x7 = 3503. Fixed charge p/MPAN/day scalable part (in Scalable elements of tariff components)</t>
  </si>
  <si>
    <t>x8 = 3307. Fixed charge p/MPAN/day (total) (in Summary of charges before revenue matching)</t>
  </si>
  <si>
    <t>x9 = 3503. Capacity charge p/kVA/day scalable part (in Scalable elements of tariff components)</t>
  </si>
  <si>
    <t>x10 = 3307. Capacity charge p/kVA/day (total) (in Summary of charges before revenue matching)</t>
  </si>
  <si>
    <t>x11 = 3503. Reactive power charge p/kVArh scalable part (in Scalable elements of tariff components)</t>
  </si>
  <si>
    <t>=IF(x1,0-x2/x1,0)</t>
  </si>
  <si>
    <t>=IF(x3,0-x4/x3,0)</t>
  </si>
  <si>
    <t>=IF(x5,0-x6/x5,0)</t>
  </si>
  <si>
    <t>=IF(x7,0-x8/x7,0)</t>
  </si>
  <si>
    <t>=IF(x9,0-x10/x9,0)</t>
  </si>
  <si>
    <t>=IF(x11,0-x12/x11,0)</t>
  </si>
  <si>
    <t>Scaler threshold for Unit rate 1 p/kWh</t>
  </si>
  <si>
    <t>Scaler threshold for Unit rate 2 p/kWh</t>
  </si>
  <si>
    <t>Scaler threshold for Unit rate 3 p/kWh</t>
  </si>
  <si>
    <t>Scaler threshold for Fixed charge p/MPAN/day</t>
  </si>
  <si>
    <t>Scaler threshold for Capacity charge p/kVA/day</t>
  </si>
  <si>
    <t>Scaler threshold for Reactive power charge p/kVArh</t>
  </si>
  <si>
    <t>3506. Constraint-free solution</t>
  </si>
  <si>
    <t>x1 = 3403. Revenue shortfall (surplus) £ (in Revenue surplus or shortfall)</t>
  </si>
  <si>
    <t>x2 = 3504. Effect through Unit rate 1 p/kWh (in Marginal revenue effect of scaler)</t>
  </si>
  <si>
    <t>x3 = 3504. Effect through Unit rate 2 p/kWh (in Marginal revenue effect of scaler)</t>
  </si>
  <si>
    <t>x4 = 3504. Effect through Unit rate 3 p/kWh (in Marginal revenue effect of scaler)</t>
  </si>
  <si>
    <t>x5 = 3504. Effect through Fixed charge p/MPAN/day (in Marginal revenue effect of scaler)</t>
  </si>
  <si>
    <t>x6 = 3504. Effect through Capacity charge p/kVA/day (in Marginal revenue effect of scaler)</t>
  </si>
  <si>
    <t>x7 = 3504. Effect through Reactive power charge p/kVArh (in Marginal revenue effect of scaler)</t>
  </si>
  <si>
    <t>Calculation =x1/SUM(x2,x3,x4,x5,x6,x7)</t>
  </si>
  <si>
    <t>Constraint-free solution</t>
  </si>
  <si>
    <t>3507. Starting point</t>
  </si>
  <si>
    <t>x1 = 3506. Constraint-free solution</t>
  </si>
  <si>
    <t>x2 = 3505. Scaler threshold for Unit rate 1 p/kWh (in Scaler value at which the minimum is breached)</t>
  </si>
  <si>
    <t>x3 = 3505. Scaler threshold for Unit rate 2 p/kWh (in Scaler value at which the minimum is breached)</t>
  </si>
  <si>
    <t>x4 = 3505. Scaler threshold for Unit rate 3 p/kWh (in Scaler value at which the minimum is breached)</t>
  </si>
  <si>
    <t>x5 = 3505. Scaler threshold for Fixed charge p/MPAN/day (in Scaler value at which the minimum is breached)</t>
  </si>
  <si>
    <t>x6 = 3505. Scaler threshold for Capacity charge p/kVA/day (in Scaler value at which the minimum is breached)</t>
  </si>
  <si>
    <t>x7 = 3505. Scaler threshold for Reactive power charge p/kVArh (in Scaler value at which the minimum is breached)</t>
  </si>
  <si>
    <t>Calculation =MIN(x1,x2,x3,x4,x5,x6,x7)</t>
  </si>
  <si>
    <t>Starting point</t>
  </si>
  <si>
    <t>3508. Solve for General scaler rate</t>
  </si>
  <si>
    <t>x1 = 3507. Starting point</t>
  </si>
  <si>
    <t>x8 = Location (in Solve for General scaler rate)</t>
  </si>
  <si>
    <t>x9 = Kink (in Solve for General scaler rate)</t>
  </si>
  <si>
    <t>x10 = Ranking before tie break (in Solve for General scaler rate)</t>
  </si>
  <si>
    <t>x11 = Counter (in Solve for General scaler rate)</t>
  </si>
  <si>
    <t>x12 = Tie breaker (in Solve for General scaler rate)</t>
  </si>
  <si>
    <t>x13 = Ranking (in Solve for General scaler rate)</t>
  </si>
  <si>
    <t>x14 = Kink reordering (in Solve for General scaler rate)</t>
  </si>
  <si>
    <t>x15 = Starting slope contributions (in Solve for General scaler rate)</t>
  </si>
  <si>
    <t>x16 = New slope (in Solve for General scaler rate)</t>
  </si>
  <si>
    <t>x17 = Location (ordered) (in Solve for General scaler rate)</t>
  </si>
  <si>
    <t>x18 = Starting values (in Solve for General scaler rate)</t>
  </si>
  <si>
    <t>x19 = 3403. Revenue shortfall (surplus) £ (in Revenue surplus or shortfall)</t>
  </si>
  <si>
    <t>x20 = 3506. Constraint-free solution</t>
  </si>
  <si>
    <t>x21 = Value (in Solve for General scaler rate)</t>
  </si>
  <si>
    <t>=IF(ISERROR(x8),x9,0)</t>
  </si>
  <si>
    <t>=MAX(x1,x8)*x9</t>
  </si>
  <si>
    <t>=RANK(x8,x8,1)</t>
  </si>
  <si>
    <t>=x10*162+x11</t>
  </si>
  <si>
    <t>=RANK(x12,x12,1)</t>
  </si>
  <si>
    <t>=MATCH(x11,x13,0)</t>
  </si>
  <si>
    <t>=INDEX(x8,x14,1) or =x8</t>
  </si>
  <si>
    <t>Location</t>
  </si>
  <si>
    <t>Kink</t>
  </si>
  <si>
    <t>Starting slope contributions</t>
  </si>
  <si>
    <t>Starting values</t>
  </si>
  <si>
    <t>Ranking before tie break</t>
  </si>
  <si>
    <t>Counter</t>
  </si>
  <si>
    <t>Tie breaker</t>
  </si>
  <si>
    <t>Ranking</t>
  </si>
  <si>
    <t>Kink reordering</t>
  </si>
  <si>
    <t>Location (ordered)</t>
  </si>
  <si>
    <t>New slope</t>
  </si>
  <si>
    <t>Root</t>
  </si>
  <si>
    <t>Kink 1</t>
  </si>
  <si>
    <t>Kink 2</t>
  </si>
  <si>
    <t>Kink 3</t>
  </si>
  <si>
    <t>Kink 4</t>
  </si>
  <si>
    <t>Kink 5</t>
  </si>
  <si>
    <t>Kink 6</t>
  </si>
  <si>
    <t>Kink 7</t>
  </si>
  <si>
    <t>Kink 8</t>
  </si>
  <si>
    <t>Kink 9</t>
  </si>
  <si>
    <t>Kink 10</t>
  </si>
  <si>
    <t>Kink 11</t>
  </si>
  <si>
    <t>Kink 12</t>
  </si>
  <si>
    <t>Kink 13</t>
  </si>
  <si>
    <t>Kink 14</t>
  </si>
  <si>
    <t>Kink 15</t>
  </si>
  <si>
    <t>Kink 16</t>
  </si>
  <si>
    <t>Kink 17</t>
  </si>
  <si>
    <t>Kink 18</t>
  </si>
  <si>
    <t>Kink 19</t>
  </si>
  <si>
    <t>Kink 20</t>
  </si>
  <si>
    <t>Kink 21</t>
  </si>
  <si>
    <t>Kink 22</t>
  </si>
  <si>
    <t>Kink 23</t>
  </si>
  <si>
    <t>Kink 24</t>
  </si>
  <si>
    <t>Kink 25</t>
  </si>
  <si>
    <t>Kink 26</t>
  </si>
  <si>
    <t>Kink 27</t>
  </si>
  <si>
    <t>Kink 28</t>
  </si>
  <si>
    <t>Kink 29</t>
  </si>
  <si>
    <t>Kink 30</t>
  </si>
  <si>
    <t>Kink 31</t>
  </si>
  <si>
    <t>Kink 32</t>
  </si>
  <si>
    <t>Kink 33</t>
  </si>
  <si>
    <t>Kink 34</t>
  </si>
  <si>
    <t>Kink 35</t>
  </si>
  <si>
    <t>Kink 36</t>
  </si>
  <si>
    <t>Kink 37</t>
  </si>
  <si>
    <t>Kink 38</t>
  </si>
  <si>
    <t>Kink 39</t>
  </si>
  <si>
    <t>Kink 40</t>
  </si>
  <si>
    <t>Kink 41</t>
  </si>
  <si>
    <t>Kink 42</t>
  </si>
  <si>
    <t>Kink 43</t>
  </si>
  <si>
    <t>Kink 44</t>
  </si>
  <si>
    <t>Kink 45</t>
  </si>
  <si>
    <t>Kink 46</t>
  </si>
  <si>
    <t>Kink 47</t>
  </si>
  <si>
    <t>Kink 48</t>
  </si>
  <si>
    <t>Kink 49</t>
  </si>
  <si>
    <t>Kink 50</t>
  </si>
  <si>
    <t>Kink 51</t>
  </si>
  <si>
    <t>Kink 52</t>
  </si>
  <si>
    <t>Kink 53</t>
  </si>
  <si>
    <t>Kink 54</t>
  </si>
  <si>
    <t>Kink 55</t>
  </si>
  <si>
    <t>Kink 56</t>
  </si>
  <si>
    <t>Kink 57</t>
  </si>
  <si>
    <t>Kink 58</t>
  </si>
  <si>
    <t>Kink 59</t>
  </si>
  <si>
    <t>Kink 60</t>
  </si>
  <si>
    <t>Kink 61</t>
  </si>
  <si>
    <t>Kink 62</t>
  </si>
  <si>
    <t>Kink 63</t>
  </si>
  <si>
    <t>Kink 64</t>
  </si>
  <si>
    <t>Kink 65</t>
  </si>
  <si>
    <t>Kink 66</t>
  </si>
  <si>
    <t>Kink 67</t>
  </si>
  <si>
    <t>Kink 68</t>
  </si>
  <si>
    <t>Kink 69</t>
  </si>
  <si>
    <t>Kink 70</t>
  </si>
  <si>
    <t>Kink 71</t>
  </si>
  <si>
    <t>Kink 72</t>
  </si>
  <si>
    <t>Kink 73</t>
  </si>
  <si>
    <t>Kink 74</t>
  </si>
  <si>
    <t>Kink 75</t>
  </si>
  <si>
    <t>Kink 76</t>
  </si>
  <si>
    <t>Kink 77</t>
  </si>
  <si>
    <t>Kink 78</t>
  </si>
  <si>
    <t>Kink 79</t>
  </si>
  <si>
    <t>Kink 80</t>
  </si>
  <si>
    <t>Kink 81</t>
  </si>
  <si>
    <t>Kink 82</t>
  </si>
  <si>
    <t>Kink 83</t>
  </si>
  <si>
    <t>Kink 84</t>
  </si>
  <si>
    <t>Kink 85</t>
  </si>
  <si>
    <t>Kink 86</t>
  </si>
  <si>
    <t>Kink 87</t>
  </si>
  <si>
    <t>Kink 88</t>
  </si>
  <si>
    <t>Kink 89</t>
  </si>
  <si>
    <t>Kink 90</t>
  </si>
  <si>
    <t>Kink 91</t>
  </si>
  <si>
    <t>Kink 92</t>
  </si>
  <si>
    <t>Kink 93</t>
  </si>
  <si>
    <t>Kink 94</t>
  </si>
  <si>
    <t>Kink 95</t>
  </si>
  <si>
    <t>Kink 96</t>
  </si>
  <si>
    <t>Kink 97</t>
  </si>
  <si>
    <t>Kink 98</t>
  </si>
  <si>
    <t>Kink 99</t>
  </si>
  <si>
    <t>Kink 100</t>
  </si>
  <si>
    <t>Kink 101</t>
  </si>
  <si>
    <t>Kink 102</t>
  </si>
  <si>
    <t>Kink 103</t>
  </si>
  <si>
    <t>Kink 104</t>
  </si>
  <si>
    <t>Kink 105</t>
  </si>
  <si>
    <t>Kink 106</t>
  </si>
  <si>
    <t>Kink 107</t>
  </si>
  <si>
    <t>Kink 108</t>
  </si>
  <si>
    <t>Kink 109</t>
  </si>
  <si>
    <t>Kink 110</t>
  </si>
  <si>
    <t>Kink 111</t>
  </si>
  <si>
    <t>Kink 112</t>
  </si>
  <si>
    <t>Kink 113</t>
  </si>
  <si>
    <t>Kink 114</t>
  </si>
  <si>
    <t>Kink 115</t>
  </si>
  <si>
    <t>Kink 116</t>
  </si>
  <si>
    <t>Kink 117</t>
  </si>
  <si>
    <t>Kink 118</t>
  </si>
  <si>
    <t>Kink 119</t>
  </si>
  <si>
    <t>Kink 120</t>
  </si>
  <si>
    <t>Kink 121</t>
  </si>
  <si>
    <t>Kink 122</t>
  </si>
  <si>
    <t>Kink 123</t>
  </si>
  <si>
    <t>Kink 124</t>
  </si>
  <si>
    <t>Kink 125</t>
  </si>
  <si>
    <t>Kink 126</t>
  </si>
  <si>
    <t>Kink 127</t>
  </si>
  <si>
    <t>Kink 128</t>
  </si>
  <si>
    <t>Kink 129</t>
  </si>
  <si>
    <t>Kink 130</t>
  </si>
  <si>
    <t>Kink 131</t>
  </si>
  <si>
    <t>Kink 132</t>
  </si>
  <si>
    <t>Kink 133</t>
  </si>
  <si>
    <t>Kink 134</t>
  </si>
  <si>
    <t>Kink 135</t>
  </si>
  <si>
    <t>Kink 136</t>
  </si>
  <si>
    <t>Kink 137</t>
  </si>
  <si>
    <t>Kink 138</t>
  </si>
  <si>
    <t>Kink 139</t>
  </si>
  <si>
    <t>Kink 140</t>
  </si>
  <si>
    <t>Kink 141</t>
  </si>
  <si>
    <t>Kink 142</t>
  </si>
  <si>
    <t>Kink 143</t>
  </si>
  <si>
    <t>Kink 144</t>
  </si>
  <si>
    <t>Kink 145</t>
  </si>
  <si>
    <t>Kink 146</t>
  </si>
  <si>
    <t>Kink 147</t>
  </si>
  <si>
    <t>Kink 148</t>
  </si>
  <si>
    <t>Kink 149</t>
  </si>
  <si>
    <t>Kink 150</t>
  </si>
  <si>
    <t>Kink 151</t>
  </si>
  <si>
    <t>Kink 152</t>
  </si>
  <si>
    <t>Kink 153</t>
  </si>
  <si>
    <t>Kink 154</t>
  </si>
  <si>
    <t>Kink 155</t>
  </si>
  <si>
    <t>Kink 156</t>
  </si>
  <si>
    <t>Kink 157</t>
  </si>
  <si>
    <t>Kink 158</t>
  </si>
  <si>
    <t>Kink 159</t>
  </si>
  <si>
    <t>Kink 160</t>
  </si>
  <si>
    <t>Kink 161</t>
  </si>
  <si>
    <t>Kink 162</t>
  </si>
  <si>
    <t>3509. General scaler rate</t>
  </si>
  <si>
    <t>x1 = 3508. Root (in Solve for General scaler rate)</t>
  </si>
  <si>
    <t>Calculation =MIN(x1)</t>
  </si>
  <si>
    <t>General scaler rate</t>
  </si>
  <si>
    <t>3510. Scaler</t>
  </si>
  <si>
    <t>x3 = 3509. General scaler rate</t>
  </si>
  <si>
    <t>x4 = 3307. Unit rate 1 p/kWh (total) (in Summary of charges before revenue matching)</t>
  </si>
  <si>
    <t>x5 = 3503. Unit rate 2 p/kWh scalable part (in Scalable elements of tariff components)</t>
  </si>
  <si>
    <t>x6 = 3307. Unit rate 2 p/kWh (total) (in Summary of charges before revenue matching)</t>
  </si>
  <si>
    <t>x7 = 3503. Unit rate 3 p/kWh scalable part (in Scalable elements of tariff components)</t>
  </si>
  <si>
    <t>x8 = 3307. Unit rate 3 p/kWh (total) (in Summary of charges before revenue matching)</t>
  </si>
  <si>
    <t>x9 = 3503. Fixed charge p/MPAN/day scalable part (in Scalable elements of tariff components)</t>
  </si>
  <si>
    <t>x10 = 3307. Fixed charge p/MPAN/day (total) (in Summary of charges before revenue matching)</t>
  </si>
  <si>
    <t>x12 = 3307. Capacity charge p/kVA/day (total) (in Summary of charges before revenue matching)</t>
  </si>
  <si>
    <t>x14 = 3307. Reactive power charge p/kVArh (in Summary of charges before revenue matching)</t>
  </si>
  <si>
    <t>x15 = 1010. Days in the charging year (in Financial and general assumptions)</t>
  </si>
  <si>
    <t>x16 = Fixed charge p/MPAN/day scaler (in Scaler)</t>
  </si>
  <si>
    <t>x17 = 2305. MPANs (in Equivalent volume for each end user)</t>
  </si>
  <si>
    <t>x18 = Capacity charge p/kVA/day scaler (in Scaler)</t>
  </si>
  <si>
    <t>x19 = 2305. Import capacity (kVA) (in Equivalent volume for each end user)</t>
  </si>
  <si>
    <t>x20 = Unit rate 1 p/kWh scaler (in Scaler)</t>
  </si>
  <si>
    <t>x21 = 2305. Rate 1 units (MWh) (in Equivalent volume for each end user)</t>
  </si>
  <si>
    <t>x22 = Unit rate 2 p/kWh scaler (in Scaler)</t>
  </si>
  <si>
    <t>x23 = 2305. Rate 2 units (MWh) (in Equivalent volume for each end user)</t>
  </si>
  <si>
    <t>x24 = Unit rate 3 p/kWh scaler (in Scaler)</t>
  </si>
  <si>
    <t>x25 = 2305. Rate 3 units (MWh) (in Equivalent volume for each end user)</t>
  </si>
  <si>
    <t>x26 = Reactive power charge p/kVArh scaler (in Scaler)</t>
  </si>
  <si>
    <t>x27 = 2305. Reactive power units (MVArh) (in Equivalent volume for each end user)</t>
  </si>
  <si>
    <t>=IF(x1&lt;0,0,IF(x2*x3+x4&gt;0,x2*x3,0-x4))</t>
  </si>
  <si>
    <t>=IF(x1&lt;0,0,IF(x5*x3+x6&gt;0,x5*x3,0-x6))</t>
  </si>
  <si>
    <t>=IF(x1&lt;0,0,IF(x7*x3+x8&gt;0,x7*x3,0-x8))</t>
  </si>
  <si>
    <t>=IF(x1&lt;0,0,IF(x9*x3+x10&gt;0,x9*x3,0-x10))</t>
  </si>
  <si>
    <t>=IF(x1&lt;0,0,IF(x11*x3+x12&gt;0,x11*x3,0-x12))</t>
  </si>
  <si>
    <t>=IF(x1&lt;0,0,IF(x13*x3+x14&gt;0,x13*x3,0-x14))</t>
  </si>
  <si>
    <t>=0.01*x15*(x16*x17+x18*x19)+10*(x20*x21+x22*x23+x24*x25+x26*x27)</t>
  </si>
  <si>
    <t>Unit rate 1 p/kWh scaler</t>
  </si>
  <si>
    <t>Unit rate 2 p/kWh scaler</t>
  </si>
  <si>
    <t>Unit rate 3 p/kWh scaler</t>
  </si>
  <si>
    <t>Fixed charge p/MPAN/day scaler</t>
  </si>
  <si>
    <t>Capacity charge p/kVA/day scaler</t>
  </si>
  <si>
    <t>Reactive power charge p/kVArh scaler</t>
  </si>
  <si>
    <t>Net revenues by tariff from scaler</t>
  </si>
  <si>
    <t>4301. Levels containing asset charges</t>
  </si>
  <si>
    <t>Levels containing asset charges</t>
  </si>
  <si>
    <t>4302. Unrounded tariff analysis: Asset charges</t>
  </si>
  <si>
    <t>x2 = 4301. Levels containing asset charges</t>
  </si>
  <si>
    <t>Asset contributions to Unit rate 1 p/kWh</t>
  </si>
  <si>
    <t>Asset contributions to Unit rate 2 p/kWh</t>
  </si>
  <si>
    <t>Asset contributions to Unit rate 3 p/kWh</t>
  </si>
  <si>
    <t>Asset contributions to Fixed charge p/MPAN/day</t>
  </si>
  <si>
    <t>Asset contributions to Capacity charge p/kVA/day</t>
  </si>
  <si>
    <t>Asset contributions to Reactive power charge p/kVArh</t>
  </si>
  <si>
    <t>4303. Levels containing transmission exit charges</t>
  </si>
  <si>
    <t>Levels containing transmission exit charges</t>
  </si>
  <si>
    <t>4304. Unrounded tariff analysis: Transmission exit charges</t>
  </si>
  <si>
    <t>x2 = 4303. Levels containing transmission exit charges</t>
  </si>
  <si>
    <t>Transmission exit contributions to Unit rate 1 p/kWh</t>
  </si>
  <si>
    <t>Transmission exit contributions to Unit rate 2 p/kWh</t>
  </si>
  <si>
    <t>Transmission exit contributions to Unit rate 3 p/kWh</t>
  </si>
  <si>
    <t>Transmission exit contributions to Fixed charge p/MPAN/day</t>
  </si>
  <si>
    <t>Transmission exit contributions to Capacity charge p/kVA/day</t>
  </si>
  <si>
    <t>Transmission exit contributions to Reactive power charge p/kVArh</t>
  </si>
  <si>
    <t>4305. Levels containing other expenditure charges</t>
  </si>
  <si>
    <t>Levels containing other expenditure charges</t>
  </si>
  <si>
    <t>4306. Unrounded tariff analysis: Other expenditure charges</t>
  </si>
  <si>
    <t>x2 = 4305. Levels containing other expenditure charges</t>
  </si>
  <si>
    <t>Other expenditure contributions to Unit rate 1 p/kWh</t>
  </si>
  <si>
    <t>Other expenditure contributions to Unit rate 2 p/kWh</t>
  </si>
  <si>
    <t>Other expenditure contributions to Unit rate 3 p/kWh</t>
  </si>
  <si>
    <t>Other expenditure contributions to Fixed charge p/MPAN/day</t>
  </si>
  <si>
    <t>Other expenditure contributions to Capacity charge p/kVA/day</t>
  </si>
  <si>
    <t>Other expenditure contributions to Reactive power charge p/kVArh</t>
  </si>
  <si>
    <t>4307. Unrounded tariff analysis: Matching charges</t>
  </si>
  <si>
    <t>x1 = 3510. Unit rate 1 p/kWh scaler (in Scaler)</t>
  </si>
  <si>
    <t>x2 = 3510. Unit rate 2 p/kWh scaler (in Scaler)</t>
  </si>
  <si>
    <t>x3 = 3510. Unit rate 3 p/kWh scaler (in Scaler)</t>
  </si>
  <si>
    <t>x4 = 3510. Fixed charge p/MPAN/day scaler (in Scaler)</t>
  </si>
  <si>
    <t>x5 = 3510. Capacity charge p/kVA/day scaler (in Scaler)</t>
  </si>
  <si>
    <t>x6 = 3510. Reactive power charge p/kVArh scaler (in Scaler)</t>
  </si>
  <si>
    <t>=x2</t>
  </si>
  <si>
    <t>=x3</t>
  </si>
  <si>
    <t>=x4</t>
  </si>
  <si>
    <t>=x5</t>
  </si>
  <si>
    <t>=x6</t>
  </si>
  <si>
    <t>Matching contributions to Unit rate 1 p/kWh</t>
  </si>
  <si>
    <t>Matching contributions to Unit rate 2 p/kWh</t>
  </si>
  <si>
    <t>Matching contributions to Unit rate 3 p/kWh</t>
  </si>
  <si>
    <t>Matching contributions to Fixed charge p/MPAN/day</t>
  </si>
  <si>
    <t>Matching contributions to Capacity charge p/kVA/day</t>
  </si>
  <si>
    <t>Matching contributions to Reactive power charge p/kVArh</t>
  </si>
  <si>
    <t>4308. Unrounded revenue analysis (baseline)</t>
  </si>
  <si>
    <t>x2 = 4302. Asset contributions to Fixed charge p/MPAN/day (in Unrounded tariff analysis: Asset charges)</t>
  </si>
  <si>
    <t>x4 = 4302. Asset contributions to Capacity charge p/kVA/day (in Unrounded tariff analysis: Asset charges)</t>
  </si>
  <si>
    <t>x6 = 4302. Asset contributions to Unit rate 1 p/kWh (in Unrounded tariff analysis: Asset charges)</t>
  </si>
  <si>
    <t>x8 = 4302. Asset contributions to Unit rate 2 p/kWh (in Unrounded tariff analysis: Asset charges)</t>
  </si>
  <si>
    <t>x10 = 4302. Asset contributions to Unit rate 3 p/kWh (in Unrounded tariff analysis: Asset charges)</t>
  </si>
  <si>
    <t>x12 = 4302. Asset contributions to Reactive power charge p/kVArh (in Unrounded tariff analysis: Asset charges)</t>
  </si>
  <si>
    <t>x14 = 4304. Transmission exit contributions to Fixed charge p/MPAN/day (in Unrounded tariff analysis: Transmission exit charges)</t>
  </si>
  <si>
    <t>x15 = 4304. Transmission exit contributions to Capacity charge p/kVA/day (in Unrounded tariff analysis: Transmission exit charges)</t>
  </si>
  <si>
    <t>x16 = 4304. Transmission exit contributions to Unit rate 1 p/kWh (in Unrounded tariff analysis: Transmission exit charges)</t>
  </si>
  <si>
    <t>x17 = 4304. Transmission exit contributions to Unit rate 2 p/kWh (in Unrounded tariff analysis: Transmission exit charges)</t>
  </si>
  <si>
    <t>x18 = 4304. Transmission exit contributions to Unit rate 3 p/kWh (in Unrounded tariff analysis: Transmission exit charges)</t>
  </si>
  <si>
    <t>x19 = 4304. Transmission exit contributions to Reactive power charge p/kVArh (in Unrounded tariff analysis: Transmission exit charges)</t>
  </si>
  <si>
    <t>x20 = 4306. Other expenditure contributions to Fixed charge p/MPAN/day (in Unrounded tariff analysis: Other expenditure charges)</t>
  </si>
  <si>
    <t>x21 = 4306. Other expenditure contributions to Capacity charge p/kVA/day (in Unrounded tariff analysis: Other expenditure charges)</t>
  </si>
  <si>
    <t>x22 = 4306. Other expenditure contributions to Unit rate 1 p/kWh (in Unrounded tariff analysis: Other expenditure charges)</t>
  </si>
  <si>
    <t>x23 = 4306. Other expenditure contributions to Unit rate 2 p/kWh (in Unrounded tariff analysis: Other expenditure charges)</t>
  </si>
  <si>
    <t>x24 = 4306. Other expenditure contributions to Unit rate 3 p/kWh (in Unrounded tariff analysis: Other expenditure charges)</t>
  </si>
  <si>
    <t>x25 = 4306. Other expenditure contributions to Reactive power charge p/kVArh (in Unrounded tariff analysis: Other expenditure charges)</t>
  </si>
  <si>
    <t>x26 = 4307. Matching contributions to Fixed charge p/MPAN/day (in Unrounded tariff analysis: Matching charges)</t>
  </si>
  <si>
    <t>x27 = 4307. Matching contributions to Capacity charge p/kVA/day (in Unrounded tariff analysis: Matching charges)</t>
  </si>
  <si>
    <t>x28 = 4307. Matching contributions to Unit rate 1 p/kWh (in Unrounded tariff analysis: Matching charges)</t>
  </si>
  <si>
    <t>x29 = 4307. Matching contributions to Unit rate 2 p/kWh (in Unrounded tariff analysis: Matching charges)</t>
  </si>
  <si>
    <t>x30 = 4307. Matching contributions to Unit rate 3 p/kWh (in Unrounded tariff analysis: Matching charges)</t>
  </si>
  <si>
    <t>x31 = 4307. Matching contributions to Reactive power charge p/kVArh (in Unrounded tariff analysis: Matching charges)</t>
  </si>
  <si>
    <t>=0.01*x1*(x2*x3+x4*x5)+10*(x6*x7+x8*x9+x10*x11+x12*x13)</t>
  </si>
  <si>
    <t>=0.01*x1*(x14*x3+x15*x5)+10*(x16*x7+x17*x9+x18*x11+x19*x13)</t>
  </si>
  <si>
    <t>=0.01*x1*(x20*x3+x21*x5)+10*(x22*x7+x23*x9+x24*x11+x25*x13)</t>
  </si>
  <si>
    <t>=0.01*x1*(x26*x3+x27*x5)+10*(x28*x7+x29*x9+x30*x11+x31*x13)</t>
  </si>
  <si>
    <t>Baseline revenues from asset charges (£/year)</t>
  </si>
  <si>
    <t>Baseline revenues from transmission exit charges (£/year)</t>
  </si>
  <si>
    <t>Baseline revenues from other expenditure charges (£/year)</t>
  </si>
  <si>
    <t>Baseline revenues from matching charges (£/year)</t>
  </si>
  <si>
    <t>4309. Unrounded revenue analysis (baseline totals)</t>
  </si>
  <si>
    <t>x1 = 4308. Baseline revenues from asset charges (£/year) (in Unrounded revenue analysis (baseline))</t>
  </si>
  <si>
    <t>x2 = 4308. Baseline revenues from transmission exit charges (£/year) (in Unrounded revenue analysis (baseline))</t>
  </si>
  <si>
    <t>x3 = 4308. Baseline revenues from other expenditure charges (£/year) (in Unrounded revenue analysis (baseline))</t>
  </si>
  <si>
    <t>x4 = 4308. Baseline revenues from matching charges (£/year) (in Unrounded revenue analysis (baseline))</t>
  </si>
  <si>
    <t>Unrounded revenue analysis (baseline totals)</t>
  </si>
  <si>
    <t>4310. MPANs excluding LDNO generation</t>
  </si>
  <si>
    <t>x1 = 0 for LDNO generation</t>
  </si>
  <si>
    <t>x2 = 1053. MPANs by tariff (in Volume forecasts for the charging year)</t>
  </si>
  <si>
    <t>MPANs excluding LDNO generation</t>
  </si>
  <si>
    <t>4311. Unrounded revenue analysis</t>
  </si>
  <si>
    <t>x3 = 4310. MPANs excluding LDNO generation</t>
  </si>
  <si>
    <t>x5 = 1053. Import capacity (kVA) by tariff (in Volume forecasts for the charging year)</t>
  </si>
  <si>
    <t>x7 = 1053. Rate 1 units (MWh) by tariff (in Volume forecasts for the charging year)</t>
  </si>
  <si>
    <t>x9 = 1053. Rate 2 units (MWh) by tariff (in Volume forecasts for the charging year)</t>
  </si>
  <si>
    <t>x11 = 1053. Rate 3 units (MWh) by tariff (in Volume forecasts for the charging year)</t>
  </si>
  <si>
    <t>x13 = 1053. Reactive power units (MVArh) by tariff (in Volume forecasts for the charging year)</t>
  </si>
  <si>
    <t>Revenues from asset charges (£/year)</t>
  </si>
  <si>
    <t>Revenues from transmission exit charges (£/year)</t>
  </si>
  <si>
    <t>Revenues from other expenditure charges (£/year)</t>
  </si>
  <si>
    <t>Revenues from matching charges (£/year)</t>
  </si>
  <si>
    <t>4312. Discount map (re-grouped)</t>
  </si>
  <si>
    <t>Domestic Two Rate and related MPAN tariffs</t>
  </si>
  <si>
    <t>Small Non Domestic Two Rate and related MPAN tariffs</t>
  </si>
  <si>
    <t>4313. Discount for each tariff (except for fixed charges)</t>
  </si>
  <si>
    <t>x1 = 4312. Discount map (re-grouped)</t>
  </si>
  <si>
    <t>x2 = 1039. LDNO discounts (p/kWh)</t>
  </si>
  <si>
    <t>4314. Unrounded revenue analysis (with reordered tariff list)</t>
  </si>
  <si>
    <t>x1 = 4311. Revenues from asset charges (£/year) (in Unrounded revenue analysis)</t>
  </si>
  <si>
    <t>x2 = 4311. Revenues from transmission exit charges (£/year) (in Unrounded revenue analysis)</t>
  </si>
  <si>
    <t>x3 = 4311. Revenues from other expenditure charges (£/year) (in Unrounded revenue analysis)</t>
  </si>
  <si>
    <t>x4 = 4311. Revenues from matching charges (£/year) (in Unrounded revenue analysis)</t>
  </si>
  <si>
    <t>= x1</t>
  </si>
  <si>
    <t>= x3</t>
  </si>
  <si>
    <t>=x5+x6+x7</t>
  </si>
  <si>
    <t>Total MWh</t>
  </si>
  <si>
    <t>4315. Unrounded revenue analysis (by tariff group)</t>
  </si>
  <si>
    <t>x1 = 4314. Revenues from asset charges (£/year) (in Unrounded revenue analysis) (in Unrounded revenue analysis (with reordered tariff list))</t>
  </si>
  <si>
    <t>x2 = 4314. Revenues from transmission exit charges (£/year) (in Unrounded revenue analysis) (in Unrounded revenue analysis (with reordered tariff list))</t>
  </si>
  <si>
    <t>x3 = 4314. Revenues from other expenditure charges (£/year) (in Unrounded revenue analysis) (in Unrounded revenue analysis (with reordered tariff list))</t>
  </si>
  <si>
    <t>x4 = 4314. Revenues from matching charges (£/year) (in Unrounded revenue analysis) (in Unrounded revenue analysis (with reordered tariff list))</t>
  </si>
  <si>
    <t>x5 = 4314. Total MWh (in Unrounded revenue analysis (with reordered tariff list))</t>
  </si>
  <si>
    <t>Grouped revenues from asset charges (£/year)</t>
  </si>
  <si>
    <t>Grouped revenues from transmission exit charges (£/year)</t>
  </si>
  <si>
    <t>Grouped revenues from other expenditure charges (£/year)</t>
  </si>
  <si>
    <t>Grouped revenues from matching charges (£/year)</t>
  </si>
  <si>
    <t>Grouped units (MWh)</t>
  </si>
  <si>
    <t>4316. Scaling factors for run 1</t>
  </si>
  <si>
    <t>Scaling factor for revenues from transmission exit charges (£/year)</t>
  </si>
  <si>
    <t>Scaling factor for revenues from other expenditure charges (£/year)</t>
  </si>
  <si>
    <t>Scaling factor for revenues from matching charges (£/year)</t>
  </si>
  <si>
    <t>Scaling factors for run 1</t>
  </si>
  <si>
    <t>4317. Average p/kWh</t>
  </si>
  <si>
    <t>x1 = 4315. Grouped units (MWh) (in Unrounded revenue analysis (by tariff group))</t>
  </si>
  <si>
    <t>x2 = 4315. Grouped revenues from asset charges (£/year) (in Unrounded revenue analysis (by tariff group))</t>
  </si>
  <si>
    <t>x3 = 4315. Grouped revenues from transmission exit charges (£/year) (in Unrounded revenue analysis (by tariff group))</t>
  </si>
  <si>
    <t>x4 = 4316. Scaling factor for revenues from transmission exit charges (£/year) (in Scaling factors for run 1)</t>
  </si>
  <si>
    <t>x5 = 4315. Grouped revenues from other expenditure charges (£/year) (in Unrounded revenue analysis (by tariff group))</t>
  </si>
  <si>
    <t>x6 = 4316. Scaling factor for revenues from other expenditure charges (£/year) (in Scaling factors for run 1)</t>
  </si>
  <si>
    <t>x7 = 4315. Grouped revenues from matching charges (£/year) (in Unrounded revenue analysis (by tariff group))</t>
  </si>
  <si>
    <t>x8 = 4316. Scaling factor for revenues from matching charges (£/year) (in Scaling factors for run 1)</t>
  </si>
  <si>
    <t>Calculation =IF(x1,(x2+x3*x4+x5*x6+x7*x8)/x1*0.1,0)</t>
  </si>
  <si>
    <t>Average p/kWh</t>
  </si>
  <si>
    <t>4318. Chargeable percentage</t>
  </si>
  <si>
    <t>x1 = 4317. Average p/kWh</t>
  </si>
  <si>
    <t>x2 = 4313. Discount for each tariff (except for fixed charges)</t>
  </si>
  <si>
    <t>Calculation =IF(x1,1-x2/x1,0)</t>
  </si>
  <si>
    <t>Chargeable percentage</t>
  </si>
  <si>
    <t>4319. Total discounted revenue by charge category</t>
  </si>
  <si>
    <t>x1 = 4318. Chargeable percentage</t>
  </si>
  <si>
    <t>x2 = 4314. Revenues from asset charges (£/year) (in Unrounded revenue analysis) (in Unrounded revenue analysis (with reordered tariff list))</t>
  </si>
  <si>
    <t>x3 = 4314. Revenues from transmission exit charges (£/year) (in Unrounded revenue analysis) (in Unrounded revenue analysis (with reordered tariff list))</t>
  </si>
  <si>
    <t>x4 = 4314. Revenues from other expenditure charges (£/year) (in Unrounded revenue analysis) (in Unrounded revenue analysis (with reordered tariff list))</t>
  </si>
  <si>
    <t>x5 = 4314. Revenues from matching charges (£/year) (in Unrounded revenue analysis) (in Unrounded revenue analysis (with reordered tariff list))</t>
  </si>
  <si>
    <t>=SUMPRODUCT(x1, x3)</t>
  </si>
  <si>
    <t>=SUMPRODUCT(x1, x4)</t>
  </si>
  <si>
    <t>=SUMPRODUCT(x1, x5)</t>
  </si>
  <si>
    <t>Total discounted revenue by charge category</t>
  </si>
  <si>
    <t>4320. Error values from run 1</t>
  </si>
  <si>
    <t>x1 = 4319. Revenues from transmission exit charges (£/year) (in Total discounted revenue by charge category)</t>
  </si>
  <si>
    <t>x2 = 4316. Scaling factor for revenues from transmission exit charges (£/year) (in Scaling factors for run 1)</t>
  </si>
  <si>
    <t>x3 = 4309. Baseline revenues from transmission exit charges (£/year) (in Unrounded revenue analysis (baseline totals))</t>
  </si>
  <si>
    <t>x4 = 4319. Revenues from other expenditure charges (£/year) (in Total discounted revenue by charge category)</t>
  </si>
  <si>
    <t>x5 = 4316. Scaling factor for revenues from other expenditure charges (£/year) (in Scaling factors for run 1)</t>
  </si>
  <si>
    <t>x6 = 4309. Baseline revenues from other expenditure charges (£/year) (in Unrounded revenue analysis (baseline totals))</t>
  </si>
  <si>
    <t>x7 = 4319. Revenues from matching charges (£/year) (in Total discounted revenue by charge category)</t>
  </si>
  <si>
    <t>x9 = 4309. Baseline revenues from matching charges (£/year) (in Unrounded revenue analysis (baseline totals))</t>
  </si>
  <si>
    <t>x10 = 4319. Revenues from asset charges (£/year) (in Total discounted revenue by charge category)</t>
  </si>
  <si>
    <t>x11 = 4309. Baseline revenues from asset charges (£/year) (in Unrounded revenue analysis (baseline totals))</t>
  </si>
  <si>
    <t>x12 = Error 1 (in Error values from run 1)</t>
  </si>
  <si>
    <t>x13 = Error 2 (in Error values from run 1)</t>
  </si>
  <si>
    <t>=x1*x2-x3</t>
  </si>
  <si>
    <t>=x4*x5-x6</t>
  </si>
  <si>
    <t>=x7*x8-x9+x10-x11+x12+x13</t>
  </si>
  <si>
    <t>Error 1</t>
  </si>
  <si>
    <t>Error 2</t>
  </si>
  <si>
    <t>Error 3</t>
  </si>
  <si>
    <t>Error values from run 1</t>
  </si>
  <si>
    <t>4321. Scaling factors for run 2</t>
  </si>
  <si>
    <t>Scaling factors for run 2</t>
  </si>
  <si>
    <t>4322. Average p/kWh</t>
  </si>
  <si>
    <t>x4 = 4321. Scaling factor for revenues from transmission exit charges (£/year) (in Scaling factors for run 2)</t>
  </si>
  <si>
    <t>x6 = 4321. Scaling factor for revenues from other expenditure charges (£/year) (in Scaling factors for run 2)</t>
  </si>
  <si>
    <t>x8 = 4321. Scaling factor for revenues from matching charges (£/year) (in Scaling factors for run 2)</t>
  </si>
  <si>
    <t>4323. Chargeable percentage</t>
  </si>
  <si>
    <t>x1 = 4322. Average p/kWh</t>
  </si>
  <si>
    <t>4324. Total discounted revenue by charge category</t>
  </si>
  <si>
    <t>x1 = 4323. Chargeable percentage</t>
  </si>
  <si>
    <t>4325. Error values from run 2</t>
  </si>
  <si>
    <t>x1 = 4324. Revenues from transmission exit charges (£/year) (in Total discounted revenue by charge category)</t>
  </si>
  <si>
    <t>x2 = 4321. Scaling factor for revenues from transmission exit charges (£/year) (in Scaling factors for run 2)</t>
  </si>
  <si>
    <t>x4 = 4324. Revenues from other expenditure charges (£/year) (in Total discounted revenue by charge category)</t>
  </si>
  <si>
    <t>x5 = 4321. Scaling factor for revenues from other expenditure charges (£/year) (in Scaling factors for run 2)</t>
  </si>
  <si>
    <t>x7 = 4324. Revenues from matching charges (£/year) (in Total discounted revenue by charge category)</t>
  </si>
  <si>
    <t>x10 = 4324. Revenues from asset charges (£/year) (in Total discounted revenue by charge category)</t>
  </si>
  <si>
    <t>x12 = Error 1 (in Error values from run 2)</t>
  </si>
  <si>
    <t>x13 = Error 2 (in Error values from run 2)</t>
  </si>
  <si>
    <t>Error values from run 2</t>
  </si>
  <si>
    <t>4326. Scaling factors for run 3</t>
  </si>
  <si>
    <t>Scaling factors for run 3</t>
  </si>
  <si>
    <t>4327. Average p/kWh</t>
  </si>
  <si>
    <t>x4 = 4326. Scaling factor for revenues from transmission exit charges (£/year) (in Scaling factors for run 3)</t>
  </si>
  <si>
    <t>x6 = 4326. Scaling factor for revenues from other expenditure charges (£/year) (in Scaling factors for run 3)</t>
  </si>
  <si>
    <t>x8 = 4326. Scaling factor for revenues from matching charges (£/year) (in Scaling factors for run 3)</t>
  </si>
  <si>
    <t>4328. Chargeable percentage</t>
  </si>
  <si>
    <t>x1 = 4327. Average p/kWh</t>
  </si>
  <si>
    <t>4329. Total discounted revenue by charge category</t>
  </si>
  <si>
    <t>x1 = 4328. Chargeable percentage</t>
  </si>
  <si>
    <t>4330. Error values from run 3</t>
  </si>
  <si>
    <t>x1 = 4329. Revenues from transmission exit charges (£/year) (in Total discounted revenue by charge category)</t>
  </si>
  <si>
    <t>x2 = 4326. Scaling factor for revenues from transmission exit charges (£/year) (in Scaling factors for run 3)</t>
  </si>
  <si>
    <t>x4 = 4329. Revenues from other expenditure charges (£/year) (in Total discounted revenue by charge category)</t>
  </si>
  <si>
    <t>x5 = 4326. Scaling factor for revenues from other expenditure charges (£/year) (in Scaling factors for run 3)</t>
  </si>
  <si>
    <t>x7 = 4329. Revenues from matching charges (£/year) (in Total discounted revenue by charge category)</t>
  </si>
  <si>
    <t>x10 = 4329. Revenues from asset charges (£/year) (in Total discounted revenue by charge category)</t>
  </si>
  <si>
    <t>x12 = Error 1 (in Error values from run 3)</t>
  </si>
  <si>
    <t>x13 = Error 2 (in Error values from run 3)</t>
  </si>
  <si>
    <t>Error values from run 3</t>
  </si>
  <si>
    <t>4331. Scaling factors for run 4</t>
  </si>
  <si>
    <t>Scaling factors for run 4</t>
  </si>
  <si>
    <t>4332. Average p/kWh</t>
  </si>
  <si>
    <t>x4 = 4331. Scaling factor for revenues from transmission exit charges (£/year) (in Scaling factors for run 4)</t>
  </si>
  <si>
    <t>x6 = 4331. Scaling factor for revenues from other expenditure charges (£/year) (in Scaling factors for run 4)</t>
  </si>
  <si>
    <t>x8 = 4331. Scaling factor for revenues from matching charges (£/year) (in Scaling factors for run 4)</t>
  </si>
  <si>
    <t>4333. Chargeable percentage</t>
  </si>
  <si>
    <t>x1 = 4332. Average p/kWh</t>
  </si>
  <si>
    <t>4334. Total discounted revenue by charge category</t>
  </si>
  <si>
    <t>x1 = 4333. Chargeable percentage</t>
  </si>
  <si>
    <t>4335. Error values from run 4</t>
  </si>
  <si>
    <t>x1 = 4334. Revenues from transmission exit charges (£/year) (in Total discounted revenue by charge category)</t>
  </si>
  <si>
    <t>x2 = 4331. Scaling factor for revenues from transmission exit charges (£/year) (in Scaling factors for run 4)</t>
  </si>
  <si>
    <t>x4 = 4334. Revenues from other expenditure charges (£/year) (in Total discounted revenue by charge category)</t>
  </si>
  <si>
    <t>x5 = 4331. Scaling factor for revenues from other expenditure charges (£/year) (in Scaling factors for run 4)</t>
  </si>
  <si>
    <t>x7 = 4334. Revenues from matching charges (£/year) (in Total discounted revenue by charge category)</t>
  </si>
  <si>
    <t>x10 = 4334. Revenues from asset charges (£/year) (in Total discounted revenue by charge category)</t>
  </si>
  <si>
    <t>x12 = Error 1 (in Error values from run 4)</t>
  </si>
  <si>
    <t>x13 = Error 2 (in Error values from run 4)</t>
  </si>
  <si>
    <t>Error values from run 4</t>
  </si>
  <si>
    <t>4336. First derivatives (£ million)</t>
  </si>
  <si>
    <t>x1 = 4330. Error 1 (in Error values from run 3)</t>
  </si>
  <si>
    <t>x2 = 4335. Error 1 (in Error values from run 4)</t>
  </si>
  <si>
    <t>x3 = 4316. Scaling factor for revenues from transmission exit charges (£/year) (in Scaling factors for run 1)</t>
  </si>
  <si>
    <t>x5 = 4326. Scaling factor for revenues from transmission exit charges (£/year) (in Scaling factors for run 3)</t>
  </si>
  <si>
    <t>x6 = 4331. Scaling factor for revenues from transmission exit charges (£/year) (in Scaling factors for run 4)</t>
  </si>
  <si>
    <t>x7 = 4320. Error 1 (in Error values from run 1)</t>
  </si>
  <si>
    <t>x8 = 4325. Error 1 (in Error values from run 2)</t>
  </si>
  <si>
    <t>x9 = 4330. Error 2 (in Error values from run 3)</t>
  </si>
  <si>
    <t>x10 = 4335. Error 2 (in Error values from run 4)</t>
  </si>
  <si>
    <t>x11 = 4316. Scaling factor for revenues from other expenditure charges (£/year) (in Scaling factors for run 1)</t>
  </si>
  <si>
    <t>x12 = 4321. Scaling factor for revenues from other expenditure charges (£/year) (in Scaling factors for run 2)</t>
  </si>
  <si>
    <t>x13 = 4326. Scaling factor for revenues from other expenditure charges (£/year) (in Scaling factors for run 3)</t>
  </si>
  <si>
    <t>x14 = 4331. Scaling factor for revenues from other expenditure charges (£/year) (in Scaling factors for run 4)</t>
  </si>
  <si>
    <t>x15 = 4320. Error 2 (in Error values from run 1)</t>
  </si>
  <si>
    <t>x16 = 4325. Error 2 (in Error values from run 2)</t>
  </si>
  <si>
    <t>x17 = 4330. Error 3 (in Error values from run 3)</t>
  </si>
  <si>
    <t>x18 = 4335. Error 3 (in Error values from run 4)</t>
  </si>
  <si>
    <t>x19 = 4316. Scaling factor for revenues from matching charges (£/year) (in Scaling factors for run 1)</t>
  </si>
  <si>
    <t>x20 = 4321. Scaling factor for revenues from matching charges (£/year) (in Scaling factors for run 2)</t>
  </si>
  <si>
    <t>x21 = 4326. Scaling factor for revenues from matching charges (£/year) (in Scaling factors for run 3)</t>
  </si>
  <si>
    <t>x22 = 4331. Scaling factor for revenues from matching charges (£/year) (in Scaling factors for run 4)</t>
  </si>
  <si>
    <t>x23 = 4320. Error 3 (in Error values from run 1)</t>
  </si>
  <si>
    <t>x24 = 4325. Error 3 (in Error values from run 2)</t>
  </si>
  <si>
    <t>Special calculation = Special calculation</t>
  </si>
  <si>
    <t>X</t>
  </si>
  <si>
    <t>Y</t>
  </si>
  <si>
    <t>Z</t>
  </si>
  <si>
    <t>4337. Co-determinants</t>
  </si>
  <si>
    <t>x1 = 4336. First derivatives (£ million)</t>
  </si>
  <si>
    <t>4338. Determinant</t>
  </si>
  <si>
    <t>Special calculation =SUMPRODUCT(B14_D14,B19_D19)</t>
  </si>
  <si>
    <t>Determinant</t>
  </si>
  <si>
    <t>4339. Scaling factors for run 7</t>
  </si>
  <si>
    <t>x1 = 4331. Scaling factor for revenues from transmission exit charges (£/year) (in Scaling factors for run 4)</t>
  </si>
  <si>
    <t>x3 = 4337. Co-determinants</t>
  </si>
  <si>
    <t>x4 = 4335. Error 2 (in Error values from run 4)</t>
  </si>
  <si>
    <t>x5 = 4335. Error 3 (in Error values from run 4)</t>
  </si>
  <si>
    <t>x6 = 4338. Determinant</t>
  </si>
  <si>
    <t>x7 = 4331. Scaling factor for revenues from other expenditure charges (£/year) (in Scaling factors for run 4)</t>
  </si>
  <si>
    <t>=x1-1e-6*(x2*x3+x4*x3+x5*x3)/x6</t>
  </si>
  <si>
    <t>=x7-1e-6*(x2*x3+x4*x3+x5*x3)/x6</t>
  </si>
  <si>
    <t>=x8-1e-6*(x2*x3+x4*x3+x5*x3)/x6</t>
  </si>
  <si>
    <t>New scaling factor 1</t>
  </si>
  <si>
    <t>New scaling factor 2</t>
  </si>
  <si>
    <t>New scaling factor 3</t>
  </si>
  <si>
    <t>Scaling factors for run 7</t>
  </si>
  <si>
    <t>4340. Scaling factors for run 5</t>
  </si>
  <si>
    <t>x1 = 4339. New scaling factor 1 (in Scaling factors for run 7)</t>
  </si>
  <si>
    <t>x2 = 4331. Scaling factor for revenues from other expenditure charges (£/year) (in Scaling factors for run 4)</t>
  </si>
  <si>
    <t>x3 = 4331. Scaling factor for revenues from matching charges (£/year) (in Scaling factors for run 4)</t>
  </si>
  <si>
    <t>Scaling factors for run 5</t>
  </si>
  <si>
    <t>4341. Average p/kWh</t>
  </si>
  <si>
    <t>x4 = 4340. New scaling factor 1 (copy) (in Scaling factors for run 5)</t>
  </si>
  <si>
    <t>x6 = 4340. Scaling factor for revenues from other expenditure charges (£/year) (in Scaling factors for run 4) (copy) (in Scaling factors for run 5)</t>
  </si>
  <si>
    <t>x8 = 4340. Scaling factor for revenues from matching charges (£/year) (in Scaling factors for run 4) (copy) (in Scaling factors for run 5)</t>
  </si>
  <si>
    <t>4342. Chargeable percentage</t>
  </si>
  <si>
    <t>x1 = 4341. Average p/kWh</t>
  </si>
  <si>
    <t>4343. Total discounted revenue by charge category</t>
  </si>
  <si>
    <t>x1 = 4342. Chargeable percentage</t>
  </si>
  <si>
    <t>4344. Error values from run 5</t>
  </si>
  <si>
    <t>x1 = 4343. Revenues from transmission exit charges (£/year) (in Total discounted revenue by charge category)</t>
  </si>
  <si>
    <t>x2 = 4340. New scaling factor 1 (copy) (in Scaling factors for run 5)</t>
  </si>
  <si>
    <t>x4 = 4343. Revenues from other expenditure charges (£/year) (in Total discounted revenue by charge category)</t>
  </si>
  <si>
    <t>x5 = 4340. Scaling factor for revenues from other expenditure charges (£/year) (in Scaling factors for run 4) (copy) (in Scaling factors for run 5)</t>
  </si>
  <si>
    <t>x7 = 4343. Revenues from matching charges (£/year) (in Total discounted revenue by charge category)</t>
  </si>
  <si>
    <t>x10 = 4343. Revenues from asset charges (£/year) (in Total discounted revenue by charge category)</t>
  </si>
  <si>
    <t>x12 = Error 1 (in Error values from run 5)</t>
  </si>
  <si>
    <t>x13 = Error 2 (in Error values from run 5)</t>
  </si>
  <si>
    <t>Error values from run 5</t>
  </si>
  <si>
    <t>4345. Scaling factors for run 6</t>
  </si>
  <si>
    <t>x2 = 4339. New scaling factor 2 (in Scaling factors for run 7)</t>
  </si>
  <si>
    <t>Scaling factors for run 6</t>
  </si>
  <si>
    <t>4346. Average p/kWh</t>
  </si>
  <si>
    <t>x4 = 4345. New scaling factor 1 (copy) (in Scaling factors for run 6)</t>
  </si>
  <si>
    <t>x6 = 4345. New scaling factor 2 (copy) (in Scaling factors for run 6)</t>
  </si>
  <si>
    <t>x8 = 4345. Scaling factor for revenues from matching charges (£/year) (in Scaling factors for run 4) (copy) (in Scaling factors for run 6)</t>
  </si>
  <si>
    <t>4347. Chargeable percentage</t>
  </si>
  <si>
    <t>x1 = 4346. Average p/kWh</t>
  </si>
  <si>
    <t>4348. Total discounted revenue by charge category</t>
  </si>
  <si>
    <t>x1 = 4347. Chargeable percentage</t>
  </si>
  <si>
    <t>4349. Error values from run 6</t>
  </si>
  <si>
    <t>x1 = 4348. Revenues from transmission exit charges (£/year) (in Total discounted revenue by charge category)</t>
  </si>
  <si>
    <t>x2 = 4345. New scaling factor 1 (copy) (in Scaling factors for run 6)</t>
  </si>
  <si>
    <t>x4 = 4348. Revenues from other expenditure charges (£/year) (in Total discounted revenue by charge category)</t>
  </si>
  <si>
    <t>x5 = 4345. New scaling factor 2 (copy) (in Scaling factors for run 6)</t>
  </si>
  <si>
    <t>x7 = 4348. Revenues from matching charges (£/year) (in Total discounted revenue by charge category)</t>
  </si>
  <si>
    <t>x10 = 4348. Revenues from asset charges (£/year) (in Total discounted revenue by charge category)</t>
  </si>
  <si>
    <t>x12 = Error 1 (in Error values from run 6)</t>
  </si>
  <si>
    <t>x13 = Error 2 (in Error values from run 6)</t>
  </si>
  <si>
    <t>Error values from run 6</t>
  </si>
  <si>
    <t>4350. Average p/kWh</t>
  </si>
  <si>
    <t>x4 = 4339. New scaling factor 1 (in Scaling factors for run 7)</t>
  </si>
  <si>
    <t>x6 = 4339. New scaling factor 2 (in Scaling factors for run 7)</t>
  </si>
  <si>
    <t>x8 = 4339. New scaling factor 3 (in Scaling factors for run 7)</t>
  </si>
  <si>
    <t>4351. Chargeable percentage</t>
  </si>
  <si>
    <t>x1 = 4350. Average p/kWh</t>
  </si>
  <si>
    <t>4352. Total discounted revenue by charge category</t>
  </si>
  <si>
    <t>x1 = 4351. Chargeable percentage</t>
  </si>
  <si>
    <t>4353. Error values from run 7</t>
  </si>
  <si>
    <t>x1 = 4352. Revenues from transmission exit charges (£/year) (in Total discounted revenue by charge category)</t>
  </si>
  <si>
    <t>x2 = 4339. New scaling factor 1 (in Scaling factors for run 7)</t>
  </si>
  <si>
    <t>x4 = 4352. Revenues from other expenditure charges (£/year) (in Total discounted revenue by charge category)</t>
  </si>
  <si>
    <t>x5 = 4339. New scaling factor 2 (in Scaling factors for run 7)</t>
  </si>
  <si>
    <t>x7 = 4352. Revenues from matching charges (£/year) (in Total discounted revenue by charge category)</t>
  </si>
  <si>
    <t>x10 = 4352. Revenues from asset charges (£/year) (in Total discounted revenue by charge category)</t>
  </si>
  <si>
    <t>x12 = Error 1 (in Error values from run 7)</t>
  </si>
  <si>
    <t>x13 = Error 2 (in Error values from run 7)</t>
  </si>
  <si>
    <t>Error values from run 7</t>
  </si>
  <si>
    <t>4354. First derivatives (£ million)</t>
  </si>
  <si>
    <t>x1 = 4349. Error 1 (in Error values from run 6)</t>
  </si>
  <si>
    <t>x2 = 4353. Error 1 (in Error values from run 7)</t>
  </si>
  <si>
    <t>x3 = 4331. Scaling factor for revenues from transmission exit charges (£/year) (in Scaling factors for run 4)</t>
  </si>
  <si>
    <t>x5 = 4345. New scaling factor 1 (copy) (in Scaling factors for run 6)</t>
  </si>
  <si>
    <t>x6 = 4339. New scaling factor 1 (in Scaling factors for run 7)</t>
  </si>
  <si>
    <t>x7 = 4335. Error 1 (in Error values from run 4)</t>
  </si>
  <si>
    <t>x8 = 4344. Error 1 (in Error values from run 5)</t>
  </si>
  <si>
    <t>x9 = 4349. Error 2 (in Error values from run 6)</t>
  </si>
  <si>
    <t>x10 = 4353. Error 2 (in Error values from run 7)</t>
  </si>
  <si>
    <t>x11 = 4331. Scaling factor for revenues from other expenditure charges (£/year) (in Scaling factors for run 4)</t>
  </si>
  <si>
    <t>x12 = 4340. Scaling factor for revenues from other expenditure charges (£/year) (in Scaling factors for run 4) (copy) (in Scaling factors for run 5)</t>
  </si>
  <si>
    <t>x13 = 4345. New scaling factor 2 (copy) (in Scaling factors for run 6)</t>
  </si>
  <si>
    <t>x14 = 4339. New scaling factor 2 (in Scaling factors for run 7)</t>
  </si>
  <si>
    <t>x15 = 4335. Error 2 (in Error values from run 4)</t>
  </si>
  <si>
    <t>x16 = 4344. Error 2 (in Error values from run 5)</t>
  </si>
  <si>
    <t>x17 = 4349. Error 3 (in Error values from run 6)</t>
  </si>
  <si>
    <t>x18 = 4353. Error 3 (in Error values from run 7)</t>
  </si>
  <si>
    <t>x19 = 4331. Scaling factor for revenues from matching charges (£/year) (in Scaling factors for run 4)</t>
  </si>
  <si>
    <t>x20 = 4340. Scaling factor for revenues from matching charges (£/year) (in Scaling factors for run 4) (copy) (in Scaling factors for run 5)</t>
  </si>
  <si>
    <t>x21 = 4345. Scaling factor for revenues from matching charges (£/year) (in Scaling factors for run 4) (copy) (in Scaling factors for run 6)</t>
  </si>
  <si>
    <t>x22 = 4339. New scaling factor 3 (in Scaling factors for run 7)</t>
  </si>
  <si>
    <t>x23 = 4335. Error 3 (in Error values from run 4)</t>
  </si>
  <si>
    <t>x24 = 4344. Error 3 (in Error values from run 5)</t>
  </si>
  <si>
    <t>4355. Co-determinants</t>
  </si>
  <si>
    <t>x1 = 4354. First derivatives (£ million)</t>
  </si>
  <si>
    <t>4356. Determinant</t>
  </si>
  <si>
    <t>4357. Final scaling factors</t>
  </si>
  <si>
    <t>x3 = 4355. Co-determinants</t>
  </si>
  <si>
    <t>x4 = 4353. Error 2 (in Error values from run 7)</t>
  </si>
  <si>
    <t>x5 = 4353. Error 3 (in Error values from run 7)</t>
  </si>
  <si>
    <t>x6 = 4356. Determinant</t>
  </si>
  <si>
    <t>x7 = 4339. New scaling factor 2 (in Scaling factors for run 7)</t>
  </si>
  <si>
    <t>Final scaling factors</t>
  </si>
  <si>
    <t>4358. All-the-way p/kWh</t>
  </si>
  <si>
    <t>x4 = 4357. New scaling factor 1 (in Final scaling factors)</t>
  </si>
  <si>
    <t>x6 = 4357. New scaling factor 2 (in Final scaling factors)</t>
  </si>
  <si>
    <t>x8 = 4357. New scaling factor 3 (in Final scaling factors)</t>
  </si>
  <si>
    <t>All-the-way p/kWh</t>
  </si>
  <si>
    <t>4401. LDNO discounts ⇒1038. For CDCM</t>
  </si>
  <si>
    <t>x1 = 4358. All-the-way p/kWh</t>
  </si>
  <si>
    <t>Calculation =IF(x1,x2/x1,0)</t>
  </si>
  <si>
    <t>LDNO discounts ⇒1038. For CDCM</t>
  </si>
  <si>
    <t>4402. All-the-way reference p/kWh values ⇒1185. For EDCM model</t>
  </si>
  <si>
    <t>Copy cells =x1</t>
  </si>
  <si>
    <t>All-the-way reference p/kWh values ⇒1185. For EDCM model</t>
  </si>
  <si>
    <t>This document, model or dataset has been prepared by or for Reckon LLP on the instructions of the DCUSA Panel or one of its working_x000D_</t>
  </si>
  <si>
    <t>groups. Only the DCUSA Panel and its working groups have authority to approve this material as meeting their requirements._x000D_</t>
  </si>
  <si>
    <t>Reckon LLP makes no representation about the suitability of this material for the purposes of complying with any licence_x000D_</t>
  </si>
  <si>
    <t>conditions or furthering any relevant objective.</t>
  </si>
  <si>
    <t>UNLESS STATED OTHERWISE, THIS WORKBOOK IS ONLY A PROTOTYPE FOR TESTING PURPOSES AND ALL THE DATA IN THIS MODEL ARE FOR ILLUSTRATION ONLY.</t>
  </si>
  <si>
    <t>This workbook is structured as a sequential series of named and numbered tables. There is a list of</t>
  </si>
  <si>
    <t>tables below, with hyperlinks. Above each calculation table, there is a description of the calculations</t>
  </si>
  <si>
    <t>and hyperlinks to tables from which data are used. Hyperlinks point to the first relevant table column</t>
  </si>
  <si>
    <t>heading in the relevant table. Scrolling up or down is usually required after clicking a hyperlink in</t>
  </si>
  <si>
    <t>order to bring the relevant data and/or headings into view. Some versions of Microsoft Excel can</t>
  </si>
  <si>
    <t>display a "Back" button, which can be useful when using hyperlinks to navigate around the workbook.</t>
  </si>
  <si>
    <t>Copyright 2009-2011 Energy Networks Association Limited and others. Copyright 2011-2016 Franck Latrémolière, Reckon LLP and others.</t>
  </si>
  <si>
    <t>The code used to generate this spreadsheet includes open-source software published at https://github.com/f20/power-models.</t>
  </si>
  <si>
    <t>Use and distribution of the source code is subject to the conditions stated therein.</t>
  </si>
  <si>
    <t>Any redistribution of this software must retain the following disclaimer:</t>
  </si>
  <si>
    <t>THIS SOFTWARE IS PROVIDED BY AUTHORS AND CONTRIBUTORS "AS IS" AND ANY EXPRESS OR IMPLIED WARRANTIES, INCLUDING, BUT NOT LIMITED</t>
  </si>
  <si>
    <t>TO, THE IMPLIED WARRANTIES OF MERCHANTABILITY AND FITNESS FOR A PARTICULAR PURPOSE ARE DISCLAIMED. IN NO EVENT SHALL AUTHORS OR</t>
  </si>
  <si>
    <t>CONTRIBUTORS BE LIABLE FOR ANY DIRECT, INDIRECT, INCIDENTAL, SPECIAL, EXEMPLARY, OR CONSEQUENTIAL DAMAGES (INCLUDING, BUT NOT</t>
  </si>
  <si>
    <t>LIMITED TO, PROCUREMENT OF SUBSTITUTE GOODS OR SERVICES; LOSS OF USE, DATA, OR PROFITS; OR BUSINESS INTERRUPTION) HOWEVER CAUSED</t>
  </si>
  <si>
    <t>AND ON ANY THEORY OF LIABILITY, WHETHER IN CONTRACT, STRICT LIABILITY, OR TORT (INCLUDING NEGLIGENCE OR OTHERWISE) ARISING IN</t>
  </si>
  <si>
    <t>ANY WAY OUT OF THE USE OF THIS SOFTWARE, EVEN IF ADVISED OF THE POSSIBILITY OF SUCH DAMAGE.</t>
  </si>
  <si>
    <t>Colour coding</t>
  </si>
  <si>
    <t>Input data</t>
  </si>
  <si>
    <t>Constant value</t>
  </si>
  <si>
    <t>Formula: calculation</t>
  </si>
  <si>
    <t>Formula: copy</t>
  </si>
  <si>
    <t>Unused cell in input data table</t>
  </si>
  <si>
    <t>Unused cell in other table</t>
  </si>
  <si>
    <t>Unlocked cell for notes</t>
  </si>
  <si>
    <t>Worksheet</t>
  </si>
  <si>
    <t>Table</t>
  </si>
  <si>
    <t>Type of table</t>
  </si>
  <si>
    <t>Input</t>
  </si>
  <si>
    <t>Composite</t>
  </si>
  <si>
    <t>LAFs</t>
  </si>
  <si>
    <t>DRM</t>
  </si>
  <si>
    <t>SM</t>
  </si>
  <si>
    <t>Loads</t>
  </si>
  <si>
    <t>Multi</t>
  </si>
  <si>
    <t>Reshape table</t>
  </si>
  <si>
    <t>SMD</t>
  </si>
  <si>
    <t>AMD</t>
  </si>
  <si>
    <t>Otex</t>
  </si>
  <si>
    <t>Contrib</t>
  </si>
  <si>
    <t>Yard</t>
  </si>
  <si>
    <t>Standing</t>
  </si>
  <si>
    <t>AggCap</t>
  </si>
  <si>
    <t>Reactive</t>
  </si>
  <si>
    <t>Aggreg</t>
  </si>
  <si>
    <t>Revenue</t>
  </si>
  <si>
    <t>Scaler</t>
  </si>
  <si>
    <t>G-Calc</t>
  </si>
  <si>
    <t>G-Discounts</t>
  </si>
  <si>
    <t>Technical model rules and version control</t>
  </si>
  <si>
    <t>---</t>
  </si>
  <si>
    <t>PerlModule: CDCM</t>
  </si>
  <si>
    <t>agghhequalisation: rag</t>
  </si>
  <si>
    <t>alwaysUseRAG: 1</t>
  </si>
  <si>
    <t>coincidenceAdj: groupums</t>
  </si>
  <si>
    <t>colour: orange</t>
  </si>
  <si>
    <t>drm: top500gsp</t>
  </si>
  <si>
    <t>extraLevels: 1</t>
  </si>
  <si>
    <t>extraNotice: "This document, model or dataset has been prepared by or for Reckon LLP on the instructions of the DCUSA Panel or one of its working\r\ngroups. Only the DCUSA Panel and its working groups have authority to approve this material as meeting their requirements.\r\nReckon LLP makes no representation about the suitability of this material for the purposes of complying with any licence\r\nconditions or furthering any relevant objective."</t>
  </si>
  <si>
    <t>fixedCap: 1-4</t>
  </si>
  <si>
    <t>noReplacement: blanket</t>
  </si>
  <si>
    <t>pcd: 1</t>
  </si>
  <si>
    <t>portfolio: 1</t>
  </si>
  <si>
    <t>protect: 1</t>
  </si>
  <si>
    <t>revisionText: r7337</t>
  </si>
  <si>
    <t>scaler: levelledpickexitnogenminzero</t>
  </si>
  <si>
    <t>standing: sub132</t>
  </si>
  <si>
    <t>targetRevenue: dcp132</t>
  </si>
  <si>
    <t>tariffs: commongensubdcp130dcp163pc12hhpc34hh</t>
  </si>
  <si>
    <t>template: '%-modelg+'</t>
  </si>
  <si>
    <t>timeOfDay: timeOfDay179</t>
  </si>
  <si>
    <t>unroundedTariffAnalysis: modelg</t>
  </si>
  <si>
    <t>validation: lenientnomsg</t>
  </si>
  <si>
    <t>'~codeValidation':</t>
  </si>
  <si>
    <t xml:space="preserve">  CDCM/AML.pm: 456e00943a159e7b87cf01c5c4710e6a140ca47c</t>
  </si>
  <si>
    <t xml:space="preserve">  CDCM/Aggregation.pm: 372b53e6dba1fe9433020bbd13328009851a036a</t>
  </si>
  <si>
    <t xml:space="preserve">  CDCM/Contributions.pm: 27ad354dcefbc9a811f3db79dc8efe0f1833e5f3</t>
  </si>
  <si>
    <t xml:space="preserve">  CDCM/Discounts.pm: d7f092ce7f52f5e10e2dbe99c70654ad05c4c794</t>
  </si>
  <si>
    <t xml:space="preserve">  CDCM/Loads.pm: 8318fd13017faf9e8cc117bc2b5f75e978e6365b</t>
  </si>
  <si>
    <t xml:space="preserve">  CDCM/Master.pm: 89db43b6b86026f42cef1991e2e5b46dd1392b99</t>
  </si>
  <si>
    <t xml:space="preserve">  CDCM/Matching.pm: 8150f8c7a382459d3c2043ae8209f4f70df89254</t>
  </si>
  <si>
    <t xml:space="preserve">  CDCM/ModelG.pm: c3aef2aff10c9c65bc25b0a55cefa26945d4d7b4</t>
  </si>
  <si>
    <t xml:space="preserve">  CDCM/NetworkSizer.pm: 50def4231b67757f2bd222cc1579fa342876afd0</t>
  </si>
  <si>
    <t xml:space="preserve">  CDCM/Operating.pm: c8ee43d2a1898e7c0e12aa50754522a86c4077c3</t>
  </si>
  <si>
    <t xml:space="preserve">  CDCM/Reactive.pm: e2318e6ee9559bf7cd3cfcfff58c399eb12c866a</t>
  </si>
  <si>
    <t xml:space="preserve">  CDCM/Revenue.pm: 6c445ed34c255f9ddc0b221c97478f1622f96850</t>
  </si>
  <si>
    <t xml:space="preserve">  CDCM/Routeing.pm: 9b718b597245d1b0721d2c7a64c50c2a706295b5</t>
  </si>
  <si>
    <t xml:space="preserve">  CDCM/SML.pm: aac911646d7138ef11303d19e73c7fb180fadeeb</t>
  </si>
  <si>
    <t xml:space="preserve">  CDCM/ServiceModels.pm: 962bc7cb35ba1dba1d76a82ebf31da562bb15636</t>
  </si>
  <si>
    <t xml:space="preserve">  CDCM/Setup.pm: fa9ab9e9febf3f6681cdfa8c05e2700627cf0251</t>
  </si>
  <si>
    <t xml:space="preserve">  CDCM/Sheets.pm: 3fcebe790e6779049505ea2032110a2e8a9cac6d</t>
  </si>
  <si>
    <t xml:space="preserve">  CDCM/Standing.pm: 0677863cc8c69940e82611a34f6a4cf6e6c938f6</t>
  </si>
  <si>
    <t xml:space="preserve">  CDCM/Summary.pm: 591dbcc9c325ebe7d3bb65b6fdd6fdc8c2b0d03b</t>
  </si>
  <si>
    <t xml:space="preserve">  CDCM/Table1001_2012.pm: ce6a24bc767fdc3a41bc78e5c8768ded2e180eb9</t>
  </si>
  <si>
    <t xml:space="preserve">  CDCM/TariffAnalysis.pm: e361dea2c671c5a4e05b6eb189ff30bd4aed8633</t>
  </si>
  <si>
    <t xml:space="preserve">  CDCM/TariffList.pm: 64ad6df9569e545ee8cb15b755bb503f11a8d027</t>
  </si>
  <si>
    <t xml:space="preserve">  CDCM/Tariffs.pm: 76356ecc3a24bb7e0d1b998ff54ed84d4c66815d</t>
  </si>
  <si>
    <t xml:space="preserve">  CDCM/TimeOfDay179.pm: cdde86fc73d4a5690388b4ac4cf18a3954040eee</t>
  </si>
  <si>
    <t xml:space="preserve">  CDCM/Yardsticks.pm: 14fa4ca8c5e1b83888203f2a0a27b027b0e1be67</t>
  </si>
  <si>
    <t xml:space="preserve">  SpreadsheetModel/Arithmetic.pm: b1367f0a9de6b5af11373f288c79c34dcf1cd6d7</t>
  </si>
  <si>
    <t xml:space="preserve">  SpreadsheetModel/Book/FrontSheet.pm: 46ce018576f7ecdfeeb07df5d5468405cb06839c</t>
  </si>
  <si>
    <t xml:space="preserve">  SpreadsheetModel/Book/Manufacturing.pm: 9040f88f1055d734b9f84bc0189a66737bea3f46</t>
  </si>
  <si>
    <t xml:space="preserve">  SpreadsheetModel/Book/Validation.pm: ed2ab0782db26c535a153fdc187c4ac85d37bf0b</t>
  </si>
  <si>
    <t xml:space="preserve">  SpreadsheetModel/Book/WorkbookCreate.pm: 78d0cbbf7cd936390437511d753cb750038c4d79</t>
  </si>
  <si>
    <t xml:space="preserve">  SpreadsheetModel/Book/WorkbookFormats.pm: b659dd128e9de6350e6f389cbe5ac3c7e01ff09d</t>
  </si>
  <si>
    <t xml:space="preserve">  SpreadsheetModel/Columnset.pm: 7212dcdf0f873cf20dfa8366b66a8b1c688bcdd3</t>
  </si>
  <si>
    <t xml:space="preserve">  SpreadsheetModel/Custom.pm: 64258a1a23160d1b05311a838e34f4078f7516be</t>
  </si>
  <si>
    <t xml:space="preserve">  SpreadsheetModel/Dataset.pm: 0d4dd59d0e133cd7ac0d1f5f60d67b42da63633e</t>
  </si>
  <si>
    <t xml:space="preserve">  SpreadsheetModel/FormatLegend.pm: 6542b2c1f994e4aa10f155c435cabafa7a9f5778</t>
  </si>
  <si>
    <t xml:space="preserve">  SpreadsheetModel/GroupBy.pm: a05f4878f468a3191257c58c4711fc115bde7e7d</t>
  </si>
  <si>
    <t xml:space="preserve">  SpreadsheetModel/Label.pm: 053d8801da63a168d467ae3cf12c6c32325befe3</t>
  </si>
  <si>
    <t xml:space="preserve">  SpreadsheetModel/Labelset.pm: 04739284141966c1ce3b175d877edb97c79f48f4</t>
  </si>
  <si>
    <t xml:space="preserve">  SpreadsheetModel/Logger.pm: 833fe1cc3c01cd760064f51dd812b9db75a8b221</t>
  </si>
  <si>
    <t xml:space="preserve">  SpreadsheetModel/Notes.pm: deac2cc524c26b5965f89ee6ab62979a9443d683</t>
  </si>
  <si>
    <t xml:space="preserve">  SpreadsheetModel/Object.pm: ad87af5906c5d614f2ee9535b691ad91f03c7c38</t>
  </si>
  <si>
    <t xml:space="preserve">  SpreadsheetModel/Reshape.pm: 44d60329c15bdfdf839a71781406c921808898b4</t>
  </si>
  <si>
    <t xml:space="preserve">  SpreadsheetModel/SegmentRoot.pm: f684d07d04056e2553a5e46c1e78fe34c4ee6852</t>
  </si>
  <si>
    <t xml:space="preserve">  SpreadsheetModel/Shortcuts.pm: 862755d9f7270e4db643182f2a94f4d19dff749b</t>
  </si>
  <si>
    <t xml:space="preserve">  SpreadsheetModel/Stack.pm: 05a927d320fe0b49a01b5d253723cf04175915ac</t>
  </si>
  <si>
    <t xml:space="preserve">  SpreadsheetModel/SumProduct.pm: 2ae76b5dc30c7b829aa206d41662d4147f4c1fa9</t>
  </si>
  <si>
    <t>'~datasetName': Blank</t>
  </si>
  <si>
    <t>'~datasetSource': Empty dataset</t>
  </si>
  <si>
    <t>Generated on Wed 19 Oct 2016 07:18:51 by dcmf.co.uk</t>
  </si>
  <si>
    <t>Electricity North West</t>
  </si>
  <si>
    <t>2017/2018</t>
  </si>
  <si>
    <t>December 2015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</si>
</sst>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Blue]General;[Red]\-General;;[Black]@"/>
    <numFmt numFmtId="165" formatCode="[Black]General;[Black]\-General;;[Black]@"/>
    <numFmt numFmtId="166" formatCode="[Black]\ _(???,???,??0_);[Red]\ \(???,???,??0\);;[Cyan]@"/>
    <numFmt numFmtId="167" formatCode="[Black]\ _(???,??0.000_);[Red]\ \(???,??0.000\);;[Cyan]@"/>
    <numFmt numFmtId="168" formatCode="[Black]\ _(?,??0.00%_);[Red]\ \(?,??0.00%\);;[Cyan]@"/>
    <numFmt numFmtId="169" formatCode="[Black]\ _(???,??0.0_);[Red]\ \(???,??0.0\);;[Cyan]@"/>
    <numFmt numFmtId="170" formatCode="[Blue]_-\+???,???,??0;[Red]_+\-???,???,??0;[Green]\=;[Cyan]@"/>
  </numFmts>
  <fonts count="8" x14ac:knownFonts="1">
    <font>
      <sz val="11"/>
      <color theme="1"/>
      <name val="Calibri"/>
      <family val="2"/>
      <scheme val="minor"/>
    </font>
    <font>
      <b/>
      <sz val="15"/>
      <color theme="1"/>
      <name val="Calibri"/>
      <family val="2"/>
      <scheme val="minor"/>
    </font>
    <font>
      <b/>
      <sz val="11"/>
      <color theme="1"/>
      <name val="Calibri"/>
      <family val="2"/>
      <scheme val="minor"/>
    </font>
    <font>
      <sz val="11"/>
      <color rgb="FFFF00FF"/>
      <name val="Calibri"/>
      <family val="2"/>
      <scheme val="minor"/>
    </font>
    <font>
      <sz val="11"/>
      <color rgb="FF800080"/>
      <name val="Calibri"/>
      <family val="2"/>
      <scheme val="minor"/>
    </font>
    <font>
      <u/>
      <sz val="11"/>
      <color rgb="FF0066CC"/>
      <name val="Calibri"/>
      <family val="2"/>
      <scheme val="minor"/>
    </font>
    <font>
      <b/>
      <sz val="11"/>
      <color rgb="FFFF00FF"/>
      <name val="Calibri"/>
      <family val="2"/>
      <scheme val="minor"/>
    </font>
    <font>
      <i/>
      <sz val="11"/>
      <color theme="1"/>
      <name val="Calibri"/>
      <family val="2"/>
      <scheme val="minor"/>
    </font>
  </fonts>
  <fills count="9">
    <fill>
      <patternFill patternType="none"/>
    </fill>
    <fill>
      <patternFill patternType="gray125"/>
    </fill>
    <fill>
      <patternFill patternType="solid">
        <fgColor rgb="FFFFCC99"/>
        <bgColor indexed="64"/>
      </patternFill>
    </fill>
    <fill>
      <patternFill patternType="solid">
        <fgColor rgb="FFCCFFFF"/>
        <bgColor indexed="64"/>
      </patternFill>
    </fill>
    <fill>
      <patternFill patternType="solid">
        <fgColor rgb="FFE9E9E9"/>
        <bgColor indexed="64"/>
      </patternFill>
    </fill>
    <fill>
      <patternFill patternType="solid">
        <fgColor rgb="FFFFFFCC"/>
        <bgColor indexed="64"/>
      </patternFill>
    </fill>
    <fill>
      <patternFill patternType="solid">
        <fgColor rgb="FFCCFFCC"/>
        <bgColor indexed="64"/>
      </patternFill>
    </fill>
    <fill>
      <patternFill patternType="lightGrid">
        <fgColor rgb="FFE9E9E9"/>
        <bgColor rgb="FFFFFFFF"/>
      </patternFill>
    </fill>
    <fill>
      <patternFill patternType="lightUp">
        <fgColor rgb="FFE9E9E9"/>
        <bgColor rgb="FFFFFFFF"/>
      </patternFill>
    </fill>
  </fills>
  <borders count="3">
    <border>
      <left/>
      <right/>
      <top/>
      <bottom/>
      <diagonal/>
    </border>
    <border>
      <left/>
      <right/>
      <top style="dashed">
        <color rgb="FF800080"/>
      </top>
      <bottom style="dashed">
        <color rgb="FF800080"/>
      </bottom>
      <diagonal/>
    </border>
    <border>
      <left style="thin">
        <color auto="1"/>
      </left>
      <right style="thin">
        <color auto="1"/>
      </right>
      <top/>
      <bottom/>
      <diagonal/>
    </border>
  </borders>
  <cellStyleXfs count="1">
    <xf numFmtId="0" fontId="0" fillId="0" borderId="0"/>
  </cellStyleXfs>
  <cellXfs count="45">
    <xf numFmtId="0" fontId="0" fillId="0" borderId="0" xfId="0"/>
    <xf numFmtId="49" fontId="1" fillId="0" borderId="0" xfId="0" applyNumberFormat="1" applyFont="1" applyAlignment="1">
      <alignment horizontal="left"/>
    </xf>
    <xf numFmtId="49" fontId="0" fillId="0" borderId="0" xfId="0" applyNumberFormat="1"/>
    <xf numFmtId="49" fontId="2" fillId="0" borderId="0" xfId="0" applyNumberFormat="1" applyFont="1" applyProtection="1">
      <protection locked="0"/>
    </xf>
    <xf numFmtId="164" fontId="2" fillId="2" borderId="0" xfId="0" applyNumberFormat="1" applyFont="1" applyFill="1" applyAlignment="1">
      <alignment horizontal="left" wrapText="1"/>
    </xf>
    <xf numFmtId="164" fontId="3" fillId="3" borderId="0" xfId="0" applyNumberFormat="1" applyFont="1" applyFill="1" applyAlignment="1">
      <alignment horizontal="left" wrapText="1"/>
    </xf>
    <xf numFmtId="164" fontId="3" fillId="4" borderId="0" xfId="0" applyNumberFormat="1" applyFont="1" applyFill="1" applyAlignment="1">
      <alignment horizontal="left" wrapText="1"/>
    </xf>
    <xf numFmtId="164" fontId="3" fillId="5" borderId="0" xfId="0" applyNumberFormat="1" applyFont="1" applyFill="1" applyAlignment="1">
      <alignment horizontal="left" wrapText="1"/>
    </xf>
    <xf numFmtId="164" fontId="3" fillId="6" borderId="0" xfId="0" applyNumberFormat="1" applyFont="1" applyFill="1" applyAlignment="1">
      <alignment horizontal="left" wrapText="1"/>
    </xf>
    <xf numFmtId="164" fontId="0" fillId="7" borderId="0" xfId="0" applyNumberFormat="1" applyFill="1" applyAlignment="1">
      <alignment horizontal="center"/>
    </xf>
    <xf numFmtId="164" fontId="0" fillId="8" borderId="0" xfId="0" applyNumberFormat="1" applyFill="1" applyAlignment="1">
      <alignment horizontal="center"/>
    </xf>
    <xf numFmtId="0" fontId="4" fillId="0" borderId="1" xfId="0" applyFont="1" applyBorder="1"/>
    <xf numFmtId="164" fontId="2" fillId="2" borderId="0" xfId="0" applyNumberFormat="1" applyFont="1" applyFill="1" applyAlignment="1" applyProtection="1">
      <alignment horizontal="left" wrapText="1"/>
      <protection locked="0"/>
    </xf>
    <xf numFmtId="49" fontId="0" fillId="0" borderId="0" xfId="0" applyNumberFormat="1" applyProtection="1">
      <protection locked="0"/>
    </xf>
    <xf numFmtId="49" fontId="5" fillId="0" borderId="0" xfId="0" applyNumberFormat="1" applyFont="1" applyProtection="1">
      <protection locked="0"/>
    </xf>
    <xf numFmtId="164" fontId="2" fillId="2" borderId="0" xfId="0" applyNumberFormat="1" applyFont="1" applyFill="1" applyAlignment="1">
      <alignment horizontal="center" wrapText="1"/>
    </xf>
    <xf numFmtId="165" fontId="3" fillId="3" borderId="0" xfId="0" applyNumberFormat="1" applyFont="1" applyFill="1" applyAlignment="1" applyProtection="1">
      <alignment horizontal="center" wrapText="1"/>
      <protection locked="0"/>
    </xf>
    <xf numFmtId="0" fontId="4" fillId="0" borderId="1" xfId="0" applyFont="1" applyBorder="1" applyProtection="1">
      <protection locked="0"/>
    </xf>
    <xf numFmtId="164" fontId="3" fillId="0" borderId="0" xfId="0" applyNumberFormat="1" applyFont="1" applyAlignment="1" applyProtection="1">
      <alignment horizontal="left" wrapText="1"/>
      <protection locked="0"/>
    </xf>
    <xf numFmtId="164" fontId="3" fillId="0" borderId="0" xfId="0" applyNumberFormat="1" applyFont="1" applyAlignment="1" applyProtection="1">
      <alignment horizontal="center" wrapText="1"/>
      <protection locked="0"/>
    </xf>
    <xf numFmtId="166" fontId="3" fillId="3" borderId="0" xfId="0" applyNumberFormat="1" applyFont="1" applyFill="1" applyAlignment="1" applyProtection="1">
      <alignment horizontal="center"/>
      <protection locked="0"/>
    </xf>
    <xf numFmtId="166" fontId="3" fillId="5" borderId="0" xfId="0" applyNumberFormat="1" applyFont="1" applyFill="1" applyAlignment="1">
      <alignment horizontal="center"/>
    </xf>
    <xf numFmtId="167" fontId="3" fillId="3" borderId="0" xfId="0" applyNumberFormat="1" applyFont="1" applyFill="1" applyAlignment="1" applyProtection="1">
      <alignment horizontal="center"/>
      <protection locked="0"/>
    </xf>
    <xf numFmtId="164" fontId="6" fillId="0" borderId="0" xfId="0" applyNumberFormat="1" applyFont="1" applyAlignment="1" applyProtection="1">
      <alignment horizontal="left" wrapText="1"/>
      <protection locked="0"/>
    </xf>
    <xf numFmtId="164" fontId="6" fillId="0" borderId="0" xfId="0" applyNumberFormat="1" applyFont="1" applyAlignment="1" applyProtection="1">
      <alignment horizontal="center" wrapText="1"/>
      <protection locked="0"/>
    </xf>
    <xf numFmtId="164" fontId="0" fillId="7" borderId="0" xfId="0" applyNumberFormat="1" applyFill="1" applyAlignment="1" applyProtection="1">
      <alignment horizontal="center"/>
      <protection locked="0"/>
    </xf>
    <xf numFmtId="166" fontId="6" fillId="5" borderId="0" xfId="0" applyNumberFormat="1" applyFont="1" applyFill="1" applyAlignment="1">
      <alignment horizontal="center"/>
    </xf>
    <xf numFmtId="168" fontId="3" fillId="3" borderId="0" xfId="0" applyNumberFormat="1" applyFont="1" applyFill="1" applyAlignment="1" applyProtection="1">
      <alignment horizontal="center"/>
      <protection locked="0"/>
    </xf>
    <xf numFmtId="167" fontId="3" fillId="4" borderId="0" xfId="0" applyNumberFormat="1" applyFont="1" applyFill="1" applyAlignment="1">
      <alignment horizontal="center"/>
    </xf>
    <xf numFmtId="164" fontId="7" fillId="2" borderId="0" xfId="0" applyNumberFormat="1" applyFont="1" applyFill="1" applyAlignment="1">
      <alignment horizontal="left" wrapText="1"/>
    </xf>
    <xf numFmtId="169" fontId="3" fillId="3" borderId="0" xfId="0" applyNumberFormat="1" applyFont="1" applyFill="1" applyAlignment="1" applyProtection="1">
      <alignment horizontal="center"/>
      <protection locked="0"/>
    </xf>
    <xf numFmtId="164" fontId="7" fillId="2" borderId="2" xfId="0" applyNumberFormat="1" applyFont="1" applyFill="1" applyBorder="1" applyAlignment="1">
      <alignment horizontal="centerContinuous" wrapText="1"/>
    </xf>
    <xf numFmtId="49" fontId="5" fillId="0" borderId="0" xfId="0" applyNumberFormat="1" applyFont="1"/>
    <xf numFmtId="49" fontId="0" fillId="0" borderId="2" xfId="0" applyNumberFormat="1" applyBorder="1" applyAlignment="1">
      <alignment horizontal="centerContinuous" wrapText="1"/>
    </xf>
    <xf numFmtId="49" fontId="0" fillId="0" borderId="0" xfId="0" applyNumberFormat="1" applyAlignment="1">
      <alignment horizontal="left"/>
    </xf>
    <xf numFmtId="164" fontId="7" fillId="2" borderId="0" xfId="0" applyNumberFormat="1" applyFont="1" applyFill="1" applyAlignment="1">
      <alignment horizontal="left"/>
    </xf>
    <xf numFmtId="166" fontId="3" fillId="4" borderId="0" xfId="0" applyNumberFormat="1" applyFont="1" applyFill="1" applyAlignment="1">
      <alignment horizontal="center"/>
    </xf>
    <xf numFmtId="167" fontId="3" fillId="5" borderId="0" xfId="0" applyNumberFormat="1" applyFont="1" applyFill="1" applyAlignment="1">
      <alignment horizontal="center"/>
    </xf>
    <xf numFmtId="167" fontId="3" fillId="6" borderId="0" xfId="0" applyNumberFormat="1" applyFont="1" applyFill="1" applyAlignment="1">
      <alignment horizontal="center"/>
    </xf>
    <xf numFmtId="168" fontId="3" fillId="5" borderId="0" xfId="0" applyNumberFormat="1" applyFont="1" applyFill="1" applyAlignment="1">
      <alignment horizontal="center"/>
    </xf>
    <xf numFmtId="168" fontId="3" fillId="4" borderId="0" xfId="0" applyNumberFormat="1" applyFont="1" applyFill="1" applyAlignment="1">
      <alignment horizontal="center"/>
    </xf>
    <xf numFmtId="168" fontId="3" fillId="6" borderId="0" xfId="0" applyNumberFormat="1" applyFont="1" applyFill="1" applyAlignment="1">
      <alignment horizontal="center"/>
    </xf>
    <xf numFmtId="169" fontId="3" fillId="5" borderId="0" xfId="0" applyNumberFormat="1" applyFont="1" applyFill="1" applyAlignment="1">
      <alignment horizontal="center"/>
    </xf>
    <xf numFmtId="166" fontId="3" fillId="6" borderId="0" xfId="0" applyNumberFormat="1" applyFont="1" applyFill="1" applyAlignment="1">
      <alignment horizontal="center"/>
    </xf>
    <xf numFmtId="170" fontId="3" fillId="5" borderId="0" xfId="0" applyNumberFormat="1" applyFont="1" applyFill="1" applyAlignment="1">
      <alignment horizontal="center"/>
    </xf>
  </cellXfs>
  <cellStyles count="1">
    <cellStyle name="Normal" xfId="0" builtinId="0"/>
  </cellStyles>
  <dxfs count="0"/>
  <tableStyles count="0" defaultTableStyle="TableStyleMedium9" defaultPivotStyle="PivotStyleLight16"/>
  <colors>
    <mruColors>
      <color rgb="FFE9E9E9"/>
      <color rgb="FF999999"/>
      <color rgb="FF0066CC"/>
      <color rgb="FFFF6633"/>
      <color rgb="FFFFFFCC"/>
      <color rgb="FFFFCCFF"/>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64"/>
  <sheetViews>
    <sheetView showGridLines="0" workbookViewId="0">
      <pane ySplit="1" topLeftCell="A2" activePane="bottomLeft" state="frozen"/>
      <selection pane="bottomLeft"/>
    </sheetView>
  </sheetViews>
  <sheetFormatPr defaultRowHeight="15" x14ac:dyDescent="0.25"/>
  <cols>
    <col min="1" max="1" width="16.7109375" customWidth="1"/>
    <col min="2" max="2" width="112.7109375" customWidth="1"/>
    <col min="3" max="251" width="32.7109375" customWidth="1"/>
  </cols>
  <sheetData>
    <row r="1" spans="1:1" ht="21" customHeight="1" x14ac:dyDescent="0.3">
      <c r="A1" s="1" t="str">
        <f>"Index for "&amp;Input!B7&amp;" in "&amp;Input!C7&amp;" ("&amp;Input!D7&amp;")"</f>
        <v>Index for Electricity North West in 2017/2018 (December 2015)</v>
      </c>
    </row>
    <row r="3" spans="1:1" x14ac:dyDescent="0.25">
      <c r="A3" s="2" t="s">
        <v>1858</v>
      </c>
    </row>
    <row r="4" spans="1:1" x14ac:dyDescent="0.25">
      <c r="A4" s="2" t="s">
        <v>1859</v>
      </c>
    </row>
    <row r="5" spans="1:1" x14ac:dyDescent="0.25">
      <c r="A5" s="2" t="s">
        <v>1860</v>
      </c>
    </row>
    <row r="6" spans="1:1" x14ac:dyDescent="0.25">
      <c r="A6" s="2" t="s">
        <v>1861</v>
      </c>
    </row>
    <row r="8" spans="1:1" x14ac:dyDescent="0.25">
      <c r="A8" s="3" t="s">
        <v>1862</v>
      </c>
    </row>
    <row r="10" spans="1:1" x14ac:dyDescent="0.25">
      <c r="A10" s="2" t="s">
        <v>1863</v>
      </c>
    </row>
    <row r="11" spans="1:1" x14ac:dyDescent="0.25">
      <c r="A11" s="2" t="s">
        <v>1864</v>
      </c>
    </row>
    <row r="12" spans="1:1" x14ac:dyDescent="0.25">
      <c r="A12" s="2" t="s">
        <v>1865</v>
      </c>
    </row>
    <row r="13" spans="1:1" x14ac:dyDescent="0.25">
      <c r="A13" s="2" t="s">
        <v>1866</v>
      </c>
    </row>
    <row r="14" spans="1:1" x14ac:dyDescent="0.25">
      <c r="A14" s="2" t="s">
        <v>1867</v>
      </c>
    </row>
    <row r="15" spans="1:1" x14ac:dyDescent="0.25">
      <c r="A15" s="2" t="s">
        <v>1868</v>
      </c>
    </row>
    <row r="17" spans="1:3" x14ac:dyDescent="0.25">
      <c r="A17" s="2" t="s">
        <v>1869</v>
      </c>
    </row>
    <row r="18" spans="1:3" x14ac:dyDescent="0.25">
      <c r="A18" s="2" t="s">
        <v>1870</v>
      </c>
    </row>
    <row r="19" spans="1:3" x14ac:dyDescent="0.25">
      <c r="A19" s="2" t="s">
        <v>1871</v>
      </c>
      <c r="C19" s="4" t="s">
        <v>1879</v>
      </c>
    </row>
    <row r="20" spans="1:3" x14ac:dyDescent="0.25">
      <c r="A20" s="2" t="s">
        <v>1872</v>
      </c>
      <c r="C20" s="5" t="s">
        <v>1880</v>
      </c>
    </row>
    <row r="21" spans="1:3" x14ac:dyDescent="0.25">
      <c r="A21" s="2" t="s">
        <v>1873</v>
      </c>
      <c r="C21" s="6" t="s">
        <v>1881</v>
      </c>
    </row>
    <row r="22" spans="1:3" x14ac:dyDescent="0.25">
      <c r="A22" s="2" t="s">
        <v>1874</v>
      </c>
      <c r="C22" s="7" t="s">
        <v>1882</v>
      </c>
    </row>
    <row r="23" spans="1:3" x14ac:dyDescent="0.25">
      <c r="A23" s="2" t="s">
        <v>1875</v>
      </c>
      <c r="C23" s="8" t="s">
        <v>1883</v>
      </c>
    </row>
    <row r="24" spans="1:3" x14ac:dyDescent="0.25">
      <c r="A24" s="2" t="s">
        <v>1876</v>
      </c>
      <c r="C24" s="9" t="s">
        <v>1884</v>
      </c>
    </row>
    <row r="25" spans="1:3" x14ac:dyDescent="0.25">
      <c r="A25" s="2" t="s">
        <v>1877</v>
      </c>
      <c r="C25" s="10" t="s">
        <v>1885</v>
      </c>
    </row>
    <row r="26" spans="1:3" x14ac:dyDescent="0.25">
      <c r="A26" s="2" t="s">
        <v>1878</v>
      </c>
      <c r="C26" s="11" t="s">
        <v>1886</v>
      </c>
    </row>
    <row r="28" spans="1:3" x14ac:dyDescent="0.25">
      <c r="A28" s="12" t="s">
        <v>1887</v>
      </c>
      <c r="B28" s="12" t="s">
        <v>1888</v>
      </c>
      <c r="C28" s="12" t="s">
        <v>1889</v>
      </c>
    </row>
    <row r="29" spans="1:3" x14ac:dyDescent="0.25">
      <c r="A29" s="13" t="s">
        <v>1890</v>
      </c>
      <c r="B29" s="14" t="s">
        <v>0</v>
      </c>
      <c r="C29" s="13" t="s">
        <v>1880</v>
      </c>
    </row>
    <row r="30" spans="1:3" x14ac:dyDescent="0.25">
      <c r="A30" s="13" t="s">
        <v>1890</v>
      </c>
      <c r="B30" s="14" t="s">
        <v>5</v>
      </c>
      <c r="C30" s="13" t="s">
        <v>1891</v>
      </c>
    </row>
    <row r="31" spans="1:3" x14ac:dyDescent="0.25">
      <c r="A31" s="13" t="s">
        <v>1890</v>
      </c>
      <c r="B31" s="14" t="s">
        <v>123</v>
      </c>
      <c r="C31" s="13" t="s">
        <v>1891</v>
      </c>
    </row>
    <row r="32" spans="1:3" x14ac:dyDescent="0.25">
      <c r="A32" s="13" t="s">
        <v>1890</v>
      </c>
      <c r="B32" s="14" t="s">
        <v>132</v>
      </c>
      <c r="C32" s="13" t="s">
        <v>1880</v>
      </c>
    </row>
    <row r="33" spans="1:3" x14ac:dyDescent="0.25">
      <c r="A33" s="13" t="s">
        <v>1890</v>
      </c>
      <c r="B33" s="14" t="s">
        <v>147</v>
      </c>
      <c r="C33" s="13" t="s">
        <v>1880</v>
      </c>
    </row>
    <row r="34" spans="1:3" x14ac:dyDescent="0.25">
      <c r="A34" s="13" t="s">
        <v>1890</v>
      </c>
      <c r="B34" s="14" t="s">
        <v>149</v>
      </c>
      <c r="C34" s="13" t="s">
        <v>1880</v>
      </c>
    </row>
    <row r="35" spans="1:3" x14ac:dyDescent="0.25">
      <c r="A35" s="13" t="s">
        <v>1890</v>
      </c>
      <c r="B35" s="14" t="s">
        <v>151</v>
      </c>
      <c r="C35" s="13" t="s">
        <v>1880</v>
      </c>
    </row>
    <row r="36" spans="1:3" x14ac:dyDescent="0.25">
      <c r="A36" s="13" t="s">
        <v>1890</v>
      </c>
      <c r="B36" s="14" t="s">
        <v>153</v>
      </c>
      <c r="C36" s="13" t="s">
        <v>1880</v>
      </c>
    </row>
    <row r="37" spans="1:3" x14ac:dyDescent="0.25">
      <c r="A37" s="13" t="s">
        <v>1890</v>
      </c>
      <c r="B37" s="14" t="s">
        <v>163</v>
      </c>
      <c r="C37" s="13" t="s">
        <v>1880</v>
      </c>
    </row>
    <row r="38" spans="1:3" x14ac:dyDescent="0.25">
      <c r="A38" s="13" t="s">
        <v>1890</v>
      </c>
      <c r="B38" s="14" t="s">
        <v>170</v>
      </c>
      <c r="C38" s="13" t="s">
        <v>1880</v>
      </c>
    </row>
    <row r="39" spans="1:3" x14ac:dyDescent="0.25">
      <c r="A39" s="13" t="s">
        <v>1890</v>
      </c>
      <c r="B39" s="14" t="s">
        <v>187</v>
      </c>
      <c r="C39" s="13" t="s">
        <v>1880</v>
      </c>
    </row>
    <row r="40" spans="1:3" x14ac:dyDescent="0.25">
      <c r="A40" s="13" t="s">
        <v>1890</v>
      </c>
      <c r="B40" s="14" t="s">
        <v>191</v>
      </c>
      <c r="C40" s="13" t="s">
        <v>1880</v>
      </c>
    </row>
    <row r="41" spans="1:3" x14ac:dyDescent="0.25">
      <c r="A41" s="13" t="s">
        <v>1890</v>
      </c>
      <c r="B41" s="14" t="s">
        <v>196</v>
      </c>
      <c r="C41" s="13" t="s">
        <v>1880</v>
      </c>
    </row>
    <row r="42" spans="1:3" x14ac:dyDescent="0.25">
      <c r="A42" s="13" t="s">
        <v>1890</v>
      </c>
      <c r="B42" s="14" t="s">
        <v>199</v>
      </c>
      <c r="C42" s="13" t="s">
        <v>1880</v>
      </c>
    </row>
    <row r="43" spans="1:3" x14ac:dyDescent="0.25">
      <c r="A43" s="13" t="s">
        <v>1890</v>
      </c>
      <c r="B43" s="14" t="s">
        <v>207</v>
      </c>
      <c r="C43" s="13" t="s">
        <v>1880</v>
      </c>
    </row>
    <row r="44" spans="1:3" x14ac:dyDescent="0.25">
      <c r="A44" s="13" t="s">
        <v>1890</v>
      </c>
      <c r="B44" s="14" t="s">
        <v>209</v>
      </c>
      <c r="C44" s="13" t="s">
        <v>1880</v>
      </c>
    </row>
    <row r="45" spans="1:3" x14ac:dyDescent="0.25">
      <c r="A45" s="13" t="s">
        <v>1890</v>
      </c>
      <c r="B45" s="14" t="s">
        <v>220</v>
      </c>
      <c r="C45" s="13" t="s">
        <v>1880</v>
      </c>
    </row>
    <row r="46" spans="1:3" x14ac:dyDescent="0.25">
      <c r="A46" s="13" t="s">
        <v>1890</v>
      </c>
      <c r="B46" s="14" t="s">
        <v>300</v>
      </c>
      <c r="C46" s="13" t="s">
        <v>1880</v>
      </c>
    </row>
    <row r="47" spans="1:3" x14ac:dyDescent="0.25">
      <c r="A47" s="13" t="s">
        <v>1890</v>
      </c>
      <c r="B47" s="14" t="s">
        <v>303</v>
      </c>
      <c r="C47" s="13" t="s">
        <v>1880</v>
      </c>
    </row>
    <row r="48" spans="1:3" x14ac:dyDescent="0.25">
      <c r="A48" s="13" t="s">
        <v>1890</v>
      </c>
      <c r="B48" s="14" t="s">
        <v>309</v>
      </c>
      <c r="C48" s="13" t="s">
        <v>1880</v>
      </c>
    </row>
    <row r="49" spans="1:3" x14ac:dyDescent="0.25">
      <c r="A49" s="13" t="s">
        <v>1890</v>
      </c>
      <c r="B49" s="14" t="s">
        <v>325</v>
      </c>
      <c r="C49" s="13" t="s">
        <v>1880</v>
      </c>
    </row>
    <row r="50" spans="1:3" x14ac:dyDescent="0.25">
      <c r="A50" s="13" t="s">
        <v>1890</v>
      </c>
      <c r="B50" s="14" t="s">
        <v>329</v>
      </c>
      <c r="C50" s="13" t="s">
        <v>1880</v>
      </c>
    </row>
    <row r="51" spans="1:3" x14ac:dyDescent="0.25">
      <c r="A51" s="13" t="s">
        <v>1890</v>
      </c>
      <c r="B51" s="14" t="s">
        <v>330</v>
      </c>
      <c r="C51" s="13" t="s">
        <v>1880</v>
      </c>
    </row>
    <row r="52" spans="1:3" x14ac:dyDescent="0.25">
      <c r="A52" s="13" t="s">
        <v>1890</v>
      </c>
      <c r="B52" s="14" t="s">
        <v>333</v>
      </c>
      <c r="C52" s="13" t="s">
        <v>1880</v>
      </c>
    </row>
    <row r="53" spans="1:3" x14ac:dyDescent="0.25">
      <c r="A53" s="13" t="s">
        <v>1890</v>
      </c>
      <c r="B53" s="14" t="s">
        <v>337</v>
      </c>
      <c r="C53" s="13" t="s">
        <v>1880</v>
      </c>
    </row>
    <row r="54" spans="1:3" x14ac:dyDescent="0.25">
      <c r="A54" s="13" t="s">
        <v>1890</v>
      </c>
      <c r="B54" s="14" t="s">
        <v>338</v>
      </c>
      <c r="C54" s="13" t="s">
        <v>1880</v>
      </c>
    </row>
    <row r="55" spans="1:3" x14ac:dyDescent="0.25">
      <c r="A55" s="13" t="s">
        <v>1890</v>
      </c>
      <c r="B55" s="14" t="s">
        <v>342</v>
      </c>
      <c r="C55" s="13" t="s">
        <v>1880</v>
      </c>
    </row>
    <row r="56" spans="1:3" x14ac:dyDescent="0.25">
      <c r="A56" s="13" t="s">
        <v>1892</v>
      </c>
      <c r="B56" s="14" t="s">
        <v>349</v>
      </c>
      <c r="C56" s="13" t="s">
        <v>1891</v>
      </c>
    </row>
    <row r="57" spans="1:3" x14ac:dyDescent="0.25">
      <c r="A57" s="13" t="s">
        <v>1892</v>
      </c>
      <c r="B57" s="14" t="s">
        <v>360</v>
      </c>
      <c r="C57" s="13" t="s">
        <v>354</v>
      </c>
    </row>
    <row r="58" spans="1:3" x14ac:dyDescent="0.25">
      <c r="A58" s="13" t="s">
        <v>1892</v>
      </c>
      <c r="B58" s="14" t="s">
        <v>361</v>
      </c>
      <c r="C58" s="13" t="s">
        <v>355</v>
      </c>
    </row>
    <row r="59" spans="1:3" x14ac:dyDescent="0.25">
      <c r="A59" s="13" t="s">
        <v>1892</v>
      </c>
      <c r="B59" s="14" t="s">
        <v>365</v>
      </c>
      <c r="C59" s="13" t="s">
        <v>517</v>
      </c>
    </row>
    <row r="60" spans="1:3" x14ac:dyDescent="0.25">
      <c r="A60" s="13" t="s">
        <v>1892</v>
      </c>
      <c r="B60" s="14" t="s">
        <v>370</v>
      </c>
      <c r="C60" s="13" t="s">
        <v>354</v>
      </c>
    </row>
    <row r="61" spans="1:3" x14ac:dyDescent="0.25">
      <c r="A61" s="13" t="s">
        <v>1892</v>
      </c>
      <c r="B61" s="14" t="s">
        <v>374</v>
      </c>
      <c r="C61" s="13" t="s">
        <v>483</v>
      </c>
    </row>
    <row r="62" spans="1:3" x14ac:dyDescent="0.25">
      <c r="A62" s="13" t="s">
        <v>1892</v>
      </c>
      <c r="B62" s="14" t="s">
        <v>377</v>
      </c>
      <c r="C62" s="13" t="s">
        <v>483</v>
      </c>
    </row>
    <row r="63" spans="1:3" x14ac:dyDescent="0.25">
      <c r="A63" s="13" t="s">
        <v>1892</v>
      </c>
      <c r="B63" s="14" t="s">
        <v>378</v>
      </c>
      <c r="C63" s="13" t="s">
        <v>483</v>
      </c>
    </row>
    <row r="64" spans="1:3" x14ac:dyDescent="0.25">
      <c r="A64" s="13" t="s">
        <v>1892</v>
      </c>
      <c r="B64" s="14" t="s">
        <v>379</v>
      </c>
      <c r="C64" s="13" t="s">
        <v>517</v>
      </c>
    </row>
    <row r="65" spans="1:3" x14ac:dyDescent="0.25">
      <c r="A65" s="13" t="s">
        <v>1892</v>
      </c>
      <c r="B65" s="14" t="s">
        <v>386</v>
      </c>
      <c r="C65" s="13" t="s">
        <v>355</v>
      </c>
    </row>
    <row r="66" spans="1:3" x14ac:dyDescent="0.25">
      <c r="A66" s="13" t="s">
        <v>1892</v>
      </c>
      <c r="B66" s="14" t="s">
        <v>389</v>
      </c>
      <c r="C66" s="13" t="s">
        <v>517</v>
      </c>
    </row>
    <row r="67" spans="1:3" x14ac:dyDescent="0.25">
      <c r="A67" s="13" t="s">
        <v>1892</v>
      </c>
      <c r="B67" s="14" t="s">
        <v>394</v>
      </c>
      <c r="C67" s="13" t="s">
        <v>483</v>
      </c>
    </row>
    <row r="68" spans="1:3" x14ac:dyDescent="0.25">
      <c r="A68" s="13" t="s">
        <v>1893</v>
      </c>
      <c r="B68" s="14" t="s">
        <v>400</v>
      </c>
      <c r="C68" s="13" t="s">
        <v>483</v>
      </c>
    </row>
    <row r="69" spans="1:3" x14ac:dyDescent="0.25">
      <c r="A69" s="13" t="s">
        <v>1893</v>
      </c>
      <c r="B69" s="14" t="s">
        <v>406</v>
      </c>
      <c r="C69" s="13" t="s">
        <v>517</v>
      </c>
    </row>
    <row r="70" spans="1:3" x14ac:dyDescent="0.25">
      <c r="A70" s="13" t="s">
        <v>1893</v>
      </c>
      <c r="B70" s="14" t="s">
        <v>409</v>
      </c>
      <c r="C70" s="13" t="s">
        <v>1891</v>
      </c>
    </row>
    <row r="71" spans="1:3" x14ac:dyDescent="0.25">
      <c r="A71" s="13" t="s">
        <v>1893</v>
      </c>
      <c r="B71" s="14" t="s">
        <v>418</v>
      </c>
      <c r="C71" s="13" t="s">
        <v>421</v>
      </c>
    </row>
    <row r="72" spans="1:3" x14ac:dyDescent="0.25">
      <c r="A72" s="13" t="s">
        <v>1893</v>
      </c>
      <c r="B72" s="14" t="s">
        <v>427</v>
      </c>
      <c r="C72" s="13" t="s">
        <v>483</v>
      </c>
    </row>
    <row r="73" spans="1:3" x14ac:dyDescent="0.25">
      <c r="A73" s="13" t="s">
        <v>1893</v>
      </c>
      <c r="B73" s="14" t="s">
        <v>432</v>
      </c>
      <c r="C73" s="13" t="s">
        <v>483</v>
      </c>
    </row>
    <row r="74" spans="1:3" x14ac:dyDescent="0.25">
      <c r="A74" s="13" t="s">
        <v>1893</v>
      </c>
      <c r="B74" s="14" t="s">
        <v>438</v>
      </c>
      <c r="C74" s="13" t="s">
        <v>517</v>
      </c>
    </row>
    <row r="75" spans="1:3" x14ac:dyDescent="0.25">
      <c r="A75" s="13" t="s">
        <v>1893</v>
      </c>
      <c r="B75" s="14" t="s">
        <v>440</v>
      </c>
      <c r="C75" s="13" t="s">
        <v>355</v>
      </c>
    </row>
    <row r="76" spans="1:3" x14ac:dyDescent="0.25">
      <c r="A76" s="13" t="s">
        <v>1893</v>
      </c>
      <c r="B76" s="14" t="s">
        <v>444</v>
      </c>
      <c r="C76" s="13" t="s">
        <v>483</v>
      </c>
    </row>
    <row r="77" spans="1:3" x14ac:dyDescent="0.25">
      <c r="A77" s="13" t="s">
        <v>1894</v>
      </c>
      <c r="B77" s="14" t="s">
        <v>459</v>
      </c>
      <c r="C77" s="13" t="s">
        <v>355</v>
      </c>
    </row>
    <row r="78" spans="1:3" x14ac:dyDescent="0.25">
      <c r="A78" s="13" t="s">
        <v>1894</v>
      </c>
      <c r="B78" s="14" t="s">
        <v>463</v>
      </c>
      <c r="C78" s="13" t="s">
        <v>355</v>
      </c>
    </row>
    <row r="79" spans="1:3" x14ac:dyDescent="0.25">
      <c r="A79" s="13" t="s">
        <v>1894</v>
      </c>
      <c r="B79" s="14" t="s">
        <v>466</v>
      </c>
      <c r="C79" s="13" t="s">
        <v>483</v>
      </c>
    </row>
    <row r="80" spans="1:3" x14ac:dyDescent="0.25">
      <c r="A80" s="13" t="s">
        <v>1894</v>
      </c>
      <c r="B80" s="14" t="s">
        <v>471</v>
      </c>
      <c r="C80" s="13" t="s">
        <v>355</v>
      </c>
    </row>
    <row r="81" spans="1:3" x14ac:dyDescent="0.25">
      <c r="A81" s="13" t="s">
        <v>1894</v>
      </c>
      <c r="B81" s="14" t="s">
        <v>475</v>
      </c>
      <c r="C81" s="13" t="s">
        <v>517</v>
      </c>
    </row>
    <row r="82" spans="1:3" x14ac:dyDescent="0.25">
      <c r="A82" s="13" t="s">
        <v>1894</v>
      </c>
      <c r="B82" s="14" t="s">
        <v>478</v>
      </c>
      <c r="C82" s="13" t="s">
        <v>1891</v>
      </c>
    </row>
    <row r="83" spans="1:3" x14ac:dyDescent="0.25">
      <c r="A83" s="13" t="s">
        <v>1895</v>
      </c>
      <c r="B83" s="14" t="s">
        <v>496</v>
      </c>
      <c r="C83" s="13" t="s">
        <v>483</v>
      </c>
    </row>
    <row r="84" spans="1:3" x14ac:dyDescent="0.25">
      <c r="A84" s="13" t="s">
        <v>1895</v>
      </c>
      <c r="B84" s="14" t="s">
        <v>500</v>
      </c>
      <c r="C84" s="13" t="s">
        <v>517</v>
      </c>
    </row>
    <row r="85" spans="1:3" x14ac:dyDescent="0.25">
      <c r="A85" s="13" t="s">
        <v>1895</v>
      </c>
      <c r="B85" s="14" t="s">
        <v>504</v>
      </c>
      <c r="C85" s="13" t="s">
        <v>354</v>
      </c>
    </row>
    <row r="86" spans="1:3" x14ac:dyDescent="0.25">
      <c r="A86" s="13" t="s">
        <v>1895</v>
      </c>
      <c r="B86" s="14" t="s">
        <v>505</v>
      </c>
      <c r="C86" s="13" t="s">
        <v>1891</v>
      </c>
    </row>
    <row r="87" spans="1:3" x14ac:dyDescent="0.25">
      <c r="A87" s="13" t="s">
        <v>1895</v>
      </c>
      <c r="B87" s="14" t="s">
        <v>527</v>
      </c>
      <c r="C87" s="13" t="s">
        <v>484</v>
      </c>
    </row>
    <row r="88" spans="1:3" x14ac:dyDescent="0.25">
      <c r="A88" s="13" t="s">
        <v>1896</v>
      </c>
      <c r="B88" s="14" t="s">
        <v>539</v>
      </c>
      <c r="C88" s="13" t="s">
        <v>1891</v>
      </c>
    </row>
    <row r="89" spans="1:3" x14ac:dyDescent="0.25">
      <c r="A89" s="13" t="s">
        <v>1896</v>
      </c>
      <c r="B89" s="14" t="s">
        <v>547</v>
      </c>
      <c r="C89" s="13" t="s">
        <v>1891</v>
      </c>
    </row>
    <row r="90" spans="1:3" x14ac:dyDescent="0.25">
      <c r="A90" s="13" t="s">
        <v>1896</v>
      </c>
      <c r="B90" s="14" t="s">
        <v>555</v>
      </c>
      <c r="C90" s="13" t="s">
        <v>517</v>
      </c>
    </row>
    <row r="91" spans="1:3" x14ac:dyDescent="0.25">
      <c r="A91" s="13" t="s">
        <v>1896</v>
      </c>
      <c r="B91" s="14" t="s">
        <v>558</v>
      </c>
      <c r="C91" s="13" t="s">
        <v>1891</v>
      </c>
    </row>
    <row r="92" spans="1:3" x14ac:dyDescent="0.25">
      <c r="A92" s="13" t="s">
        <v>1896</v>
      </c>
      <c r="B92" s="14" t="s">
        <v>562</v>
      </c>
      <c r="C92" s="13" t="s">
        <v>517</v>
      </c>
    </row>
    <row r="93" spans="1:3" x14ac:dyDescent="0.25">
      <c r="A93" s="13" t="s">
        <v>1896</v>
      </c>
      <c r="B93" s="14" t="s">
        <v>565</v>
      </c>
      <c r="C93" s="13" t="s">
        <v>354</v>
      </c>
    </row>
    <row r="94" spans="1:3" x14ac:dyDescent="0.25">
      <c r="A94" s="13" t="s">
        <v>1896</v>
      </c>
      <c r="B94" s="14" t="s">
        <v>566</v>
      </c>
      <c r="C94" s="13" t="s">
        <v>483</v>
      </c>
    </row>
    <row r="95" spans="1:3" x14ac:dyDescent="0.25">
      <c r="A95" s="13" t="s">
        <v>1896</v>
      </c>
      <c r="B95" s="14" t="s">
        <v>572</v>
      </c>
      <c r="C95" s="13" t="s">
        <v>483</v>
      </c>
    </row>
    <row r="96" spans="1:3" x14ac:dyDescent="0.25">
      <c r="A96" s="13" t="s">
        <v>1896</v>
      </c>
      <c r="B96" s="14" t="s">
        <v>583</v>
      </c>
      <c r="C96" s="13" t="s">
        <v>483</v>
      </c>
    </row>
    <row r="97" spans="1:3" x14ac:dyDescent="0.25">
      <c r="A97" s="13" t="s">
        <v>1896</v>
      </c>
      <c r="B97" s="14" t="s">
        <v>593</v>
      </c>
      <c r="C97" s="13" t="s">
        <v>483</v>
      </c>
    </row>
    <row r="98" spans="1:3" x14ac:dyDescent="0.25">
      <c r="A98" s="13" t="s">
        <v>1896</v>
      </c>
      <c r="B98" s="14" t="s">
        <v>603</v>
      </c>
      <c r="C98" s="13" t="s">
        <v>1891</v>
      </c>
    </row>
    <row r="99" spans="1:3" x14ac:dyDescent="0.25">
      <c r="A99" s="13" t="s">
        <v>1896</v>
      </c>
      <c r="B99" s="14" t="s">
        <v>613</v>
      </c>
      <c r="C99" s="13" t="s">
        <v>1891</v>
      </c>
    </row>
    <row r="100" spans="1:3" x14ac:dyDescent="0.25">
      <c r="A100" s="13" t="s">
        <v>1896</v>
      </c>
      <c r="B100" s="14" t="s">
        <v>621</v>
      </c>
      <c r="C100" s="13" t="s">
        <v>1897</v>
      </c>
    </row>
    <row r="101" spans="1:3" x14ac:dyDescent="0.25">
      <c r="A101" s="13" t="s">
        <v>1896</v>
      </c>
      <c r="B101" s="14" t="s">
        <v>625</v>
      </c>
      <c r="C101" s="13" t="s">
        <v>483</v>
      </c>
    </row>
    <row r="102" spans="1:3" x14ac:dyDescent="0.25">
      <c r="A102" s="13" t="s">
        <v>1896</v>
      </c>
      <c r="B102" s="14" t="s">
        <v>630</v>
      </c>
      <c r="C102" s="13" t="s">
        <v>412</v>
      </c>
    </row>
    <row r="103" spans="1:3" x14ac:dyDescent="0.25">
      <c r="A103" s="13" t="s">
        <v>1896</v>
      </c>
      <c r="B103" s="14" t="s">
        <v>633</v>
      </c>
      <c r="C103" s="13" t="s">
        <v>412</v>
      </c>
    </row>
    <row r="104" spans="1:3" x14ac:dyDescent="0.25">
      <c r="A104" s="13" t="s">
        <v>1896</v>
      </c>
      <c r="B104" s="14" t="s">
        <v>635</v>
      </c>
      <c r="C104" s="13" t="s">
        <v>412</v>
      </c>
    </row>
    <row r="105" spans="1:3" x14ac:dyDescent="0.25">
      <c r="A105" s="13" t="s">
        <v>1896</v>
      </c>
      <c r="B105" s="14" t="s">
        <v>637</v>
      </c>
      <c r="C105" s="13" t="s">
        <v>355</v>
      </c>
    </row>
    <row r="106" spans="1:3" x14ac:dyDescent="0.25">
      <c r="A106" s="13" t="s">
        <v>1896</v>
      </c>
      <c r="B106" s="14" t="s">
        <v>640</v>
      </c>
      <c r="C106" s="13" t="s">
        <v>412</v>
      </c>
    </row>
    <row r="107" spans="1:3" x14ac:dyDescent="0.25">
      <c r="A107" s="13" t="s">
        <v>1896</v>
      </c>
      <c r="B107" s="14" t="s">
        <v>642</v>
      </c>
      <c r="C107" s="13" t="s">
        <v>412</v>
      </c>
    </row>
    <row r="108" spans="1:3" x14ac:dyDescent="0.25">
      <c r="A108" s="13" t="s">
        <v>1896</v>
      </c>
      <c r="B108" s="14" t="s">
        <v>643</v>
      </c>
      <c r="C108" s="13" t="s">
        <v>412</v>
      </c>
    </row>
    <row r="109" spans="1:3" x14ac:dyDescent="0.25">
      <c r="A109" s="13" t="s">
        <v>1896</v>
      </c>
      <c r="B109" s="14" t="s">
        <v>645</v>
      </c>
      <c r="C109" s="13" t="s">
        <v>355</v>
      </c>
    </row>
    <row r="110" spans="1:3" x14ac:dyDescent="0.25">
      <c r="A110" s="13" t="s">
        <v>1896</v>
      </c>
      <c r="B110" s="14" t="s">
        <v>648</v>
      </c>
      <c r="C110" s="13" t="s">
        <v>412</v>
      </c>
    </row>
    <row r="111" spans="1:3" x14ac:dyDescent="0.25">
      <c r="A111" s="13" t="s">
        <v>1896</v>
      </c>
      <c r="B111" s="14" t="s">
        <v>650</v>
      </c>
      <c r="C111" s="13" t="s">
        <v>412</v>
      </c>
    </row>
    <row r="112" spans="1:3" x14ac:dyDescent="0.25">
      <c r="A112" s="13" t="s">
        <v>1896</v>
      </c>
      <c r="B112" s="14" t="s">
        <v>651</v>
      </c>
      <c r="C112" s="13" t="s">
        <v>412</v>
      </c>
    </row>
    <row r="113" spans="1:3" x14ac:dyDescent="0.25">
      <c r="A113" s="13" t="s">
        <v>1896</v>
      </c>
      <c r="B113" s="14" t="s">
        <v>652</v>
      </c>
      <c r="C113" s="13" t="s">
        <v>355</v>
      </c>
    </row>
    <row r="114" spans="1:3" x14ac:dyDescent="0.25">
      <c r="A114" s="13" t="s">
        <v>1896</v>
      </c>
      <c r="B114" s="14" t="s">
        <v>655</v>
      </c>
      <c r="C114" s="13" t="s">
        <v>412</v>
      </c>
    </row>
    <row r="115" spans="1:3" x14ac:dyDescent="0.25">
      <c r="A115" s="13" t="s">
        <v>1896</v>
      </c>
      <c r="B115" s="14" t="s">
        <v>657</v>
      </c>
      <c r="C115" s="13" t="s">
        <v>412</v>
      </c>
    </row>
    <row r="116" spans="1:3" x14ac:dyDescent="0.25">
      <c r="A116" s="13" t="s">
        <v>1896</v>
      </c>
      <c r="B116" s="14" t="s">
        <v>658</v>
      </c>
      <c r="C116" s="13" t="s">
        <v>412</v>
      </c>
    </row>
    <row r="117" spans="1:3" x14ac:dyDescent="0.25">
      <c r="A117" s="13" t="s">
        <v>1896</v>
      </c>
      <c r="B117" s="14" t="s">
        <v>660</v>
      </c>
      <c r="C117" s="13" t="s">
        <v>355</v>
      </c>
    </row>
    <row r="118" spans="1:3" x14ac:dyDescent="0.25">
      <c r="A118" s="13" t="s">
        <v>1896</v>
      </c>
      <c r="B118" s="14" t="s">
        <v>663</v>
      </c>
      <c r="C118" s="13" t="s">
        <v>483</v>
      </c>
    </row>
    <row r="119" spans="1:3" x14ac:dyDescent="0.25">
      <c r="A119" s="13" t="s">
        <v>1896</v>
      </c>
      <c r="B119" s="14" t="s">
        <v>673</v>
      </c>
      <c r="C119" s="13" t="s">
        <v>483</v>
      </c>
    </row>
    <row r="120" spans="1:3" x14ac:dyDescent="0.25">
      <c r="A120" s="13" t="s">
        <v>1896</v>
      </c>
      <c r="B120" s="14" t="s">
        <v>676</v>
      </c>
      <c r="C120" s="13" t="s">
        <v>355</v>
      </c>
    </row>
    <row r="121" spans="1:3" x14ac:dyDescent="0.25">
      <c r="A121" s="13" t="s">
        <v>1896</v>
      </c>
      <c r="B121" s="14" t="s">
        <v>678</v>
      </c>
      <c r="C121" s="13" t="s">
        <v>483</v>
      </c>
    </row>
    <row r="122" spans="1:3" x14ac:dyDescent="0.25">
      <c r="A122" s="13" t="s">
        <v>1896</v>
      </c>
      <c r="B122" s="14" t="s">
        <v>681</v>
      </c>
      <c r="C122" s="13" t="s">
        <v>483</v>
      </c>
    </row>
    <row r="123" spans="1:3" x14ac:dyDescent="0.25">
      <c r="A123" s="13" t="s">
        <v>1896</v>
      </c>
      <c r="B123" s="14" t="s">
        <v>686</v>
      </c>
      <c r="C123" s="13" t="s">
        <v>483</v>
      </c>
    </row>
    <row r="124" spans="1:3" x14ac:dyDescent="0.25">
      <c r="A124" s="13" t="s">
        <v>1896</v>
      </c>
      <c r="B124" s="14" t="s">
        <v>689</v>
      </c>
      <c r="C124" s="13" t="s">
        <v>483</v>
      </c>
    </row>
    <row r="125" spans="1:3" x14ac:dyDescent="0.25">
      <c r="A125" s="13" t="s">
        <v>1896</v>
      </c>
      <c r="B125" s="14" t="s">
        <v>690</v>
      </c>
      <c r="C125" s="13" t="s">
        <v>483</v>
      </c>
    </row>
    <row r="126" spans="1:3" x14ac:dyDescent="0.25">
      <c r="A126" s="13" t="s">
        <v>1896</v>
      </c>
      <c r="B126" s="14" t="s">
        <v>691</v>
      </c>
      <c r="C126" s="13" t="s">
        <v>483</v>
      </c>
    </row>
    <row r="127" spans="1:3" x14ac:dyDescent="0.25">
      <c r="A127" s="13" t="s">
        <v>1896</v>
      </c>
      <c r="B127" s="14" t="s">
        <v>694</v>
      </c>
      <c r="C127" s="13" t="s">
        <v>517</v>
      </c>
    </row>
    <row r="128" spans="1:3" x14ac:dyDescent="0.25">
      <c r="A128" s="13" t="s">
        <v>1896</v>
      </c>
      <c r="B128" s="14" t="s">
        <v>700</v>
      </c>
      <c r="C128" s="13" t="s">
        <v>355</v>
      </c>
    </row>
    <row r="129" spans="1:3" x14ac:dyDescent="0.25">
      <c r="A129" s="13" t="s">
        <v>1896</v>
      </c>
      <c r="B129" s="14" t="s">
        <v>703</v>
      </c>
      <c r="C129" s="13" t="s">
        <v>355</v>
      </c>
    </row>
    <row r="130" spans="1:3" x14ac:dyDescent="0.25">
      <c r="A130" s="13" t="s">
        <v>1896</v>
      </c>
      <c r="B130" s="14" t="s">
        <v>705</v>
      </c>
      <c r="C130" s="13" t="s">
        <v>355</v>
      </c>
    </row>
    <row r="131" spans="1:3" x14ac:dyDescent="0.25">
      <c r="A131" s="13" t="s">
        <v>1896</v>
      </c>
      <c r="B131" s="14" t="s">
        <v>707</v>
      </c>
      <c r="C131" s="13" t="s">
        <v>1891</v>
      </c>
    </row>
    <row r="132" spans="1:3" x14ac:dyDescent="0.25">
      <c r="A132" s="13" t="s">
        <v>1896</v>
      </c>
      <c r="B132" s="14" t="s">
        <v>712</v>
      </c>
      <c r="C132" s="13" t="s">
        <v>1891</v>
      </c>
    </row>
    <row r="133" spans="1:3" x14ac:dyDescent="0.25">
      <c r="A133" s="13" t="s">
        <v>1896</v>
      </c>
      <c r="B133" s="14" t="s">
        <v>717</v>
      </c>
      <c r="C133" s="13" t="s">
        <v>517</v>
      </c>
    </row>
    <row r="134" spans="1:3" x14ac:dyDescent="0.25">
      <c r="A134" s="13" t="s">
        <v>1896</v>
      </c>
      <c r="B134" s="14" t="s">
        <v>720</v>
      </c>
      <c r="C134" s="13" t="s">
        <v>354</v>
      </c>
    </row>
    <row r="135" spans="1:3" x14ac:dyDescent="0.25">
      <c r="A135" s="13" t="s">
        <v>1896</v>
      </c>
      <c r="B135" s="14" t="s">
        <v>721</v>
      </c>
      <c r="C135" s="13" t="s">
        <v>354</v>
      </c>
    </row>
    <row r="136" spans="1:3" x14ac:dyDescent="0.25">
      <c r="A136" s="13" t="s">
        <v>1896</v>
      </c>
      <c r="B136" s="14" t="s">
        <v>722</v>
      </c>
      <c r="C136" s="13" t="s">
        <v>483</v>
      </c>
    </row>
    <row r="137" spans="1:3" x14ac:dyDescent="0.25">
      <c r="A137" s="13" t="s">
        <v>1896</v>
      </c>
      <c r="B137" s="14" t="s">
        <v>728</v>
      </c>
      <c r="C137" s="13" t="s">
        <v>483</v>
      </c>
    </row>
    <row r="138" spans="1:3" x14ac:dyDescent="0.25">
      <c r="A138" s="13" t="s">
        <v>1896</v>
      </c>
      <c r="B138" s="14" t="s">
        <v>735</v>
      </c>
      <c r="C138" s="13" t="s">
        <v>1891</v>
      </c>
    </row>
    <row r="139" spans="1:3" x14ac:dyDescent="0.25">
      <c r="A139" s="13" t="s">
        <v>1896</v>
      </c>
      <c r="B139" s="14" t="s">
        <v>748</v>
      </c>
      <c r="C139" s="13" t="s">
        <v>483</v>
      </c>
    </row>
    <row r="140" spans="1:3" x14ac:dyDescent="0.25">
      <c r="A140" s="13" t="s">
        <v>1896</v>
      </c>
      <c r="B140" s="14" t="s">
        <v>753</v>
      </c>
      <c r="C140" s="13" t="s">
        <v>1891</v>
      </c>
    </row>
    <row r="141" spans="1:3" x14ac:dyDescent="0.25">
      <c r="A141" s="13" t="s">
        <v>1896</v>
      </c>
      <c r="B141" s="14" t="s">
        <v>768</v>
      </c>
      <c r="C141" s="13" t="s">
        <v>517</v>
      </c>
    </row>
    <row r="142" spans="1:3" x14ac:dyDescent="0.25">
      <c r="A142" s="13" t="s">
        <v>1896</v>
      </c>
      <c r="B142" s="14" t="s">
        <v>772</v>
      </c>
      <c r="C142" s="13" t="s">
        <v>1897</v>
      </c>
    </row>
    <row r="143" spans="1:3" x14ac:dyDescent="0.25">
      <c r="A143" s="13" t="s">
        <v>1896</v>
      </c>
      <c r="B143" s="14" t="s">
        <v>774</v>
      </c>
      <c r="C143" s="13" t="s">
        <v>483</v>
      </c>
    </row>
    <row r="144" spans="1:3" x14ac:dyDescent="0.25">
      <c r="A144" s="13" t="s">
        <v>1896</v>
      </c>
      <c r="B144" s="14" t="s">
        <v>779</v>
      </c>
      <c r="C144" s="13" t="s">
        <v>355</v>
      </c>
    </row>
    <row r="145" spans="1:3" x14ac:dyDescent="0.25">
      <c r="A145" s="13" t="s">
        <v>1896</v>
      </c>
      <c r="B145" s="14" t="s">
        <v>782</v>
      </c>
      <c r="C145" s="13" t="s">
        <v>355</v>
      </c>
    </row>
    <row r="146" spans="1:3" x14ac:dyDescent="0.25">
      <c r="A146" s="13" t="s">
        <v>1896</v>
      </c>
      <c r="B146" s="14" t="s">
        <v>784</v>
      </c>
      <c r="C146" s="13" t="s">
        <v>355</v>
      </c>
    </row>
    <row r="147" spans="1:3" x14ac:dyDescent="0.25">
      <c r="A147" s="13" t="s">
        <v>1896</v>
      </c>
      <c r="B147" s="14" t="s">
        <v>786</v>
      </c>
      <c r="C147" s="13" t="s">
        <v>517</v>
      </c>
    </row>
    <row r="148" spans="1:3" x14ac:dyDescent="0.25">
      <c r="A148" s="13" t="s">
        <v>1896</v>
      </c>
      <c r="B148" s="14" t="s">
        <v>789</v>
      </c>
      <c r="C148" s="13" t="s">
        <v>517</v>
      </c>
    </row>
    <row r="149" spans="1:3" x14ac:dyDescent="0.25">
      <c r="A149" s="13" t="s">
        <v>1896</v>
      </c>
      <c r="B149" s="14" t="s">
        <v>792</v>
      </c>
      <c r="C149" s="13" t="s">
        <v>517</v>
      </c>
    </row>
    <row r="150" spans="1:3" x14ac:dyDescent="0.25">
      <c r="A150" s="13" t="s">
        <v>1898</v>
      </c>
      <c r="B150" s="14" t="s">
        <v>795</v>
      </c>
      <c r="C150" s="13" t="s">
        <v>483</v>
      </c>
    </row>
    <row r="151" spans="1:3" x14ac:dyDescent="0.25">
      <c r="A151" s="13" t="s">
        <v>1898</v>
      </c>
      <c r="B151" s="14" t="s">
        <v>799</v>
      </c>
      <c r="C151" s="13" t="s">
        <v>483</v>
      </c>
    </row>
    <row r="152" spans="1:3" x14ac:dyDescent="0.25">
      <c r="A152" s="13" t="s">
        <v>1898</v>
      </c>
      <c r="B152" s="14" t="s">
        <v>804</v>
      </c>
      <c r="C152" s="13" t="s">
        <v>483</v>
      </c>
    </row>
    <row r="153" spans="1:3" x14ac:dyDescent="0.25">
      <c r="A153" s="13" t="s">
        <v>1898</v>
      </c>
      <c r="B153" s="14" t="s">
        <v>809</v>
      </c>
      <c r="C153" s="13" t="s">
        <v>483</v>
      </c>
    </row>
    <row r="154" spans="1:3" x14ac:dyDescent="0.25">
      <c r="A154" s="13" t="s">
        <v>1898</v>
      </c>
      <c r="B154" s="14" t="s">
        <v>812</v>
      </c>
      <c r="C154" s="13" t="s">
        <v>517</v>
      </c>
    </row>
    <row r="155" spans="1:3" x14ac:dyDescent="0.25">
      <c r="A155" s="13" t="s">
        <v>1898</v>
      </c>
      <c r="B155" s="14" t="s">
        <v>818</v>
      </c>
      <c r="C155" s="13" t="s">
        <v>484</v>
      </c>
    </row>
    <row r="156" spans="1:3" x14ac:dyDescent="0.25">
      <c r="A156" s="13" t="s">
        <v>1899</v>
      </c>
      <c r="B156" s="14" t="s">
        <v>822</v>
      </c>
      <c r="C156" s="13" t="s">
        <v>1891</v>
      </c>
    </row>
    <row r="157" spans="1:3" x14ac:dyDescent="0.25">
      <c r="A157" s="13" t="s">
        <v>1899</v>
      </c>
      <c r="B157" s="14" t="s">
        <v>830</v>
      </c>
      <c r="C157" s="13" t="s">
        <v>517</v>
      </c>
    </row>
    <row r="158" spans="1:3" x14ac:dyDescent="0.25">
      <c r="A158" s="13" t="s">
        <v>1899</v>
      </c>
      <c r="B158" s="14" t="s">
        <v>834</v>
      </c>
      <c r="C158" s="13" t="s">
        <v>483</v>
      </c>
    </row>
    <row r="159" spans="1:3" x14ac:dyDescent="0.25">
      <c r="A159" s="13" t="s">
        <v>1899</v>
      </c>
      <c r="B159" s="14" t="s">
        <v>840</v>
      </c>
      <c r="C159" s="13" t="s">
        <v>483</v>
      </c>
    </row>
    <row r="160" spans="1:3" x14ac:dyDescent="0.25">
      <c r="A160" s="13" t="s">
        <v>1899</v>
      </c>
      <c r="B160" s="14" t="s">
        <v>842</v>
      </c>
      <c r="C160" s="13" t="s">
        <v>517</v>
      </c>
    </row>
    <row r="161" spans="1:3" x14ac:dyDescent="0.25">
      <c r="A161" s="13" t="s">
        <v>1899</v>
      </c>
      <c r="B161" s="14" t="s">
        <v>845</v>
      </c>
      <c r="C161" s="13" t="s">
        <v>484</v>
      </c>
    </row>
    <row r="162" spans="1:3" x14ac:dyDescent="0.25">
      <c r="A162" s="13" t="s">
        <v>1899</v>
      </c>
      <c r="B162" s="14" t="s">
        <v>848</v>
      </c>
      <c r="C162" s="13" t="s">
        <v>483</v>
      </c>
    </row>
    <row r="163" spans="1:3" x14ac:dyDescent="0.25">
      <c r="A163" s="13" t="s">
        <v>1899</v>
      </c>
      <c r="B163" s="14" t="s">
        <v>850</v>
      </c>
      <c r="C163" s="13" t="s">
        <v>484</v>
      </c>
    </row>
    <row r="164" spans="1:3" x14ac:dyDescent="0.25">
      <c r="A164" s="13" t="s">
        <v>1899</v>
      </c>
      <c r="B164" s="14" t="s">
        <v>853</v>
      </c>
      <c r="C164" s="13" t="s">
        <v>483</v>
      </c>
    </row>
    <row r="165" spans="1:3" x14ac:dyDescent="0.25">
      <c r="A165" s="13" t="s">
        <v>1899</v>
      </c>
      <c r="B165" s="14" t="s">
        <v>858</v>
      </c>
      <c r="C165" s="13" t="s">
        <v>354</v>
      </c>
    </row>
    <row r="166" spans="1:3" x14ac:dyDescent="0.25">
      <c r="A166" s="13" t="s">
        <v>1899</v>
      </c>
      <c r="B166" s="14" t="s">
        <v>859</v>
      </c>
      <c r="C166" s="13" t="s">
        <v>355</v>
      </c>
    </row>
    <row r="167" spans="1:3" x14ac:dyDescent="0.25">
      <c r="A167" s="13" t="s">
        <v>1899</v>
      </c>
      <c r="B167" s="14" t="s">
        <v>863</v>
      </c>
      <c r="C167" s="13" t="s">
        <v>517</v>
      </c>
    </row>
    <row r="168" spans="1:3" x14ac:dyDescent="0.25">
      <c r="A168" s="13" t="s">
        <v>1899</v>
      </c>
      <c r="B168" s="14" t="s">
        <v>867</v>
      </c>
      <c r="C168" s="13" t="s">
        <v>483</v>
      </c>
    </row>
    <row r="169" spans="1:3" x14ac:dyDescent="0.25">
      <c r="A169" s="13" t="s">
        <v>1900</v>
      </c>
      <c r="B169" s="14" t="s">
        <v>873</v>
      </c>
      <c r="C169" s="13" t="s">
        <v>517</v>
      </c>
    </row>
    <row r="170" spans="1:3" x14ac:dyDescent="0.25">
      <c r="A170" s="13" t="s">
        <v>1900</v>
      </c>
      <c r="B170" s="14" t="s">
        <v>887</v>
      </c>
      <c r="C170" s="13" t="s">
        <v>483</v>
      </c>
    </row>
    <row r="171" spans="1:3" x14ac:dyDescent="0.25">
      <c r="A171" s="13" t="s">
        <v>1900</v>
      </c>
      <c r="B171" s="14" t="s">
        <v>892</v>
      </c>
      <c r="C171" s="13" t="s">
        <v>412</v>
      </c>
    </row>
    <row r="172" spans="1:3" x14ac:dyDescent="0.25">
      <c r="A172" s="13" t="s">
        <v>1900</v>
      </c>
      <c r="B172" s="14" t="s">
        <v>894</v>
      </c>
      <c r="C172" s="13" t="s">
        <v>484</v>
      </c>
    </row>
    <row r="173" spans="1:3" x14ac:dyDescent="0.25">
      <c r="A173" s="13" t="s">
        <v>1900</v>
      </c>
      <c r="B173" s="14" t="s">
        <v>897</v>
      </c>
      <c r="C173" s="13" t="s">
        <v>1891</v>
      </c>
    </row>
    <row r="174" spans="1:3" x14ac:dyDescent="0.25">
      <c r="A174" s="13" t="s">
        <v>1900</v>
      </c>
      <c r="B174" s="14" t="s">
        <v>912</v>
      </c>
      <c r="C174" s="13" t="s">
        <v>1891</v>
      </c>
    </row>
    <row r="175" spans="1:3" x14ac:dyDescent="0.25">
      <c r="A175" s="13" t="s">
        <v>1900</v>
      </c>
      <c r="B175" s="14" t="s">
        <v>919</v>
      </c>
      <c r="C175" s="13" t="s">
        <v>483</v>
      </c>
    </row>
    <row r="176" spans="1:3" x14ac:dyDescent="0.25">
      <c r="A176" s="13" t="s">
        <v>1900</v>
      </c>
      <c r="B176" s="14" t="s">
        <v>926</v>
      </c>
      <c r="C176" s="13" t="s">
        <v>483</v>
      </c>
    </row>
    <row r="177" spans="1:3" x14ac:dyDescent="0.25">
      <c r="A177" s="13" t="s">
        <v>1900</v>
      </c>
      <c r="B177" s="14" t="s">
        <v>933</v>
      </c>
      <c r="C177" s="13" t="s">
        <v>483</v>
      </c>
    </row>
    <row r="178" spans="1:3" x14ac:dyDescent="0.25">
      <c r="A178" s="13" t="s">
        <v>1900</v>
      </c>
      <c r="B178" s="14" t="s">
        <v>938</v>
      </c>
      <c r="C178" s="13" t="s">
        <v>483</v>
      </c>
    </row>
    <row r="179" spans="1:3" x14ac:dyDescent="0.25">
      <c r="A179" s="13" t="s">
        <v>1900</v>
      </c>
      <c r="B179" s="14" t="s">
        <v>942</v>
      </c>
      <c r="C179" s="13" t="s">
        <v>1891</v>
      </c>
    </row>
    <row r="180" spans="1:3" x14ac:dyDescent="0.25">
      <c r="A180" s="13" t="s">
        <v>1900</v>
      </c>
      <c r="B180" s="14" t="s">
        <v>949</v>
      </c>
      <c r="C180" s="13" t="s">
        <v>483</v>
      </c>
    </row>
    <row r="181" spans="1:3" x14ac:dyDescent="0.25">
      <c r="A181" s="13" t="s">
        <v>1901</v>
      </c>
      <c r="B181" s="14" t="s">
        <v>953</v>
      </c>
      <c r="C181" s="13" t="s">
        <v>354</v>
      </c>
    </row>
    <row r="182" spans="1:3" x14ac:dyDescent="0.25">
      <c r="A182" s="13" t="s">
        <v>1901</v>
      </c>
      <c r="B182" s="14" t="s">
        <v>954</v>
      </c>
      <c r="C182" s="13" t="s">
        <v>483</v>
      </c>
    </row>
    <row r="183" spans="1:3" x14ac:dyDescent="0.25">
      <c r="A183" s="13" t="s">
        <v>1901</v>
      </c>
      <c r="B183" s="14" t="s">
        <v>958</v>
      </c>
      <c r="C183" s="13" t="s">
        <v>355</v>
      </c>
    </row>
    <row r="184" spans="1:3" x14ac:dyDescent="0.25">
      <c r="A184" s="13" t="s">
        <v>1901</v>
      </c>
      <c r="B184" s="14" t="s">
        <v>961</v>
      </c>
      <c r="C184" s="13" t="s">
        <v>517</v>
      </c>
    </row>
    <row r="185" spans="1:3" x14ac:dyDescent="0.25">
      <c r="A185" s="13" t="s">
        <v>1902</v>
      </c>
      <c r="B185" s="14" t="s">
        <v>966</v>
      </c>
      <c r="C185" s="13" t="s">
        <v>517</v>
      </c>
    </row>
    <row r="186" spans="1:3" x14ac:dyDescent="0.25">
      <c r="A186" s="13" t="s">
        <v>1902</v>
      </c>
      <c r="B186" s="14" t="s">
        <v>970</v>
      </c>
      <c r="C186" s="13" t="s">
        <v>483</v>
      </c>
    </row>
    <row r="187" spans="1:3" x14ac:dyDescent="0.25">
      <c r="A187" s="13" t="s">
        <v>1902</v>
      </c>
      <c r="B187" s="14" t="s">
        <v>974</v>
      </c>
      <c r="C187" s="13" t="s">
        <v>483</v>
      </c>
    </row>
    <row r="188" spans="1:3" x14ac:dyDescent="0.25">
      <c r="A188" s="13" t="s">
        <v>1902</v>
      </c>
      <c r="B188" s="14" t="s">
        <v>978</v>
      </c>
      <c r="C188" s="13" t="s">
        <v>483</v>
      </c>
    </row>
    <row r="189" spans="1:3" x14ac:dyDescent="0.25">
      <c r="A189" s="13" t="s">
        <v>1902</v>
      </c>
      <c r="B189" s="14" t="s">
        <v>980</v>
      </c>
      <c r="C189" s="13" t="s">
        <v>483</v>
      </c>
    </row>
    <row r="190" spans="1:3" x14ac:dyDescent="0.25">
      <c r="A190" s="13" t="s">
        <v>1903</v>
      </c>
      <c r="B190" s="14" t="s">
        <v>983</v>
      </c>
      <c r="C190" s="13" t="s">
        <v>483</v>
      </c>
    </row>
    <row r="191" spans="1:3" x14ac:dyDescent="0.25">
      <c r="A191" s="13" t="s">
        <v>1903</v>
      </c>
      <c r="B191" s="14" t="s">
        <v>987</v>
      </c>
      <c r="C191" s="13" t="s">
        <v>483</v>
      </c>
    </row>
    <row r="192" spans="1:3" x14ac:dyDescent="0.25">
      <c r="A192" s="13" t="s">
        <v>1903</v>
      </c>
      <c r="B192" s="14" t="s">
        <v>995</v>
      </c>
      <c r="C192" s="13" t="s">
        <v>483</v>
      </c>
    </row>
    <row r="193" spans="1:3" x14ac:dyDescent="0.25">
      <c r="A193" s="13" t="s">
        <v>1903</v>
      </c>
      <c r="B193" s="14" t="s">
        <v>998</v>
      </c>
      <c r="C193" s="13" t="s">
        <v>483</v>
      </c>
    </row>
    <row r="194" spans="1:3" x14ac:dyDescent="0.25">
      <c r="A194" s="13" t="s">
        <v>1903</v>
      </c>
      <c r="B194" s="14" t="s">
        <v>1000</v>
      </c>
      <c r="C194" s="13" t="s">
        <v>483</v>
      </c>
    </row>
    <row r="195" spans="1:3" x14ac:dyDescent="0.25">
      <c r="A195" s="13" t="s">
        <v>1903</v>
      </c>
      <c r="B195" s="14" t="s">
        <v>1002</v>
      </c>
      <c r="C195" s="13" t="s">
        <v>483</v>
      </c>
    </row>
    <row r="196" spans="1:3" x14ac:dyDescent="0.25">
      <c r="A196" s="13" t="s">
        <v>1904</v>
      </c>
      <c r="B196" s="14" t="s">
        <v>1005</v>
      </c>
      <c r="C196" s="13" t="s">
        <v>354</v>
      </c>
    </row>
    <row r="197" spans="1:3" x14ac:dyDescent="0.25">
      <c r="A197" s="13" t="s">
        <v>1904</v>
      </c>
      <c r="B197" s="14" t="s">
        <v>1010</v>
      </c>
      <c r="C197" s="13" t="s">
        <v>1891</v>
      </c>
    </row>
    <row r="198" spans="1:3" x14ac:dyDescent="0.25">
      <c r="A198" s="13" t="s">
        <v>1904</v>
      </c>
      <c r="B198" s="14" t="s">
        <v>1015</v>
      </c>
      <c r="C198" s="13" t="s">
        <v>355</v>
      </c>
    </row>
    <row r="199" spans="1:3" x14ac:dyDescent="0.25">
      <c r="A199" s="13" t="s">
        <v>1904</v>
      </c>
      <c r="B199" s="14" t="s">
        <v>1019</v>
      </c>
      <c r="C199" s="13" t="s">
        <v>355</v>
      </c>
    </row>
    <row r="200" spans="1:3" x14ac:dyDescent="0.25">
      <c r="A200" s="13" t="s">
        <v>1904</v>
      </c>
      <c r="B200" s="14" t="s">
        <v>1022</v>
      </c>
      <c r="C200" s="13" t="s">
        <v>483</v>
      </c>
    </row>
    <row r="201" spans="1:3" x14ac:dyDescent="0.25">
      <c r="A201" s="13" t="s">
        <v>1904</v>
      </c>
      <c r="B201" s="14" t="s">
        <v>1028</v>
      </c>
      <c r="C201" s="13" t="s">
        <v>355</v>
      </c>
    </row>
    <row r="202" spans="1:3" x14ac:dyDescent="0.25">
      <c r="A202" s="13" t="s">
        <v>1904</v>
      </c>
      <c r="B202" s="14" t="s">
        <v>1031</v>
      </c>
      <c r="C202" s="13" t="s">
        <v>483</v>
      </c>
    </row>
    <row r="203" spans="1:3" x14ac:dyDescent="0.25">
      <c r="A203" s="13" t="s">
        <v>1905</v>
      </c>
      <c r="B203" s="14" t="s">
        <v>1034</v>
      </c>
      <c r="C203" s="13" t="s">
        <v>354</v>
      </c>
    </row>
    <row r="204" spans="1:3" x14ac:dyDescent="0.25">
      <c r="A204" s="13" t="s">
        <v>1905</v>
      </c>
      <c r="B204" s="14" t="s">
        <v>1037</v>
      </c>
      <c r="C204" s="13" t="s">
        <v>483</v>
      </c>
    </row>
    <row r="205" spans="1:3" x14ac:dyDescent="0.25">
      <c r="A205" s="13" t="s">
        <v>1905</v>
      </c>
      <c r="B205" s="14" t="s">
        <v>1040</v>
      </c>
      <c r="C205" s="13" t="s">
        <v>483</v>
      </c>
    </row>
    <row r="206" spans="1:3" x14ac:dyDescent="0.25">
      <c r="A206" s="13" t="s">
        <v>1905</v>
      </c>
      <c r="B206" s="14" t="s">
        <v>1043</v>
      </c>
      <c r="C206" s="13" t="s">
        <v>483</v>
      </c>
    </row>
    <row r="207" spans="1:3" x14ac:dyDescent="0.25">
      <c r="A207" s="13" t="s">
        <v>1905</v>
      </c>
      <c r="B207" s="14" t="s">
        <v>1046</v>
      </c>
      <c r="C207" s="13" t="s">
        <v>483</v>
      </c>
    </row>
    <row r="208" spans="1:3" x14ac:dyDescent="0.25">
      <c r="A208" s="13" t="s">
        <v>1905</v>
      </c>
      <c r="B208" s="14" t="s">
        <v>1053</v>
      </c>
      <c r="C208" s="13" t="s">
        <v>483</v>
      </c>
    </row>
    <row r="209" spans="1:3" x14ac:dyDescent="0.25">
      <c r="A209" s="13" t="s">
        <v>1906</v>
      </c>
      <c r="B209" s="14" t="s">
        <v>1056</v>
      </c>
      <c r="C209" s="13" t="s">
        <v>517</v>
      </c>
    </row>
    <row r="210" spans="1:3" x14ac:dyDescent="0.25">
      <c r="A210" s="13" t="s">
        <v>1906</v>
      </c>
      <c r="B210" s="14" t="s">
        <v>1063</v>
      </c>
      <c r="C210" s="13" t="s">
        <v>517</v>
      </c>
    </row>
    <row r="211" spans="1:3" x14ac:dyDescent="0.25">
      <c r="A211" s="13" t="s">
        <v>1906</v>
      </c>
      <c r="B211" s="14" t="s">
        <v>1069</v>
      </c>
      <c r="C211" s="13" t="s">
        <v>517</v>
      </c>
    </row>
    <row r="212" spans="1:3" x14ac:dyDescent="0.25">
      <c r="A212" s="13" t="s">
        <v>1906</v>
      </c>
      <c r="B212" s="14" t="s">
        <v>1075</v>
      </c>
      <c r="C212" s="13" t="s">
        <v>517</v>
      </c>
    </row>
    <row r="213" spans="1:3" x14ac:dyDescent="0.25">
      <c r="A213" s="13" t="s">
        <v>1906</v>
      </c>
      <c r="B213" s="14" t="s">
        <v>1081</v>
      </c>
      <c r="C213" s="13" t="s">
        <v>412</v>
      </c>
    </row>
    <row r="214" spans="1:3" x14ac:dyDescent="0.25">
      <c r="A214" s="13" t="s">
        <v>1906</v>
      </c>
      <c r="B214" s="14" t="s">
        <v>1083</v>
      </c>
      <c r="C214" s="13" t="s">
        <v>517</v>
      </c>
    </row>
    <row r="215" spans="1:3" x14ac:dyDescent="0.25">
      <c r="A215" s="13" t="s">
        <v>1906</v>
      </c>
      <c r="B215" s="14" t="s">
        <v>1086</v>
      </c>
      <c r="C215" s="13" t="s">
        <v>484</v>
      </c>
    </row>
    <row r="216" spans="1:3" x14ac:dyDescent="0.25">
      <c r="A216" s="13" t="s">
        <v>1907</v>
      </c>
      <c r="B216" s="14" t="s">
        <v>1099</v>
      </c>
      <c r="C216" s="13" t="s">
        <v>483</v>
      </c>
    </row>
    <row r="217" spans="1:3" x14ac:dyDescent="0.25">
      <c r="A217" s="13" t="s">
        <v>1907</v>
      </c>
      <c r="B217" s="14" t="s">
        <v>1114</v>
      </c>
      <c r="C217" s="13" t="s">
        <v>1891</v>
      </c>
    </row>
    <row r="218" spans="1:3" x14ac:dyDescent="0.25">
      <c r="A218" s="13" t="s">
        <v>1907</v>
      </c>
      <c r="B218" s="14" t="s">
        <v>1122</v>
      </c>
      <c r="C218" s="13" t="s">
        <v>1891</v>
      </c>
    </row>
    <row r="219" spans="1:3" x14ac:dyDescent="0.25">
      <c r="A219" s="13" t="s">
        <v>1908</v>
      </c>
      <c r="B219" s="14" t="s">
        <v>1130</v>
      </c>
      <c r="C219" s="13" t="s">
        <v>483</v>
      </c>
    </row>
    <row r="220" spans="1:3" x14ac:dyDescent="0.25">
      <c r="A220" s="13" t="s">
        <v>1908</v>
      </c>
      <c r="B220" s="14" t="s">
        <v>1133</v>
      </c>
      <c r="C220" s="13" t="s">
        <v>517</v>
      </c>
    </row>
    <row r="221" spans="1:3" x14ac:dyDescent="0.25">
      <c r="A221" s="13" t="s">
        <v>1908</v>
      </c>
      <c r="B221" s="14" t="s">
        <v>1137</v>
      </c>
      <c r="C221" s="13" t="s">
        <v>355</v>
      </c>
    </row>
    <row r="222" spans="1:3" x14ac:dyDescent="0.25">
      <c r="A222" s="13" t="s">
        <v>1908</v>
      </c>
      <c r="B222" s="14" t="s">
        <v>1155</v>
      </c>
      <c r="C222" s="13" t="s">
        <v>483</v>
      </c>
    </row>
    <row r="223" spans="1:3" x14ac:dyDescent="0.25">
      <c r="A223" s="13" t="s">
        <v>1908</v>
      </c>
      <c r="B223" s="14" t="s">
        <v>1181</v>
      </c>
      <c r="C223" s="13" t="s">
        <v>483</v>
      </c>
    </row>
    <row r="224" spans="1:3" x14ac:dyDescent="0.25">
      <c r="A224" s="13" t="s">
        <v>1908</v>
      </c>
      <c r="B224" s="14" t="s">
        <v>1205</v>
      </c>
      <c r="C224" s="13" t="s">
        <v>483</v>
      </c>
    </row>
    <row r="225" spans="1:3" x14ac:dyDescent="0.25">
      <c r="A225" s="13" t="s">
        <v>1908</v>
      </c>
      <c r="B225" s="14" t="s">
        <v>1215</v>
      </c>
      <c r="C225" s="13" t="s">
        <v>483</v>
      </c>
    </row>
    <row r="226" spans="1:3" x14ac:dyDescent="0.25">
      <c r="A226" s="13" t="s">
        <v>1908</v>
      </c>
      <c r="B226" s="14" t="s">
        <v>1225</v>
      </c>
      <c r="C226" s="13" t="s">
        <v>1891</v>
      </c>
    </row>
    <row r="227" spans="1:3" x14ac:dyDescent="0.25">
      <c r="A227" s="13" t="s">
        <v>1908</v>
      </c>
      <c r="B227" s="14" t="s">
        <v>1422</v>
      </c>
      <c r="C227" s="13" t="s">
        <v>483</v>
      </c>
    </row>
    <row r="228" spans="1:3" x14ac:dyDescent="0.25">
      <c r="A228" s="13" t="s">
        <v>1908</v>
      </c>
      <c r="B228" s="14" t="s">
        <v>1426</v>
      </c>
      <c r="C228" s="13" t="s">
        <v>483</v>
      </c>
    </row>
    <row r="229" spans="1:3" x14ac:dyDescent="0.25">
      <c r="A229" s="13" t="s">
        <v>1909</v>
      </c>
      <c r="B229" s="14" t="s">
        <v>1464</v>
      </c>
      <c r="C229" s="13" t="s">
        <v>354</v>
      </c>
    </row>
    <row r="230" spans="1:3" x14ac:dyDescent="0.25">
      <c r="A230" s="13" t="s">
        <v>1909</v>
      </c>
      <c r="B230" s="14" t="s">
        <v>1466</v>
      </c>
      <c r="C230" s="13" t="s">
        <v>355</v>
      </c>
    </row>
    <row r="231" spans="1:3" x14ac:dyDescent="0.25">
      <c r="A231" s="13" t="s">
        <v>1909</v>
      </c>
      <c r="B231" s="14" t="s">
        <v>1474</v>
      </c>
      <c r="C231" s="13" t="s">
        <v>354</v>
      </c>
    </row>
    <row r="232" spans="1:3" x14ac:dyDescent="0.25">
      <c r="A232" s="13" t="s">
        <v>1909</v>
      </c>
      <c r="B232" s="14" t="s">
        <v>1476</v>
      </c>
      <c r="C232" s="13" t="s">
        <v>355</v>
      </c>
    </row>
    <row r="233" spans="1:3" x14ac:dyDescent="0.25">
      <c r="A233" s="13" t="s">
        <v>1909</v>
      </c>
      <c r="B233" s="14" t="s">
        <v>1484</v>
      </c>
      <c r="C233" s="13" t="s">
        <v>354</v>
      </c>
    </row>
    <row r="234" spans="1:3" x14ac:dyDescent="0.25">
      <c r="A234" s="13" t="s">
        <v>1909</v>
      </c>
      <c r="B234" s="14" t="s">
        <v>1486</v>
      </c>
      <c r="C234" s="13" t="s">
        <v>355</v>
      </c>
    </row>
    <row r="235" spans="1:3" x14ac:dyDescent="0.25">
      <c r="A235" s="13" t="s">
        <v>1909</v>
      </c>
      <c r="B235" s="14" t="s">
        <v>1494</v>
      </c>
      <c r="C235" s="13" t="s">
        <v>412</v>
      </c>
    </row>
    <row r="236" spans="1:3" x14ac:dyDescent="0.25">
      <c r="A236" s="13" t="s">
        <v>1909</v>
      </c>
      <c r="B236" s="14" t="s">
        <v>1512</v>
      </c>
      <c r="C236" s="13" t="s">
        <v>483</v>
      </c>
    </row>
    <row r="237" spans="1:3" x14ac:dyDescent="0.25">
      <c r="A237" s="13" t="s">
        <v>1909</v>
      </c>
      <c r="B237" s="14" t="s">
        <v>1545</v>
      </c>
      <c r="C237" s="13" t="s">
        <v>484</v>
      </c>
    </row>
    <row r="238" spans="1:3" x14ac:dyDescent="0.25">
      <c r="A238" s="13" t="s">
        <v>1909</v>
      </c>
      <c r="B238" s="14" t="s">
        <v>1551</v>
      </c>
      <c r="C238" s="13" t="s">
        <v>517</v>
      </c>
    </row>
    <row r="239" spans="1:3" x14ac:dyDescent="0.25">
      <c r="A239" s="13" t="s">
        <v>1909</v>
      </c>
      <c r="B239" s="14" t="s">
        <v>1555</v>
      </c>
      <c r="C239" s="13" t="s">
        <v>483</v>
      </c>
    </row>
    <row r="240" spans="1:3" x14ac:dyDescent="0.25">
      <c r="A240" s="13" t="s">
        <v>1909</v>
      </c>
      <c r="B240" s="14" t="s">
        <v>1566</v>
      </c>
      <c r="C240" s="13" t="s">
        <v>412</v>
      </c>
    </row>
    <row r="241" spans="1:3" x14ac:dyDescent="0.25">
      <c r="A241" s="13" t="s">
        <v>1909</v>
      </c>
      <c r="B241" s="14" t="s">
        <v>1569</v>
      </c>
      <c r="C241" s="13" t="s">
        <v>355</v>
      </c>
    </row>
    <row r="242" spans="1:3" x14ac:dyDescent="0.25">
      <c r="A242" s="13" t="s">
        <v>1909</v>
      </c>
      <c r="B242" s="14" t="s">
        <v>1572</v>
      </c>
      <c r="C242" s="13" t="s">
        <v>1891</v>
      </c>
    </row>
    <row r="243" spans="1:3" x14ac:dyDescent="0.25">
      <c r="A243" s="13" t="s">
        <v>1909</v>
      </c>
      <c r="B243" s="14" t="s">
        <v>1581</v>
      </c>
      <c r="C243" s="13" t="s">
        <v>484</v>
      </c>
    </row>
    <row r="244" spans="1:3" x14ac:dyDescent="0.25">
      <c r="A244" s="13" t="s">
        <v>1909</v>
      </c>
      <c r="B244" s="14" t="s">
        <v>1592</v>
      </c>
      <c r="C244" s="13" t="s">
        <v>354</v>
      </c>
    </row>
    <row r="245" spans="1:3" x14ac:dyDescent="0.25">
      <c r="A245" s="13" t="s">
        <v>1909</v>
      </c>
      <c r="B245" s="14" t="s">
        <v>1597</v>
      </c>
      <c r="C245" s="13" t="s">
        <v>483</v>
      </c>
    </row>
    <row r="246" spans="1:3" x14ac:dyDescent="0.25">
      <c r="A246" s="13" t="s">
        <v>1909</v>
      </c>
      <c r="B246" s="14" t="s">
        <v>1608</v>
      </c>
      <c r="C246" s="13" t="s">
        <v>483</v>
      </c>
    </row>
    <row r="247" spans="1:3" x14ac:dyDescent="0.25">
      <c r="A247" s="13" t="s">
        <v>1909</v>
      </c>
      <c r="B247" s="14" t="s">
        <v>1613</v>
      </c>
      <c r="C247" s="13" t="s">
        <v>355</v>
      </c>
    </row>
    <row r="248" spans="1:3" x14ac:dyDescent="0.25">
      <c r="A248" s="13" t="s">
        <v>1909</v>
      </c>
      <c r="B248" s="14" t="s">
        <v>1623</v>
      </c>
      <c r="C248" s="13" t="s">
        <v>483</v>
      </c>
    </row>
    <row r="249" spans="1:3" x14ac:dyDescent="0.25">
      <c r="A249" s="13" t="s">
        <v>1909</v>
      </c>
      <c r="B249" s="14" t="s">
        <v>1643</v>
      </c>
      <c r="C249" s="13" t="s">
        <v>354</v>
      </c>
    </row>
    <row r="250" spans="1:3" x14ac:dyDescent="0.25">
      <c r="A250" s="13" t="s">
        <v>1909</v>
      </c>
      <c r="B250" s="14" t="s">
        <v>1645</v>
      </c>
      <c r="C250" s="13" t="s">
        <v>483</v>
      </c>
    </row>
    <row r="251" spans="1:3" x14ac:dyDescent="0.25">
      <c r="A251" s="13" t="s">
        <v>1909</v>
      </c>
      <c r="B251" s="14" t="s">
        <v>1649</v>
      </c>
      <c r="C251" s="13" t="s">
        <v>483</v>
      </c>
    </row>
    <row r="252" spans="1:3" x14ac:dyDescent="0.25">
      <c r="A252" s="13" t="s">
        <v>1909</v>
      </c>
      <c r="B252" s="14" t="s">
        <v>1651</v>
      </c>
      <c r="C252" s="13" t="s">
        <v>355</v>
      </c>
    </row>
    <row r="253" spans="1:3" x14ac:dyDescent="0.25">
      <c r="A253" s="13" t="s">
        <v>1909</v>
      </c>
      <c r="B253" s="14" t="s">
        <v>1653</v>
      </c>
      <c r="C253" s="13" t="s">
        <v>483</v>
      </c>
    </row>
    <row r="254" spans="1:3" x14ac:dyDescent="0.25">
      <c r="A254" s="13" t="s">
        <v>1909</v>
      </c>
      <c r="B254" s="14" t="s">
        <v>1663</v>
      </c>
      <c r="C254" s="13" t="s">
        <v>354</v>
      </c>
    </row>
    <row r="255" spans="1:3" x14ac:dyDescent="0.25">
      <c r="A255" s="13" t="s">
        <v>1909</v>
      </c>
      <c r="B255" s="14" t="s">
        <v>1665</v>
      </c>
      <c r="C255" s="13" t="s">
        <v>483</v>
      </c>
    </row>
    <row r="256" spans="1:3" x14ac:dyDescent="0.25">
      <c r="A256" s="13" t="s">
        <v>1909</v>
      </c>
      <c r="B256" s="14" t="s">
        <v>1669</v>
      </c>
      <c r="C256" s="13" t="s">
        <v>483</v>
      </c>
    </row>
    <row r="257" spans="1:3" x14ac:dyDescent="0.25">
      <c r="A257" s="13" t="s">
        <v>1909</v>
      </c>
      <c r="B257" s="14" t="s">
        <v>1671</v>
      </c>
      <c r="C257" s="13" t="s">
        <v>355</v>
      </c>
    </row>
    <row r="258" spans="1:3" x14ac:dyDescent="0.25">
      <c r="A258" s="13" t="s">
        <v>1909</v>
      </c>
      <c r="B258" s="14" t="s">
        <v>1673</v>
      </c>
      <c r="C258" s="13" t="s">
        <v>483</v>
      </c>
    </row>
    <row r="259" spans="1:3" x14ac:dyDescent="0.25">
      <c r="A259" s="13" t="s">
        <v>1909</v>
      </c>
      <c r="B259" s="14" t="s">
        <v>1683</v>
      </c>
      <c r="C259" s="13" t="s">
        <v>354</v>
      </c>
    </row>
    <row r="260" spans="1:3" x14ac:dyDescent="0.25">
      <c r="A260" s="13" t="s">
        <v>1909</v>
      </c>
      <c r="B260" s="14" t="s">
        <v>1685</v>
      </c>
      <c r="C260" s="13" t="s">
        <v>483</v>
      </c>
    </row>
    <row r="261" spans="1:3" x14ac:dyDescent="0.25">
      <c r="A261" s="13" t="s">
        <v>1909</v>
      </c>
      <c r="B261" s="14" t="s">
        <v>1689</v>
      </c>
      <c r="C261" s="13" t="s">
        <v>483</v>
      </c>
    </row>
    <row r="262" spans="1:3" x14ac:dyDescent="0.25">
      <c r="A262" s="13" t="s">
        <v>1909</v>
      </c>
      <c r="B262" s="14" t="s">
        <v>1691</v>
      </c>
      <c r="C262" s="13" t="s">
        <v>355</v>
      </c>
    </row>
    <row r="263" spans="1:3" x14ac:dyDescent="0.25">
      <c r="A263" s="13" t="s">
        <v>1909</v>
      </c>
      <c r="B263" s="14" t="s">
        <v>1693</v>
      </c>
      <c r="C263" s="13" t="s">
        <v>483</v>
      </c>
    </row>
    <row r="264" spans="1:3" x14ac:dyDescent="0.25">
      <c r="A264" s="13" t="s">
        <v>1909</v>
      </c>
      <c r="B264" s="14" t="s">
        <v>1703</v>
      </c>
      <c r="C264" s="13" t="s">
        <v>421</v>
      </c>
    </row>
    <row r="265" spans="1:3" x14ac:dyDescent="0.25">
      <c r="A265" s="13" t="s">
        <v>1909</v>
      </c>
      <c r="B265" s="14" t="s">
        <v>1731</v>
      </c>
      <c r="C265" s="13" t="s">
        <v>421</v>
      </c>
    </row>
    <row r="266" spans="1:3" x14ac:dyDescent="0.25">
      <c r="A266" s="13" t="s">
        <v>1909</v>
      </c>
      <c r="B266" s="14" t="s">
        <v>1733</v>
      </c>
      <c r="C266" s="13" t="s">
        <v>421</v>
      </c>
    </row>
    <row r="267" spans="1:3" x14ac:dyDescent="0.25">
      <c r="A267" s="13" t="s">
        <v>1909</v>
      </c>
      <c r="B267" s="14" t="s">
        <v>1736</v>
      </c>
      <c r="C267" s="13" t="s">
        <v>421</v>
      </c>
    </row>
    <row r="268" spans="1:3" x14ac:dyDescent="0.25">
      <c r="A268" s="13" t="s">
        <v>1909</v>
      </c>
      <c r="B268" s="14" t="s">
        <v>1750</v>
      </c>
      <c r="C268" s="13" t="s">
        <v>412</v>
      </c>
    </row>
    <row r="269" spans="1:3" x14ac:dyDescent="0.25">
      <c r="A269" s="13" t="s">
        <v>1909</v>
      </c>
      <c r="B269" s="14" t="s">
        <v>1755</v>
      </c>
      <c r="C269" s="13" t="s">
        <v>483</v>
      </c>
    </row>
    <row r="270" spans="1:3" x14ac:dyDescent="0.25">
      <c r="A270" s="13" t="s">
        <v>1909</v>
      </c>
      <c r="B270" s="14" t="s">
        <v>1759</v>
      </c>
      <c r="C270" s="13" t="s">
        <v>483</v>
      </c>
    </row>
    <row r="271" spans="1:3" x14ac:dyDescent="0.25">
      <c r="A271" s="13" t="s">
        <v>1909</v>
      </c>
      <c r="B271" s="14" t="s">
        <v>1761</v>
      </c>
      <c r="C271" s="13" t="s">
        <v>355</v>
      </c>
    </row>
    <row r="272" spans="1:3" x14ac:dyDescent="0.25">
      <c r="A272" s="13" t="s">
        <v>1909</v>
      </c>
      <c r="B272" s="14" t="s">
        <v>1763</v>
      </c>
      <c r="C272" s="13" t="s">
        <v>483</v>
      </c>
    </row>
    <row r="273" spans="1:3" x14ac:dyDescent="0.25">
      <c r="A273" s="13" t="s">
        <v>1909</v>
      </c>
      <c r="B273" s="14" t="s">
        <v>1773</v>
      </c>
      <c r="C273" s="13" t="s">
        <v>412</v>
      </c>
    </row>
    <row r="274" spans="1:3" x14ac:dyDescent="0.25">
      <c r="A274" s="13" t="s">
        <v>1909</v>
      </c>
      <c r="B274" s="14" t="s">
        <v>1776</v>
      </c>
      <c r="C274" s="13" t="s">
        <v>483</v>
      </c>
    </row>
    <row r="275" spans="1:3" x14ac:dyDescent="0.25">
      <c r="A275" s="13" t="s">
        <v>1909</v>
      </c>
      <c r="B275" s="14" t="s">
        <v>1780</v>
      </c>
      <c r="C275" s="13" t="s">
        <v>483</v>
      </c>
    </row>
    <row r="276" spans="1:3" x14ac:dyDescent="0.25">
      <c r="A276" s="13" t="s">
        <v>1909</v>
      </c>
      <c r="B276" s="14" t="s">
        <v>1782</v>
      </c>
      <c r="C276" s="13" t="s">
        <v>355</v>
      </c>
    </row>
    <row r="277" spans="1:3" x14ac:dyDescent="0.25">
      <c r="A277" s="13" t="s">
        <v>1909</v>
      </c>
      <c r="B277" s="14" t="s">
        <v>1784</v>
      </c>
      <c r="C277" s="13" t="s">
        <v>483</v>
      </c>
    </row>
    <row r="278" spans="1:3" x14ac:dyDescent="0.25">
      <c r="A278" s="13" t="s">
        <v>1909</v>
      </c>
      <c r="B278" s="14" t="s">
        <v>1794</v>
      </c>
      <c r="C278" s="13" t="s">
        <v>483</v>
      </c>
    </row>
    <row r="279" spans="1:3" x14ac:dyDescent="0.25">
      <c r="A279" s="13" t="s">
        <v>1909</v>
      </c>
      <c r="B279" s="14" t="s">
        <v>1798</v>
      </c>
      <c r="C279" s="13" t="s">
        <v>483</v>
      </c>
    </row>
    <row r="280" spans="1:3" x14ac:dyDescent="0.25">
      <c r="A280" s="13" t="s">
        <v>1909</v>
      </c>
      <c r="B280" s="14" t="s">
        <v>1800</v>
      </c>
      <c r="C280" s="13" t="s">
        <v>355</v>
      </c>
    </row>
    <row r="281" spans="1:3" x14ac:dyDescent="0.25">
      <c r="A281" s="13" t="s">
        <v>1909</v>
      </c>
      <c r="B281" s="14" t="s">
        <v>1802</v>
      </c>
      <c r="C281" s="13" t="s">
        <v>483</v>
      </c>
    </row>
    <row r="282" spans="1:3" x14ac:dyDescent="0.25">
      <c r="A282" s="13" t="s">
        <v>1909</v>
      </c>
      <c r="B282" s="14" t="s">
        <v>1812</v>
      </c>
      <c r="C282" s="13" t="s">
        <v>421</v>
      </c>
    </row>
    <row r="283" spans="1:3" x14ac:dyDescent="0.25">
      <c r="A283" s="13" t="s">
        <v>1909</v>
      </c>
      <c r="B283" s="14" t="s">
        <v>1836</v>
      </c>
      <c r="C283" s="13" t="s">
        <v>421</v>
      </c>
    </row>
    <row r="284" spans="1:3" x14ac:dyDescent="0.25">
      <c r="A284" s="13" t="s">
        <v>1909</v>
      </c>
      <c r="B284" s="14" t="s">
        <v>1838</v>
      </c>
      <c r="C284" s="13" t="s">
        <v>421</v>
      </c>
    </row>
    <row r="285" spans="1:3" x14ac:dyDescent="0.25">
      <c r="A285" s="13" t="s">
        <v>1909</v>
      </c>
      <c r="B285" s="14" t="s">
        <v>1839</v>
      </c>
      <c r="C285" s="13" t="s">
        <v>421</v>
      </c>
    </row>
    <row r="286" spans="1:3" x14ac:dyDescent="0.25">
      <c r="A286" s="13" t="s">
        <v>1909</v>
      </c>
      <c r="B286" s="14" t="s">
        <v>1846</v>
      </c>
      <c r="C286" s="13" t="s">
        <v>483</v>
      </c>
    </row>
    <row r="287" spans="1:3" x14ac:dyDescent="0.25">
      <c r="A287" s="13" t="s">
        <v>1910</v>
      </c>
      <c r="B287" s="14" t="s">
        <v>1851</v>
      </c>
      <c r="C287" s="13" t="s">
        <v>483</v>
      </c>
    </row>
    <row r="288" spans="1:3" x14ac:dyDescent="0.25">
      <c r="A288" s="13" t="s">
        <v>1910</v>
      </c>
      <c r="B288" s="14" t="s">
        <v>1855</v>
      </c>
      <c r="C288" s="13" t="s">
        <v>412</v>
      </c>
    </row>
    <row r="290" spans="1:1" ht="21" customHeight="1" x14ac:dyDescent="0.3">
      <c r="A290" s="1" t="s">
        <v>1911</v>
      </c>
    </row>
    <row r="291" spans="1:1" x14ac:dyDescent="0.25">
      <c r="A291" s="2" t="s">
        <v>1912</v>
      </c>
    </row>
    <row r="292" spans="1:1" x14ac:dyDescent="0.25">
      <c r="A292" s="2" t="s">
        <v>1913</v>
      </c>
    </row>
    <row r="293" spans="1:1" x14ac:dyDescent="0.25">
      <c r="A293" s="2" t="s">
        <v>1914</v>
      </c>
    </row>
    <row r="294" spans="1:1" x14ac:dyDescent="0.25">
      <c r="A294" s="2" t="s">
        <v>1915</v>
      </c>
    </row>
    <row r="295" spans="1:1" x14ac:dyDescent="0.25">
      <c r="A295" s="2" t="s">
        <v>1916</v>
      </c>
    </row>
    <row r="296" spans="1:1" x14ac:dyDescent="0.25">
      <c r="A296" s="2" t="s">
        <v>1917</v>
      </c>
    </row>
    <row r="297" spans="1:1" x14ac:dyDescent="0.25">
      <c r="A297" s="2" t="s">
        <v>1918</v>
      </c>
    </row>
    <row r="298" spans="1:1" x14ac:dyDescent="0.25">
      <c r="A298" s="2" t="s">
        <v>1919</v>
      </c>
    </row>
    <row r="299" spans="1:1" x14ac:dyDescent="0.25">
      <c r="A299" s="2" t="s">
        <v>1920</v>
      </c>
    </row>
    <row r="300" spans="1:1" x14ac:dyDescent="0.25">
      <c r="A300" s="2" t="s">
        <v>1921</v>
      </c>
    </row>
    <row r="301" spans="1:1" x14ac:dyDescent="0.25">
      <c r="A301" s="2" t="s">
        <v>1922</v>
      </c>
    </row>
    <row r="302" spans="1:1" x14ac:dyDescent="0.25">
      <c r="A302" s="2" t="s">
        <v>1923</v>
      </c>
    </row>
    <row r="303" spans="1:1" x14ac:dyDescent="0.25">
      <c r="A303" s="2" t="s">
        <v>1924</v>
      </c>
    </row>
    <row r="304" spans="1:1" x14ac:dyDescent="0.25">
      <c r="A304" s="2" t="s">
        <v>1925</v>
      </c>
    </row>
    <row r="305" spans="1:1" x14ac:dyDescent="0.25">
      <c r="A305" s="2" t="s">
        <v>1926</v>
      </c>
    </row>
    <row r="306" spans="1:1" x14ac:dyDescent="0.25">
      <c r="A306" s="2" t="s">
        <v>1927</v>
      </c>
    </row>
    <row r="307" spans="1:1" x14ac:dyDescent="0.25">
      <c r="A307" s="2" t="s">
        <v>1928</v>
      </c>
    </row>
    <row r="308" spans="1:1" x14ac:dyDescent="0.25">
      <c r="A308" s="2" t="s">
        <v>1929</v>
      </c>
    </row>
    <row r="309" spans="1:1" x14ac:dyDescent="0.25">
      <c r="A309" s="2" t="s">
        <v>1930</v>
      </c>
    </row>
    <row r="310" spans="1:1" x14ac:dyDescent="0.25">
      <c r="A310" s="2" t="s">
        <v>1931</v>
      </c>
    </row>
    <row r="311" spans="1:1" x14ac:dyDescent="0.25">
      <c r="A311" s="2" t="s">
        <v>1932</v>
      </c>
    </row>
    <row r="312" spans="1:1" x14ac:dyDescent="0.25">
      <c r="A312" s="2" t="s">
        <v>1933</v>
      </c>
    </row>
    <row r="313" spans="1:1" x14ac:dyDescent="0.25">
      <c r="A313" s="2" t="s">
        <v>1934</v>
      </c>
    </row>
    <row r="314" spans="1:1" x14ac:dyDescent="0.25">
      <c r="A314" s="2" t="s">
        <v>1935</v>
      </c>
    </row>
    <row r="315" spans="1:1" x14ac:dyDescent="0.25">
      <c r="A315" s="2" t="s">
        <v>1936</v>
      </c>
    </row>
    <row r="316" spans="1:1" x14ac:dyDescent="0.25">
      <c r="A316" s="2" t="s">
        <v>1937</v>
      </c>
    </row>
    <row r="317" spans="1:1" x14ac:dyDescent="0.25">
      <c r="A317" s="2" t="s">
        <v>1938</v>
      </c>
    </row>
    <row r="318" spans="1:1" x14ac:dyDescent="0.25">
      <c r="A318" s="2" t="s">
        <v>1939</v>
      </c>
    </row>
    <row r="319" spans="1:1" x14ac:dyDescent="0.25">
      <c r="A319" s="2" t="s">
        <v>1940</v>
      </c>
    </row>
    <row r="320" spans="1:1" x14ac:dyDescent="0.25">
      <c r="A320" s="2" t="s">
        <v>1941</v>
      </c>
    </row>
    <row r="321" spans="1:1" x14ac:dyDescent="0.25">
      <c r="A321" s="2" t="s">
        <v>1942</v>
      </c>
    </row>
    <row r="322" spans="1:1" x14ac:dyDescent="0.25">
      <c r="A322" s="2" t="s">
        <v>1943</v>
      </c>
    </row>
    <row r="323" spans="1:1" x14ac:dyDescent="0.25">
      <c r="A323" s="2" t="s">
        <v>1944</v>
      </c>
    </row>
    <row r="324" spans="1:1" x14ac:dyDescent="0.25">
      <c r="A324" s="2" t="s">
        <v>1945</v>
      </c>
    </row>
    <row r="325" spans="1:1" x14ac:dyDescent="0.25">
      <c r="A325" s="2" t="s">
        <v>1946</v>
      </c>
    </row>
    <row r="326" spans="1:1" x14ac:dyDescent="0.25">
      <c r="A326" s="2" t="s">
        <v>1947</v>
      </c>
    </row>
    <row r="327" spans="1:1" x14ac:dyDescent="0.25">
      <c r="A327" s="2" t="s">
        <v>1948</v>
      </c>
    </row>
    <row r="328" spans="1:1" x14ac:dyDescent="0.25">
      <c r="A328" s="2" t="s">
        <v>1949</v>
      </c>
    </row>
    <row r="329" spans="1:1" x14ac:dyDescent="0.25">
      <c r="A329" s="2" t="s">
        <v>1950</v>
      </c>
    </row>
    <row r="330" spans="1:1" x14ac:dyDescent="0.25">
      <c r="A330" s="2" t="s">
        <v>1951</v>
      </c>
    </row>
    <row r="331" spans="1:1" x14ac:dyDescent="0.25">
      <c r="A331" s="2" t="s">
        <v>1952</v>
      </c>
    </row>
    <row r="332" spans="1:1" x14ac:dyDescent="0.25">
      <c r="A332" s="2" t="s">
        <v>1953</v>
      </c>
    </row>
    <row r="333" spans="1:1" x14ac:dyDescent="0.25">
      <c r="A333" s="2" t="s">
        <v>1954</v>
      </c>
    </row>
    <row r="334" spans="1:1" x14ac:dyDescent="0.25">
      <c r="A334" s="2" t="s">
        <v>1955</v>
      </c>
    </row>
    <row r="335" spans="1:1" x14ac:dyDescent="0.25">
      <c r="A335" s="2" t="s">
        <v>1956</v>
      </c>
    </row>
    <row r="336" spans="1:1" x14ac:dyDescent="0.25">
      <c r="A336" s="2" t="s">
        <v>1957</v>
      </c>
    </row>
    <row r="337" spans="1:1" x14ac:dyDescent="0.25">
      <c r="A337" s="2" t="s">
        <v>1958</v>
      </c>
    </row>
    <row r="338" spans="1:1" x14ac:dyDescent="0.25">
      <c r="A338" s="2" t="s">
        <v>1959</v>
      </c>
    </row>
    <row r="339" spans="1:1" x14ac:dyDescent="0.25">
      <c r="A339" s="2" t="s">
        <v>1960</v>
      </c>
    </row>
    <row r="340" spans="1:1" x14ac:dyDescent="0.25">
      <c r="A340" s="2" t="s">
        <v>1961</v>
      </c>
    </row>
    <row r="341" spans="1:1" x14ac:dyDescent="0.25">
      <c r="A341" s="2" t="s">
        <v>1962</v>
      </c>
    </row>
    <row r="342" spans="1:1" x14ac:dyDescent="0.25">
      <c r="A342" s="2" t="s">
        <v>1963</v>
      </c>
    </row>
    <row r="343" spans="1:1" x14ac:dyDescent="0.25">
      <c r="A343" s="2" t="s">
        <v>1964</v>
      </c>
    </row>
    <row r="344" spans="1:1" x14ac:dyDescent="0.25">
      <c r="A344" s="2" t="s">
        <v>1965</v>
      </c>
    </row>
    <row r="345" spans="1:1" x14ac:dyDescent="0.25">
      <c r="A345" s="2" t="s">
        <v>1966</v>
      </c>
    </row>
    <row r="346" spans="1:1" x14ac:dyDescent="0.25">
      <c r="A346" s="2" t="s">
        <v>1967</v>
      </c>
    </row>
    <row r="347" spans="1:1" x14ac:dyDescent="0.25">
      <c r="A347" s="2" t="s">
        <v>1968</v>
      </c>
    </row>
    <row r="348" spans="1:1" x14ac:dyDescent="0.25">
      <c r="A348" s="2" t="s">
        <v>1969</v>
      </c>
    </row>
    <row r="349" spans="1:1" x14ac:dyDescent="0.25">
      <c r="A349" s="2" t="s">
        <v>1970</v>
      </c>
    </row>
    <row r="350" spans="1:1" x14ac:dyDescent="0.25">
      <c r="A350" s="2" t="s">
        <v>1971</v>
      </c>
    </row>
    <row r="351" spans="1:1" x14ac:dyDescent="0.25">
      <c r="A351" s="2" t="s">
        <v>1972</v>
      </c>
    </row>
    <row r="352" spans="1:1" x14ac:dyDescent="0.25">
      <c r="A352" s="2" t="s">
        <v>1973</v>
      </c>
    </row>
    <row r="353" spans="1:1" x14ac:dyDescent="0.25">
      <c r="A353" s="2" t="s">
        <v>1974</v>
      </c>
    </row>
    <row r="354" spans="1:1" x14ac:dyDescent="0.25">
      <c r="A354" s="2" t="s">
        <v>1975</v>
      </c>
    </row>
    <row r="355" spans="1:1" x14ac:dyDescent="0.25">
      <c r="A355" s="2" t="s">
        <v>1976</v>
      </c>
    </row>
    <row r="356" spans="1:1" x14ac:dyDescent="0.25">
      <c r="A356" s="2" t="s">
        <v>1977</v>
      </c>
    </row>
    <row r="357" spans="1:1" x14ac:dyDescent="0.25">
      <c r="A357" s="2" t="s">
        <v>1978</v>
      </c>
    </row>
    <row r="358" spans="1:1" x14ac:dyDescent="0.25">
      <c r="A358" s="2" t="s">
        <v>1979</v>
      </c>
    </row>
    <row r="359" spans="1:1" x14ac:dyDescent="0.25">
      <c r="A359" s="2" t="s">
        <v>1980</v>
      </c>
    </row>
    <row r="360" spans="1:1" x14ac:dyDescent="0.25">
      <c r="A360" s="2" t="s">
        <v>1981</v>
      </c>
    </row>
    <row r="361" spans="1:1" x14ac:dyDescent="0.25">
      <c r="A361" s="2" t="s">
        <v>1982</v>
      </c>
    </row>
    <row r="362" spans="1:1" x14ac:dyDescent="0.25">
      <c r="A362" s="2" t="s">
        <v>1983</v>
      </c>
    </row>
    <row r="363" spans="1:1" x14ac:dyDescent="0.25">
      <c r="A363" s="2"/>
    </row>
    <row r="364" spans="1:1" x14ac:dyDescent="0.25">
      <c r="A364" s="2" t="s">
        <v>1984</v>
      </c>
    </row>
  </sheetData>
  <sheetProtection sheet="1" objects="1" scenarios="1" sort="0" autoFilter="0"/>
  <autoFilter ref="A28:C288"/>
  <hyperlinks>
    <hyperlink ref="B29" location="'Input'!B6" display="1000. Company, charging year, data version"/>
    <hyperlink ref="B30" location="'Input'!B11" display="1001. CDCM target revenue (monetary amounts in £)"/>
    <hyperlink ref="B31" location="'Input'!B57" display="1010. Financial and general assumptions"/>
    <hyperlink ref="B32" location="'Input'!B67" display="1017. Diversity allowance between top and bottom of network level"/>
    <hyperlink ref="B33" location="'Input'!B79" display="1018. Proportion of relevant load going through 132kV/HV direct transformation"/>
    <hyperlink ref="B34" location="'Input'!B84" display="1019. Network model GSP peak demand (MW)"/>
    <hyperlink ref="B35" location="'Input'!B89" display="1020. Gross asset cost by network level (£)"/>
    <hyperlink ref="B36" location="'Input'!B101" display="1022. LV service model asset cost (£)"/>
    <hyperlink ref="B37" location="'Input'!B106" display="1023. HV service model asset cost (£)"/>
    <hyperlink ref="B38" location="'Input'!B111" display="1025. Matrix of applicability of LV service models to tariffs with fixed charges"/>
    <hyperlink ref="B39" location="'Input'!B133" display="1026. Matrix of applicability of LV service models to unmetered tariffs"/>
    <hyperlink ref="B40" location="'Input'!B138" display="1028. Matrix of applicability of HV service models to tariffs with fixed charges"/>
    <hyperlink ref="B41" location="'Input'!B147" display="1032. Loss adjustment factors to transmission"/>
    <hyperlink ref="B42" location="'Input'!B153" display="1037. Embedded network (LDNO) discounts"/>
    <hyperlink ref="B43" location="'Input'!B158" display="1039. LDNO discounts (p/kWh)"/>
    <hyperlink ref="B44" location="'Input'!B164" display="1041. Load profile data for demand users"/>
    <hyperlink ref="B45" location="'Input'!B190" display="1053. Volume forecasts for the charging year"/>
    <hyperlink ref="B46" location="'Input'!B292" display="1055. Transmission exit charges (£/year)"/>
    <hyperlink ref="B47" location="'Input'!B297" display="1059. Other expenditure"/>
    <hyperlink ref="B48" location="'Input'!B305" display="1060. Customer contributions under current connection charging policy"/>
    <hyperlink ref="B49" location="'Input'!B313" display="1061. Average split of rate 1 units by distribution time band"/>
    <hyperlink ref="B50" location="'Input'!B326" display="1062. Average split of rate 2 units by distribution time band"/>
    <hyperlink ref="B51" location="'Input'!B335" display="1064. Average split of rate 1 units by special distribution time band"/>
    <hyperlink ref="B52" location="'Input'!B345" display="1066. Typical annual hours by special distribution time band"/>
    <hyperlink ref="B53" location="'Input'!B352" display="1068. Typical annual hours by distribution time band"/>
    <hyperlink ref="B54" location="'Input'!B359" display="1069. Peaking probabilities by network level"/>
    <hyperlink ref="B55" location="'Input'!B374" display="1092. Average kVAr by kVA, by network level"/>
    <hyperlink ref="B56" location="'LAFs'!B13" display="2001. Loss adjustment factors to transmission"/>
    <hyperlink ref="B57" location="'LAFs'!B44" display="2002. Mapping of DRM network levels to core network levels"/>
    <hyperlink ref="B58" location="'LAFs'!B60" display="2003. Loss adjustment factor to transmission for each DRM network level"/>
    <hyperlink ref="B59" location="'LAFs'!B76" display="2004. Loss adjustment factor to transmission for each network level"/>
    <hyperlink ref="B60" location="'LAFs'!B84" display="2005. Network use factors"/>
    <hyperlink ref="B61" location="'LAFs'!B118" display="2006. Proportion going through 132kV/EHV"/>
    <hyperlink ref="B62" location="'LAFs'!B126" display="2007. Proportion going through EHV"/>
    <hyperlink ref="B63" location="'LAFs'!B134" display="2008. Proportion going through EHV/HV"/>
    <hyperlink ref="B64" location="'LAFs'!B147" display="2009. Rerouteing matrix for all network levels"/>
    <hyperlink ref="B65" location="'LAFs'!B164" display="2010. Network use factors: interim step in calculations before adjustments"/>
    <hyperlink ref="B66" location="'LAFs'!B200" display="2011. Network use factors for all tariffs"/>
    <hyperlink ref="B67" location="'LAFs'!B236" display="2012. Loss adjustment factors between end user meter reading and each network level, scaled by network use"/>
    <hyperlink ref="B68" location="'DRM'!B11" display="2101. Annuity rate"/>
    <hyperlink ref="B69" location="'DRM'!B20" display="2102. Loss adjustment factor to transmission for each core level"/>
    <hyperlink ref="B70" location="'DRM'!B30" display="2103. Loss adjustment factors"/>
    <hyperlink ref="B71" location="'DRM'!B47" display="2104. Diversity calculations"/>
    <hyperlink ref="B72" location="'DRM'!B63" display="2105. Network model total maximum demand at substation (MW)"/>
    <hyperlink ref="B73" location="'DRM'!B79" display="2106. Network model contribution to system maximum load measured at network level exit (MW)"/>
    <hyperlink ref="B74" location="'DRM'!B97" display="2107. Rerouteing matrix for DRM network levels"/>
    <hyperlink ref="B75" location="'DRM'!B112" display="2108. GSP simultaneous maximum load assumed through each network level (MW)"/>
    <hyperlink ref="B76" location="'DRM'!B129" display="2109. Network model annuity by simultaneous maximum load for each network level (£/kW/year)"/>
    <hyperlink ref="B77" location="'SM'!B10" display="2201. Asset £/customer from LV service models"/>
    <hyperlink ref="B78" location="'SM'!B34" display="2202. LV unmetered service model assets £/(MWh/year)"/>
    <hyperlink ref="B79" location="'SM'!B44" display="2203. LV unmetered service model asset charge (p/kWh)"/>
    <hyperlink ref="B80" location="'SM'!B53" display="2204. Asset £/customer from HV service models"/>
    <hyperlink ref="B81" location="'SM'!B65" display="2205. Service model assets by tariff (£)"/>
    <hyperlink ref="B82" location="'SM'!B105" display="2206. Replacement annuities for service models"/>
    <hyperlink ref="B83" location="'Loads'!B18" display="2301. Demand coefficient (load at time of system maximum load divided by average load)"/>
    <hyperlink ref="B84" location="'Loads'!B45" display="2302. Load coefficient"/>
    <hyperlink ref="B85" location="'Loads'!B76" display="2303. Discount map"/>
    <hyperlink ref="B86" location="'Loads'!B191" display="2304. LDNO discounts and volumes adjusted for discount"/>
    <hyperlink ref="B87" location="'Loads'!B301" display="2305. Equivalent volume for each end user"/>
    <hyperlink ref="B88" location="'Multi'!B12" display="2401. Adjust annual hours by distribution time band to match days in year"/>
    <hyperlink ref="B89" location="'Multi'!B25" display="2402. Normalisation of split of rate 1 units by time band"/>
    <hyperlink ref="B90" location="'Multi'!B42" display="2403. Split of rate 1 units between distribution time bands"/>
    <hyperlink ref="B91" location="'Multi'!B71" display="2404. Normalisation of split of rate 2 units by time band"/>
    <hyperlink ref="B92" location="'Multi'!B84" display="2405. Split of rate 2 units between distribution time bands"/>
    <hyperlink ref="B93" location="'Multi'!B101" display="2406. Split of rate 3 units between distribution time bands (default)"/>
    <hyperlink ref="B94" location="'Multi'!B118" display="2407. All units (MWh)"/>
    <hyperlink ref="B95" location="'Multi'!B159" display="2408. Calculation of implied load coefficients for one-rate users"/>
    <hyperlink ref="B96" location="'Multi'!B177" display="2409. Calculation of implied load coefficients for two-rate users"/>
    <hyperlink ref="B97" location="'Multi'!B200" display="2410. Calculation of implied load coefficients for three-rate users"/>
    <hyperlink ref="B98" location="'Multi'!B217" display="2411. Calculation of adjusted time band load coefficients"/>
    <hyperlink ref="B99" location="'Multi'!B246" display="2412. Normalisation of peaking probabilities"/>
    <hyperlink ref="B100" location="'Multi'!B262" display="2413. Peaking probabilities by network level (reshaped)"/>
    <hyperlink ref="B101" location="'Multi'!B273" display="2414. Pseudo load coefficient by time band and network level"/>
    <hyperlink ref="B102" location="'Multi'!B297" display="2415. Single rate non half hourly pseudo timeband load coefficients"/>
    <hyperlink ref="B103" location="'Multi'!B306" display="2416. Single rate non half hourly units (MWh)"/>
    <hyperlink ref="B104" location="'Multi'!B315" display="2417. Single rate non half hourly timeband use"/>
    <hyperlink ref="B105" location="'Multi'!B325" display="2418. Single rate non half hourly tariff pseudo load coefficient"/>
    <hyperlink ref="B106" location="'Multi'!B334" display="2419. Multi rate non half hourly units (MWh)"/>
    <hyperlink ref="B107" location="'Multi'!B343" display="2420. Multi rate non half hourly pseudo timeband load coefficients"/>
    <hyperlink ref="B108" location="'Multi'!B352" display="2421. Multi rate non half hourly timeband use"/>
    <hyperlink ref="B109" location="'Multi'!B362" display="2422. Multi rate non half hourly tariff pseudo load coefficient"/>
    <hyperlink ref="B110" location="'Multi'!B371" display="2423. Off-peak non half hourly units (MWh)"/>
    <hyperlink ref="B111" location="'Multi'!B380" display="2424. Off-peak non half hourly pseudo timeband load coefficients"/>
    <hyperlink ref="B112" location="'Multi'!B389" display="2425. Off-peak non half hourly timeband use"/>
    <hyperlink ref="B113" location="'Multi'!B399" display="2426. Off-peak non half hourly tariff pseudo load coefficient"/>
    <hyperlink ref="B114" location="'Multi'!B408" display="2427. Aggregated half hourly units (MWh)"/>
    <hyperlink ref="B115" location="'Multi'!B417" display="2428. Aggregated half hourly pseudo timeband load coefficients"/>
    <hyperlink ref="B116" location="'Multi'!B426" display="2429. Aggregated half hourly timeband use"/>
    <hyperlink ref="B117" location="'Multi'!B436" display="2430. Aggregated half hourly tariff pseudo load coefficient"/>
    <hyperlink ref="B118" location="'Multi'!B450" display="2431. Average non half hourly tariff pseudo load coefficient"/>
    <hyperlink ref="B119" location="'Multi'!B464" display="2432. Average non half hourly timeband use"/>
    <hyperlink ref="B120" location="'Multi'!B474" display="2433. Aggregated half hourly tariff pseudo load coefficient using average non half hourly unit mix"/>
    <hyperlink ref="B121" location="'Multi'!B484" display="2434. Relative correction factor for aggregated half hourly tariff"/>
    <hyperlink ref="B122" location="'Multi'!B501" display="2435. Correction factor for non half hourly tariffs"/>
    <hyperlink ref="B123" location="'Multi'!B511" display="2436. Single rate non half hourly corrected pseudo timeband load coefficient"/>
    <hyperlink ref="B124" location="'Multi'!B521" display="2437. Multi rate non half hourly corrected pseudo timeband load coefficient"/>
    <hyperlink ref="B125" location="'Multi'!B531" display="2438. Off-peak non half hourly corrected pseudo timeband load coefficient"/>
    <hyperlink ref="B126" location="'Multi'!B542" display="2439. Aggregated half hourly corrected pseudo timeband load coefficient"/>
    <hyperlink ref="B127" location="'Multi'!B555" display="2440. Pseudo load coefficient by time band and network level (equalised)"/>
    <hyperlink ref="B128" location="'Multi'!B580" display="2441. Unit rate 1 pseudo load coefficient by network level"/>
    <hyperlink ref="B129" location="'Multi'!B605" display="2442. Unit rate 2 pseudo load coefficient by network level"/>
    <hyperlink ref="B130" location="'Multi'!B626" display="2443. Unit rate 3 pseudo load coefficient by network level"/>
    <hyperlink ref="B131" location="'Multi'!B645" display="2444. Adjust annual hours by special distribution time band to match days in year"/>
    <hyperlink ref="B132" location="'Multi'!B658" display="2445. Normalisation of split of rate 1 units by special time band"/>
    <hyperlink ref="B133" location="'Multi'!B670" display="2446. Split of rate 1 units between special distribution time bands"/>
    <hyperlink ref="B134" location="'Multi'!B679" display="2447. Split of rate 2 units between special distribution time bands (default)"/>
    <hyperlink ref="B135" location="'Multi'!B684" display="2448. Split of rate 3 units between special distribution time bands (default)"/>
    <hyperlink ref="B136" location="'Multi'!B699" display="2449. Calculation of implied special load coefficients for one-rate users"/>
    <hyperlink ref="B137" location="'Multi'!B721" display="2450. Calculation of implied special load coefficients for three-rate users"/>
    <hyperlink ref="B138" location="'Multi'!B735" display="2451. Estimated contributions to peak demand"/>
    <hyperlink ref="B139" location="'Multi'!B748" display="2452. Load coefficient correction factor for the group"/>
    <hyperlink ref="B140" location="'Multi'!B766" display="2453. Calculation of special peaking probabilities"/>
    <hyperlink ref="B141" location="'Multi'!B784" display="2454. Special peaking probabilities by network level"/>
    <hyperlink ref="B142" location="'Multi'!B800" display="2455. Special peaking probabilities by network level (reshaped)"/>
    <hyperlink ref="B143" location="'Multi'!B811" display="2456. Pseudo load coefficient by special time band and network level"/>
    <hyperlink ref="B144" location="'Multi'!B820" display="2457. Unit rate 1 pseudo load coefficient by network level (special)"/>
    <hyperlink ref="B145" location="'Multi'!B833" display="2458. Unit rate 2 pseudo load coefficient by network level (special)"/>
    <hyperlink ref="B146" location="'Multi'!B842" display="2459. Unit rate 3 pseudo load coefficient by network level (special)"/>
    <hyperlink ref="B147" location="'Multi'!B851" display="2460. Unit rate 1 pseudo load coefficient by network level (combined)"/>
    <hyperlink ref="B148" location="'Multi'!B881" display="2461. Unit rate 2 pseudo load coefficient by network level (combined)"/>
    <hyperlink ref="B149" location="'Multi'!B903" display="2462. Unit rate 3 pseudo load coefficient by network level (combined)"/>
    <hyperlink ref="B150" location="'SMD'!B11" display="2501. Contributions of users on one-rate multi tariffs to system simultaneous maximum load by network level (kW)"/>
    <hyperlink ref="B151" location="'SMD'!B31" display="2502. Contributions of users on two-rate multi tariffs to system simultaneous maximum load by network level (kW)"/>
    <hyperlink ref="B152" location="'SMD'!B50" display="2503. Contributions of users on three-rate multi tariffs to system simultaneous maximum load by network level (kW)"/>
    <hyperlink ref="B153" location="'SMD'!B69" display="2504. Estimated contributions of users on each tariff to system simultaneous maximum load by network level (kW)"/>
    <hyperlink ref="B154" location="'SMD'!B106" display="2505. Contributions of users on each tariff to system simultaneous maximum load by network level (kW)"/>
    <hyperlink ref="B155" location="'SMD'!B140" display="2506. Forecast system simultaneous maximum load (kW) from forecast units"/>
    <hyperlink ref="B156" location="'AMD'!B12" display="2601. Pre-processing of data for standing charge factors"/>
    <hyperlink ref="B157" location="'AMD'!B40" display="2602. Standing charges factors adapted to use 132kV/HV"/>
    <hyperlink ref="B158" location="'AMD'!B69" display="2603. Capacity-based contributions to chargeable aggregate maximum load by network level (kW)"/>
    <hyperlink ref="B159" location="'AMD'!B83" display="2604. Unit-based contributions to chargeable aggregate maximum load (kW)"/>
    <hyperlink ref="B160" location="'AMD'!B100" display="2605. Contributions to aggregate maximum load by network level (kW)"/>
    <hyperlink ref="B161" location="'AMD'!B119" display="2606. Forecast chargeable aggregate maximum load (kW)"/>
    <hyperlink ref="B162" location="'AMD'!B128" display="2607. Forecast simultaneous load subject to standing charge factors (kW)"/>
    <hyperlink ref="B163" location="'AMD'!B154" display="2608. Forecast simultaneous load replaced by standing charge (kW)"/>
    <hyperlink ref="B164" location="'AMD'!B163" display="2609. Calculated LV diversity allowance"/>
    <hyperlink ref="B165" location="'AMD'!B168" display="2610. Network level mapping for diversity allowances"/>
    <hyperlink ref="B166" location="'AMD'!B184" display="2611. Diversity allowances including 132kV/HV"/>
    <hyperlink ref="B167" location="'AMD'!B201" display="2612. Diversity allowances (including calculated LV value)"/>
    <hyperlink ref="B168" location="'AMD'!B212" display="2613. Forecast simultaneous maximum load (kW) adjusted for standing charges"/>
    <hyperlink ref="B169" location="'Otex'!B9" display="2701. Operating expenditure coded by network level (£/year)"/>
    <hyperlink ref="B170" location="'Otex'!B19" display="2702. Network model assets (£) scaled by load forecast"/>
    <hyperlink ref="B171" location="'Otex'!B27" display="2703. Annual consumption by tariff for unmetered users (MWh)"/>
    <hyperlink ref="B172" location="'Otex'!B39" display="2704. Total unmetered units"/>
    <hyperlink ref="B173" location="'Otex'!B55" display="2705. Service model asset data"/>
    <hyperlink ref="B174" location="'Otex'!B67" display="2706. Data for allocation of operating expenditure"/>
    <hyperlink ref="B175" location="'Otex'!B78" display="2707. Amount of expenditure to be allocated according to asset values (£/year)"/>
    <hyperlink ref="B176" location="'Otex'!B89" display="2708. Total operating expenditure by network level  (£/year)"/>
    <hyperlink ref="B177" location="'Otex'!B98" display="2709. Operating expenditure percentage by network level"/>
    <hyperlink ref="B178" location="'Otex'!B107" display="2710. Unit operating expenditure based on simultaneous maximum load (£/kW/year)"/>
    <hyperlink ref="B179" location="'Otex'!B120" display="2711. Operating expenditure for customer assets p/MPAN/day"/>
    <hyperlink ref="B180" location="'Otex'!B155" display="2712. Operating expenditure for unmetered customer assets (p/kWh)"/>
    <hyperlink ref="B181" location="'Contrib'!B6" display="2801. Network level of supply (for customer contributions) by tariff"/>
    <hyperlink ref="B182" location="'Contrib'!B41" display="2802. Contribution proportion of asset annuities, by customer type and network level of assets"/>
    <hyperlink ref="B183" location="'Contrib'!B57" display="2803. Proportion of asset annuities deemed to be covered by customer contributions"/>
    <hyperlink ref="B184" location="'Contrib'!B93" display="2804. Proportion of annual charge covered by contributions (for all charging levels)"/>
    <hyperlink ref="B185" location="'Yard'!B10" display="2901. Unit cost at each level, £/kW/year (relative to system simultaneous maximum load)"/>
    <hyperlink ref="B186" location="'Yard'!B22" display="2902. Pay-as-you-go yardstick unit costs by charging level (p/kWh)"/>
    <hyperlink ref="B187" location="'Yard'!B60" display="2903. Contributions to pay-as-you-go unit rate 1 (p/kWh)"/>
    <hyperlink ref="B188" location="'Yard'!B93" display="2904. Contributions to pay-as-you-go unit rate 2 (p/kWh)"/>
    <hyperlink ref="B189" location="'Yard'!B118" display="2905. Contributions to pay-as-you-go unit rate 3 (p/kWh)"/>
    <hyperlink ref="B190" location="'Standing'!B10" display="3001. Costs based on aggregate maximum load (£/kW/year)"/>
    <hyperlink ref="B191" location="'Standing'!B24" display="3002. Capacity elements p/kVA/day"/>
    <hyperlink ref="B192" location="'Standing'!B51" display="3003. Yardstick components p/kWh (taking account of standing charges)"/>
    <hyperlink ref="B193" location="'Standing'!B78" display="3004. Contributions to unit rate 1 p/kWh by network level (taking account of standing charges)"/>
    <hyperlink ref="B194" location="'Standing'!B105" display="3005. Contributions to unit rate 2 p/kWh by network level (taking account of standing charges)"/>
    <hyperlink ref="B195" location="'Standing'!B124" display="3006. Contributions to unit rate 3 p/kWh by network level (taking account of standing charges)"/>
    <hyperlink ref="B196" location="'AggCap'!B6" display="3101. Mapping of tariffs to tariff groups"/>
    <hyperlink ref="B197" location="'AggCap'!B26" display="3102. Capacity use for tariffs charged for capacity on an exit point basis"/>
    <hyperlink ref="B198" location="'AggCap'!B43" display="3103. Aggregate capacity (kW)"/>
    <hyperlink ref="B199" location="'AggCap'!B52" display="3104. Aggregate number of users charged for capacity on an exit point basis"/>
    <hyperlink ref="B200" location="'AggCap'!B62" display="3105. Average maximum kVA by exit point"/>
    <hyperlink ref="B201" location="'AggCap'!B71" display="3106. Deemed average maximum kVA for each tariff"/>
    <hyperlink ref="B202" location="'AggCap'!B88" display="3107. Capacity-driven fixed charge elements from standing charges factors p/MPAN/day"/>
    <hyperlink ref="B203" location="'Reactive'!B7" display="3201. Network use factors for generator reactive unit charges"/>
    <hyperlink ref="B204" location="'Reactive'!B20" display="3202. Standard components p/kWh for reactive power (absolute value)"/>
    <hyperlink ref="B205" location="'Reactive'!B32" display="3203. Standard reactive p/kVArh"/>
    <hyperlink ref="B206" location="'Reactive'!B42" display="3204. Absolute value of load coefficient (kW peak / average kW)"/>
    <hyperlink ref="B207" location="'Reactive'!B61" display="3205. Pay-as-you-go components p/kWh for reactive power (absolute value)"/>
    <hyperlink ref="B208" location="'Reactive'!B76" display="3206. Pay-as-you-go reactive p/kVArh"/>
    <hyperlink ref="B209" location="'Aggreg'!B14" display="3301. Unit rate 1 p/kWh (elements)"/>
    <hyperlink ref="B210" location="'Aggreg'!B52" display="3302. Unit rate 2 p/kWh (elements)"/>
    <hyperlink ref="B211" location="'Aggreg'!B90" display="3303. Unit rate 3 p/kWh (elements)"/>
    <hyperlink ref="B212" location="'Aggreg'!B128" display="3304. Fixed charge p/MPAN/day (elements)"/>
    <hyperlink ref="B213" location="'Aggreg'!B162" display="3305. Capacity charge p/kVA/day (elements)"/>
    <hyperlink ref="B214" location="'Aggreg'!B197" display="3306. Reactive power charge p/kVArh (elements)"/>
    <hyperlink ref="B215" location="'Aggreg'!B237" display="3307. Summary of charges before revenue matching"/>
    <hyperlink ref="B216" location="'Revenue'!B20" display="3401. Net revenues by tariff before matching (£)"/>
    <hyperlink ref="B217" location="'Revenue'!B57" display="3402. Target CDCM revenue"/>
    <hyperlink ref="B218" location="'Revenue'!B68" display="3403. Revenue surplus or shortfall"/>
    <hyperlink ref="B219" location="'Scaler'!B9" display="3501. Factor to scale to £1/kW at transmission exit level"/>
    <hyperlink ref="B220" location="'Scaler'!B18" display="3502. Applicability factor for £1/kW scaler"/>
    <hyperlink ref="B221" location="'Scaler'!B33" display="3503. Scalable elements of tariff components"/>
    <hyperlink ref="B222" location="'Scaler'!B81" display="3504. Marginal revenue effect of scaler"/>
    <hyperlink ref="B223" location="'Scaler'!B127" display="3505. Scaler value at which the minimum is breached"/>
    <hyperlink ref="B224" location="'Scaler'!B167" display="3506. Constraint-free solution"/>
    <hyperlink ref="B225" location="'Scaler'!B181" display="3507. Starting point"/>
    <hyperlink ref="B226" location="'Scaler'!B210" display="3508. Solve for General scaler rate"/>
    <hyperlink ref="B227" location="'Scaler'!B380" display="3509. General scaler rate"/>
    <hyperlink ref="B228" location="'Scaler'!B415" display="3510. Scaler"/>
    <hyperlink ref="B229" location="'G-Calc'!B5" display="4301. Levels containing asset charges"/>
    <hyperlink ref="B230" location="'G-Calc'!B20" display="4302. Unrounded tariff analysis: Asset charges"/>
    <hyperlink ref="B231" location="'G-Calc'!B51" display="4303. Levels containing transmission exit charges"/>
    <hyperlink ref="B232" location="'G-Calc'!B66" display="4304. Unrounded tariff analysis: Transmission exit charges"/>
    <hyperlink ref="B233" location="'G-Calc'!B97" display="4305. Levels containing other expenditure charges"/>
    <hyperlink ref="B234" location="'G-Calc'!B112" display="4306. Unrounded tariff analysis: Other expenditure charges"/>
    <hyperlink ref="B235" location="'G-Calc'!B152" display="4307. Unrounded tariff analysis: Matching charges"/>
    <hyperlink ref="B236" location="'G-Calc'!B217" display="4308. Unrounded revenue analysis (baseline)"/>
    <hyperlink ref="B237" location="'G-Calc'!B255" display="4309. Unrounded revenue analysis (baseline totals)"/>
    <hyperlink ref="B238" location="'G-Calc'!B264" display="4310. MPANs excluding LDNO generation"/>
    <hyperlink ref="B239" location="'G-Calc'!B399" display="4311. Unrounded revenue analysis"/>
    <hyperlink ref="B240" location="'G-Calc'!B503" display="4312. Discount map (re-grouped)"/>
    <hyperlink ref="B241" location="'G-Calc'!B606" display="4313. Discount for each tariff (except for fixed charges)"/>
    <hyperlink ref="B242" location="'G-Calc'!B715" display="4314. Unrounded revenue analysis (with reordered tariff list)"/>
    <hyperlink ref="B243" location="'G-Calc'!B822" display="4315. Unrounded revenue analysis (by tariff group)"/>
    <hyperlink ref="B244" location="'G-Calc'!B851" display="4316. Scaling factors for run 1"/>
    <hyperlink ref="B245" location="'G-Calc'!B866" display="4317. Average p/kWh"/>
    <hyperlink ref="B246" location="'G-Calc'!B899" display="4318. Chargeable percentage"/>
    <hyperlink ref="B247" location="'G-Calc'!B1006" display="4319. Total discounted revenue by charge category"/>
    <hyperlink ref="B248" location="'G-Calc'!B1027" display="4320. Error values from run 1"/>
    <hyperlink ref="B249" location="'G-Calc'!B1032" display="4321. Scaling factors for run 2"/>
    <hyperlink ref="B250" location="'G-Calc'!B1047" display="4322. Average p/kWh"/>
    <hyperlink ref="B251" location="'G-Calc'!B1080" display="4323. Chargeable percentage"/>
    <hyperlink ref="B252" location="'G-Calc'!B1187" display="4324. Total discounted revenue by charge category"/>
    <hyperlink ref="B253" location="'G-Calc'!B1208" display="4325. Error values from run 2"/>
    <hyperlink ref="B254" location="'G-Calc'!B1213" display="4326. Scaling factors for run 3"/>
    <hyperlink ref="B255" location="'G-Calc'!B1228" display="4327. Average p/kWh"/>
    <hyperlink ref="B256" location="'G-Calc'!B1261" display="4328. Chargeable percentage"/>
    <hyperlink ref="B257" location="'G-Calc'!B1368" display="4329. Total discounted revenue by charge category"/>
    <hyperlink ref="B258" location="'G-Calc'!B1389" display="4330. Error values from run 3"/>
    <hyperlink ref="B259" location="'G-Calc'!B1394" display="4331. Scaling factors for run 4"/>
    <hyperlink ref="B260" location="'G-Calc'!B1409" display="4332. Average p/kWh"/>
    <hyperlink ref="B261" location="'G-Calc'!B1442" display="4333. Chargeable percentage"/>
    <hyperlink ref="B262" location="'G-Calc'!B1549" display="4334. Total discounted revenue by charge category"/>
    <hyperlink ref="B263" location="'G-Calc'!B1570" display="4335. Error values from run 4"/>
    <hyperlink ref="B264" location="'G-Calc'!B1601" display="4336. First derivatives (£ million)"/>
    <hyperlink ref="B265" location="'G-Calc'!B1611" display="4337. Co-determinants"/>
    <hyperlink ref="B266" location="'G-Calc'!B1619" display="4338. Determinant"/>
    <hyperlink ref="B267" location="'G-Calc'!B1635" display="4339. Scaling factors for run 7"/>
    <hyperlink ref="B268" location="'G-Calc'!B1646" display="4340. Scaling factors for run 5"/>
    <hyperlink ref="B269" location="'G-Calc'!B1661" display="4341. Average p/kWh"/>
    <hyperlink ref="B270" location="'G-Calc'!B1694" display="4342. Chargeable percentage"/>
    <hyperlink ref="B271" location="'G-Calc'!B1801" display="4343. Total discounted revenue by charge category"/>
    <hyperlink ref="B272" location="'G-Calc'!B1822" display="4344. Error values from run 5"/>
    <hyperlink ref="B273" location="'G-Calc'!B1833" display="4345. Scaling factors for run 6"/>
    <hyperlink ref="B274" location="'G-Calc'!B1848" display="4346. Average p/kWh"/>
    <hyperlink ref="B275" location="'G-Calc'!B1881" display="4347. Chargeable percentage"/>
    <hyperlink ref="B276" location="'G-Calc'!B1988" display="4348. Total discounted revenue by charge category"/>
    <hyperlink ref="B277" location="'G-Calc'!B2009" display="4349. Error values from run 6"/>
    <hyperlink ref="B278" location="'G-Calc'!B2024" display="4350. Average p/kWh"/>
    <hyperlink ref="B279" location="'G-Calc'!B2057" display="4351. Chargeable percentage"/>
    <hyperlink ref="B280" location="'G-Calc'!B2164" display="4352. Total discounted revenue by charge category"/>
    <hyperlink ref="B281" location="'G-Calc'!B2185" display="4353. Error values from run 7"/>
    <hyperlink ref="B282" location="'G-Calc'!B2216" display="4354. First derivatives (£ million)"/>
    <hyperlink ref="B283" location="'G-Calc'!B2226" display="4355. Co-determinants"/>
    <hyperlink ref="B284" location="'G-Calc'!B2234" display="4356. Determinant"/>
    <hyperlink ref="B285" location="'G-Calc'!B2250" display="4357. Final scaling factors"/>
    <hyperlink ref="B286" location="'G-Calc'!B2265" display="4358. All-the-way p/kWh"/>
    <hyperlink ref="B287" location="'G-Discounts'!B9" display="4401. LDNO discounts ⇒1038. For CDCM"/>
    <hyperlink ref="B288" location="'G-Discounts'!B111" display="4402. All-the-way reference p/kWh values ⇒1185. For EDCM model"/>
  </hyperlinks>
  <pageMargins left="0.7" right="0.7" top="0.75" bottom="0.75" header="0.3" footer="0.3"/>
  <pageSetup paperSize="9" scale="50" fitToHeight="0" orientation="portrait"/>
  <headerFooter>
    <oddHeader>&amp;L&amp;A&amp;C&amp;R&amp;P of &amp;N</oddHeader>
    <oddFooter>&amp;F</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60"/>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x14ac:dyDescent="0.25"/>
  <cols>
    <col min="1" max="1" width="50.7109375" customWidth="1"/>
    <col min="2" max="251" width="16.7109375" customWidth="1"/>
  </cols>
  <sheetData>
    <row r="1" spans="1:13" ht="21" customHeight="1" x14ac:dyDescent="0.3">
      <c r="A1" s="1" t="str">
        <f>"Other expenditure for "&amp;Input!B7&amp;" in "&amp;Input!C7&amp;" ("&amp;Input!D7&amp;")"</f>
        <v>Other expenditure for Electricity North West in 2017/2018 (December 2015)</v>
      </c>
    </row>
    <row r="3" spans="1:13" ht="21" customHeight="1" x14ac:dyDescent="0.3">
      <c r="A3" s="1" t="s">
        <v>873</v>
      </c>
    </row>
    <row r="4" spans="1:13" x14ac:dyDescent="0.25">
      <c r="A4" s="2" t="s">
        <v>350</v>
      </c>
    </row>
    <row r="5" spans="1:13" x14ac:dyDescent="0.25">
      <c r="A5" s="32" t="s">
        <v>874</v>
      </c>
    </row>
    <row r="6" spans="1:13" x14ac:dyDescent="0.25">
      <c r="A6" s="2" t="s">
        <v>875</v>
      </c>
    </row>
    <row r="7" spans="1:13" x14ac:dyDescent="0.25">
      <c r="A7" s="2" t="s">
        <v>368</v>
      </c>
    </row>
    <row r="9" spans="1:13" ht="30" x14ac:dyDescent="0.25">
      <c r="B9" s="15" t="s">
        <v>301</v>
      </c>
      <c r="C9" s="15" t="s">
        <v>876</v>
      </c>
      <c r="D9" s="15" t="s">
        <v>877</v>
      </c>
      <c r="E9" s="15" t="s">
        <v>878</v>
      </c>
      <c r="F9" s="15" t="s">
        <v>879</v>
      </c>
      <c r="G9" s="15" t="s">
        <v>880</v>
      </c>
      <c r="H9" s="15" t="s">
        <v>881</v>
      </c>
      <c r="I9" s="15" t="s">
        <v>882</v>
      </c>
      <c r="J9" s="15" t="s">
        <v>883</v>
      </c>
      <c r="K9" s="15" t="s">
        <v>884</v>
      </c>
      <c r="L9" s="15" t="s">
        <v>885</v>
      </c>
    </row>
    <row r="10" spans="1:13" ht="30" x14ac:dyDescent="0.25">
      <c r="A10" s="4" t="s">
        <v>886</v>
      </c>
      <c r="B10" s="43">
        <f>Input!$B293</f>
        <v>18525180.793004598</v>
      </c>
      <c r="C10" s="36">
        <v>0</v>
      </c>
      <c r="D10" s="36">
        <v>0</v>
      </c>
      <c r="E10" s="36">
        <v>0</v>
      </c>
      <c r="F10" s="36">
        <v>0</v>
      </c>
      <c r="G10" s="36">
        <v>0</v>
      </c>
      <c r="H10" s="36">
        <v>0</v>
      </c>
      <c r="I10" s="36">
        <v>0</v>
      </c>
      <c r="J10" s="36">
        <v>0</v>
      </c>
      <c r="K10" s="36">
        <v>0</v>
      </c>
      <c r="L10" s="36">
        <v>0</v>
      </c>
      <c r="M10" s="17"/>
    </row>
    <row r="12" spans="1:13" ht="21" customHeight="1" x14ac:dyDescent="0.3">
      <c r="A12" s="1" t="s">
        <v>887</v>
      </c>
    </row>
    <row r="13" spans="1:13" x14ac:dyDescent="0.25">
      <c r="A13" s="2" t="s">
        <v>350</v>
      </c>
    </row>
    <row r="14" spans="1:13" x14ac:dyDescent="0.25">
      <c r="A14" s="32" t="s">
        <v>445</v>
      </c>
    </row>
    <row r="15" spans="1:13" x14ac:dyDescent="0.25">
      <c r="A15" s="32" t="s">
        <v>888</v>
      </c>
    </row>
    <row r="16" spans="1:13" x14ac:dyDescent="0.25">
      <c r="A16" s="32" t="s">
        <v>889</v>
      </c>
    </row>
    <row r="17" spans="1:10" x14ac:dyDescent="0.25">
      <c r="A17" s="2" t="s">
        <v>890</v>
      </c>
    </row>
    <row r="19" spans="1:10" ht="30" x14ac:dyDescent="0.25">
      <c r="B19" s="15" t="s">
        <v>313</v>
      </c>
      <c r="C19" s="15" t="s">
        <v>314</v>
      </c>
      <c r="D19" s="15" t="s">
        <v>315</v>
      </c>
      <c r="E19" s="15" t="s">
        <v>316</v>
      </c>
      <c r="F19" s="15" t="s">
        <v>317</v>
      </c>
      <c r="G19" s="15" t="s">
        <v>318</v>
      </c>
      <c r="H19" s="15" t="s">
        <v>319</v>
      </c>
      <c r="I19" s="15" t="s">
        <v>320</v>
      </c>
    </row>
    <row r="20" spans="1:10" x14ac:dyDescent="0.25">
      <c r="A20" s="4" t="s">
        <v>891</v>
      </c>
      <c r="B20" s="21">
        <f>IF(DRM!$B$113,AMD!$C213*Input!$B$90/DRM!$B$113/1000,0)</f>
        <v>729635038.29796612</v>
      </c>
      <c r="C20" s="21">
        <f>IF(DRM!$B$114,AMD!$D213*Input!$B$91/DRM!$B$114/1000,0)</f>
        <v>288611066.28164512</v>
      </c>
      <c r="D20" s="21">
        <f>IF(DRM!$B$115,AMD!$E213*Input!$B$92/DRM!$B$115/1000,0)</f>
        <v>750095093.32663679</v>
      </c>
      <c r="E20" s="21">
        <f>IF(DRM!$B$116,AMD!$F213*Input!$B$93/DRM!$B$116/1000,0)</f>
        <v>549906037.87965345</v>
      </c>
      <c r="F20" s="21">
        <f>IF(DRM!$B$117,AMD!$G213*Input!$B$94/DRM!$B$117/1000,0)</f>
        <v>0</v>
      </c>
      <c r="G20" s="21">
        <f>IF(DRM!$B$118,AMD!$H213*Input!$B$95/DRM!$B$118/1000,0)</f>
        <v>1029778299.000645</v>
      </c>
      <c r="H20" s="21">
        <f>IF(DRM!$B$119,AMD!$I213*Input!$B$96/DRM!$B$119/1000,0)</f>
        <v>803236892.35179555</v>
      </c>
      <c r="I20" s="21">
        <f>IF(DRM!$B$120,AMD!$J213*Input!$B$97/DRM!$B$120/1000,0)</f>
        <v>316644573.66532552</v>
      </c>
      <c r="J20" s="17"/>
    </row>
    <row r="22" spans="1:10" ht="21" customHeight="1" x14ac:dyDescent="0.3">
      <c r="A22" s="1" t="s">
        <v>892</v>
      </c>
    </row>
    <row r="23" spans="1:10" x14ac:dyDescent="0.25">
      <c r="A23" s="2" t="s">
        <v>350</v>
      </c>
    </row>
    <row r="24" spans="1:10" x14ac:dyDescent="0.25">
      <c r="A24" s="32" t="s">
        <v>573</v>
      </c>
    </row>
    <row r="25" spans="1:10" x14ac:dyDescent="0.25">
      <c r="A25" s="2" t="s">
        <v>632</v>
      </c>
    </row>
    <row r="27" spans="1:10" ht="75" x14ac:dyDescent="0.25">
      <c r="B27" s="15" t="s">
        <v>893</v>
      </c>
    </row>
    <row r="28" spans="1:10" x14ac:dyDescent="0.25">
      <c r="A28" s="4" t="s">
        <v>215</v>
      </c>
      <c r="B28" s="43">
        <f>Multi!B$133</f>
        <v>36671.232710255303</v>
      </c>
      <c r="C28" s="17"/>
    </row>
    <row r="29" spans="1:10" x14ac:dyDescent="0.25">
      <c r="A29" s="4" t="s">
        <v>216</v>
      </c>
      <c r="B29" s="43">
        <f>Multi!B$134</f>
        <v>10149.072782016661</v>
      </c>
      <c r="C29" s="17"/>
    </row>
    <row r="30" spans="1:10" x14ac:dyDescent="0.25">
      <c r="A30" s="4" t="s">
        <v>217</v>
      </c>
      <c r="B30" s="43">
        <f>Multi!B$135</f>
        <v>265.80818738323097</v>
      </c>
      <c r="C30" s="17"/>
    </row>
    <row r="31" spans="1:10" x14ac:dyDescent="0.25">
      <c r="A31" s="4" t="s">
        <v>218</v>
      </c>
      <c r="B31" s="43">
        <f>Multi!B$136</f>
        <v>7.86378751503896E-2</v>
      </c>
      <c r="C31" s="17"/>
    </row>
    <row r="32" spans="1:10" x14ac:dyDescent="0.25">
      <c r="A32" s="4" t="s">
        <v>219</v>
      </c>
      <c r="B32" s="43">
        <f>Multi!B$137</f>
        <v>260654.37782110399</v>
      </c>
      <c r="C32" s="17"/>
    </row>
    <row r="34" spans="1:3" ht="21" customHeight="1" x14ac:dyDescent="0.3">
      <c r="A34" s="1" t="s">
        <v>894</v>
      </c>
    </row>
    <row r="35" spans="1:3" x14ac:dyDescent="0.25">
      <c r="A35" s="2" t="s">
        <v>350</v>
      </c>
    </row>
    <row r="36" spans="1:3" x14ac:dyDescent="0.25">
      <c r="A36" s="32" t="s">
        <v>895</v>
      </c>
    </row>
    <row r="37" spans="1:3" x14ac:dyDescent="0.25">
      <c r="A37" s="2" t="s">
        <v>820</v>
      </c>
    </row>
    <row r="39" spans="1:3" ht="30" x14ac:dyDescent="0.25">
      <c r="B39" s="15" t="s">
        <v>896</v>
      </c>
    </row>
    <row r="40" spans="1:3" x14ac:dyDescent="0.25">
      <c r="A40" s="4" t="s">
        <v>896</v>
      </c>
      <c r="B40" s="21">
        <f>SUM(B$28:B$32)</f>
        <v>307740.57013863436</v>
      </c>
      <c r="C40" s="17"/>
    </row>
    <row r="42" spans="1:3" ht="21" customHeight="1" x14ac:dyDescent="0.3">
      <c r="A42" s="1" t="s">
        <v>897</v>
      </c>
    </row>
    <row r="43" spans="1:3" x14ac:dyDescent="0.25">
      <c r="A43" s="2" t="s">
        <v>350</v>
      </c>
    </row>
    <row r="44" spans="1:3" x14ac:dyDescent="0.25">
      <c r="A44" s="32" t="s">
        <v>898</v>
      </c>
    </row>
    <row r="45" spans="1:3" x14ac:dyDescent="0.25">
      <c r="A45" s="32" t="s">
        <v>899</v>
      </c>
    </row>
    <row r="46" spans="1:3" x14ac:dyDescent="0.25">
      <c r="A46" s="32" t="s">
        <v>900</v>
      </c>
    </row>
    <row r="47" spans="1:3" x14ac:dyDescent="0.25">
      <c r="A47" s="32" t="s">
        <v>901</v>
      </c>
    </row>
    <row r="48" spans="1:3" x14ac:dyDescent="0.25">
      <c r="A48" s="32" t="s">
        <v>902</v>
      </c>
    </row>
    <row r="49" spans="1:13" x14ac:dyDescent="0.25">
      <c r="A49" s="32" t="s">
        <v>903</v>
      </c>
    </row>
    <row r="50" spans="1:13" x14ac:dyDescent="0.25">
      <c r="A50" s="32" t="s">
        <v>904</v>
      </c>
    </row>
    <row r="51" spans="1:13" x14ac:dyDescent="0.25">
      <c r="A51" s="33" t="s">
        <v>353</v>
      </c>
      <c r="B51" s="33" t="s">
        <v>355</v>
      </c>
      <c r="C51" s="33"/>
      <c r="D51" s="33" t="s">
        <v>483</v>
      </c>
      <c r="E51" s="33" t="s">
        <v>412</v>
      </c>
      <c r="F51" s="33"/>
      <c r="G51" s="33" t="s">
        <v>483</v>
      </c>
      <c r="H51" s="33"/>
    </row>
    <row r="52" spans="1:13" x14ac:dyDescent="0.25">
      <c r="A52" s="33" t="s">
        <v>356</v>
      </c>
      <c r="B52" s="33" t="s">
        <v>358</v>
      </c>
      <c r="C52" s="33"/>
      <c r="D52" s="33" t="s">
        <v>905</v>
      </c>
      <c r="E52" s="33" t="s">
        <v>906</v>
      </c>
      <c r="F52" s="33"/>
      <c r="G52" s="33" t="s">
        <v>907</v>
      </c>
      <c r="H52" s="33"/>
    </row>
    <row r="54" spans="1:13" ht="30" x14ac:dyDescent="0.25">
      <c r="B54" s="31" t="s">
        <v>908</v>
      </c>
      <c r="C54" s="31"/>
      <c r="E54" s="31" t="s">
        <v>909</v>
      </c>
      <c r="F54" s="31"/>
      <c r="G54" s="31" t="s">
        <v>910</v>
      </c>
      <c r="H54" s="31"/>
    </row>
    <row r="55" spans="1:13" ht="45" x14ac:dyDescent="0.25">
      <c r="B55" s="15" t="s">
        <v>462</v>
      </c>
      <c r="C55" s="15" t="s">
        <v>474</v>
      </c>
      <c r="D55" s="15" t="s">
        <v>909</v>
      </c>
      <c r="E55" s="15" t="s">
        <v>462</v>
      </c>
      <c r="F55" s="15" t="s">
        <v>474</v>
      </c>
      <c r="G55" s="15" t="s">
        <v>462</v>
      </c>
      <c r="H55" s="15" t="s">
        <v>474</v>
      </c>
    </row>
    <row r="56" spans="1:13" x14ac:dyDescent="0.25">
      <c r="A56" s="4" t="s">
        <v>911</v>
      </c>
      <c r="B56" s="21">
        <f>SUMPRODUCT(SM!B$66:B$92,Loads!$E$302:$E$328)</f>
        <v>1262707403.1680331</v>
      </c>
      <c r="C56" s="21">
        <f>SUMPRODUCT(SM!C$66:C$92,Loads!$E$302:$E$328)</f>
        <v>37341579.790674023</v>
      </c>
      <c r="D56" s="21">
        <f>SM!B35*$B40</f>
        <v>248797184.9887307</v>
      </c>
      <c r="E56" s="43">
        <f>$D56</f>
        <v>248797184.9887307</v>
      </c>
      <c r="F56" s="10"/>
      <c r="G56" s="21">
        <f>B56+E56</f>
        <v>1511504588.1567638</v>
      </c>
      <c r="H56" s="21">
        <f>C56+F56</f>
        <v>37341579.790674023</v>
      </c>
      <c r="I56" s="17"/>
    </row>
    <row r="58" spans="1:13" ht="21" customHeight="1" x14ac:dyDescent="0.3">
      <c r="A58" s="1" t="s">
        <v>912</v>
      </c>
    </row>
    <row r="59" spans="1:13" x14ac:dyDescent="0.25">
      <c r="A59" s="2" t="s">
        <v>350</v>
      </c>
    </row>
    <row r="60" spans="1:13" x14ac:dyDescent="0.25">
      <c r="A60" s="32" t="s">
        <v>913</v>
      </c>
    </row>
    <row r="61" spans="1:13" x14ac:dyDescent="0.25">
      <c r="A61" s="32" t="s">
        <v>914</v>
      </c>
    </row>
    <row r="62" spans="1:13" x14ac:dyDescent="0.25">
      <c r="A62" s="32" t="s">
        <v>915</v>
      </c>
    </row>
    <row r="63" spans="1:13" x14ac:dyDescent="0.25">
      <c r="A63" s="33" t="s">
        <v>353</v>
      </c>
      <c r="B63" s="34" t="s">
        <v>517</v>
      </c>
      <c r="C63" s="34"/>
      <c r="D63" s="34"/>
      <c r="E63" s="34"/>
      <c r="F63" s="34"/>
      <c r="G63" s="34"/>
      <c r="H63" s="34"/>
      <c r="I63" s="34"/>
      <c r="J63" s="34"/>
      <c r="K63" s="34"/>
      <c r="L63" s="34"/>
      <c r="M63" s="33" t="s">
        <v>484</v>
      </c>
    </row>
    <row r="64" spans="1:13" x14ac:dyDescent="0.25">
      <c r="A64" s="33" t="s">
        <v>356</v>
      </c>
      <c r="B64" s="34" t="s">
        <v>742</v>
      </c>
      <c r="C64" s="34"/>
      <c r="D64" s="34"/>
      <c r="E64" s="34"/>
      <c r="F64" s="34"/>
      <c r="G64" s="34"/>
      <c r="H64" s="34"/>
      <c r="I64" s="34"/>
      <c r="J64" s="34"/>
      <c r="K64" s="34"/>
      <c r="L64" s="34"/>
      <c r="M64" s="33" t="s">
        <v>536</v>
      </c>
    </row>
    <row r="66" spans="1:14" x14ac:dyDescent="0.25">
      <c r="B66" s="35" t="s">
        <v>916</v>
      </c>
      <c r="C66" s="35"/>
      <c r="D66" s="35"/>
      <c r="E66" s="35"/>
      <c r="F66" s="35"/>
      <c r="G66" s="35"/>
      <c r="H66" s="35"/>
      <c r="I66" s="35"/>
      <c r="J66" s="35"/>
      <c r="K66" s="35"/>
      <c r="L66" s="35"/>
    </row>
    <row r="67" spans="1:14" ht="60" x14ac:dyDescent="0.25">
      <c r="B67" s="15" t="s">
        <v>139</v>
      </c>
      <c r="C67" s="15" t="s">
        <v>313</v>
      </c>
      <c r="D67" s="15" t="s">
        <v>314</v>
      </c>
      <c r="E67" s="15" t="s">
        <v>315</v>
      </c>
      <c r="F67" s="15" t="s">
        <v>316</v>
      </c>
      <c r="G67" s="15" t="s">
        <v>317</v>
      </c>
      <c r="H67" s="15" t="s">
        <v>318</v>
      </c>
      <c r="I67" s="15" t="s">
        <v>319</v>
      </c>
      <c r="J67" s="15" t="s">
        <v>320</v>
      </c>
      <c r="K67" s="15" t="s">
        <v>462</v>
      </c>
      <c r="L67" s="15" t="s">
        <v>474</v>
      </c>
      <c r="M67" s="15" t="s">
        <v>917</v>
      </c>
    </row>
    <row r="68" spans="1:14" x14ac:dyDescent="0.25">
      <c r="A68" s="4" t="s">
        <v>918</v>
      </c>
      <c r="B68" s="10"/>
      <c r="C68" s="43">
        <f>$B20</f>
        <v>729635038.29796612</v>
      </c>
      <c r="D68" s="43">
        <f>$C20</f>
        <v>288611066.28164512</v>
      </c>
      <c r="E68" s="43">
        <f>$D20</f>
        <v>750095093.32663679</v>
      </c>
      <c r="F68" s="43">
        <f>$E20</f>
        <v>549906037.87965345</v>
      </c>
      <c r="G68" s="43">
        <f>$F20</f>
        <v>0</v>
      </c>
      <c r="H68" s="43">
        <f>$G20</f>
        <v>1029778299.000645</v>
      </c>
      <c r="I68" s="43">
        <f>$H20</f>
        <v>803236892.35179555</v>
      </c>
      <c r="J68" s="43">
        <f>$I20</f>
        <v>316644573.66532552</v>
      </c>
      <c r="K68" s="43">
        <f>$G56</f>
        <v>1511504588.1567638</v>
      </c>
      <c r="L68" s="43">
        <f>$H56</f>
        <v>37341579.790674023</v>
      </c>
      <c r="M68" s="43">
        <f>SUM($B68:$L68)</f>
        <v>6016753168.7511063</v>
      </c>
      <c r="N68" s="17"/>
    </row>
    <row r="70" spans="1:14" ht="21" customHeight="1" x14ac:dyDescent="0.3">
      <c r="A70" s="1" t="s">
        <v>919</v>
      </c>
    </row>
    <row r="71" spans="1:14" x14ac:dyDescent="0.25">
      <c r="A71" s="2" t="s">
        <v>350</v>
      </c>
    </row>
    <row r="72" spans="1:14" x14ac:dyDescent="0.25">
      <c r="A72" s="32" t="s">
        <v>920</v>
      </c>
    </row>
    <row r="73" spans="1:14" x14ac:dyDescent="0.25">
      <c r="A73" s="32" t="s">
        <v>921</v>
      </c>
    </row>
    <row r="74" spans="1:14" x14ac:dyDescent="0.25">
      <c r="A74" s="32" t="s">
        <v>922</v>
      </c>
    </row>
    <row r="75" spans="1:14" x14ac:dyDescent="0.25">
      <c r="A75" s="32" t="s">
        <v>923</v>
      </c>
    </row>
    <row r="76" spans="1:14" x14ac:dyDescent="0.25">
      <c r="A76" s="2" t="s">
        <v>924</v>
      </c>
    </row>
    <row r="78" spans="1:14" ht="90" x14ac:dyDescent="0.25">
      <c r="B78" s="15" t="s">
        <v>925</v>
      </c>
    </row>
    <row r="79" spans="1:14" x14ac:dyDescent="0.25">
      <c r="A79" s="4" t="s">
        <v>308</v>
      </c>
      <c r="B79" s="21">
        <f>Input!B298+Input!E298+Input!C298*Input!D298</f>
        <v>113645169.21572015</v>
      </c>
      <c r="C79" s="17"/>
    </row>
    <row r="81" spans="1:13" ht="21" customHeight="1" x14ac:dyDescent="0.3">
      <c r="A81" s="1" t="s">
        <v>926</v>
      </c>
    </row>
    <row r="82" spans="1:13" x14ac:dyDescent="0.25">
      <c r="A82" s="2" t="s">
        <v>350</v>
      </c>
    </row>
    <row r="83" spans="1:13" x14ac:dyDescent="0.25">
      <c r="A83" s="32" t="s">
        <v>927</v>
      </c>
    </row>
    <row r="84" spans="1:13" x14ac:dyDescent="0.25">
      <c r="A84" s="32" t="s">
        <v>928</v>
      </c>
    </row>
    <row r="85" spans="1:13" x14ac:dyDescent="0.25">
      <c r="A85" s="32" t="s">
        <v>929</v>
      </c>
    </row>
    <row r="86" spans="1:13" x14ac:dyDescent="0.25">
      <c r="A86" s="32" t="s">
        <v>930</v>
      </c>
    </row>
    <row r="87" spans="1:13" x14ac:dyDescent="0.25">
      <c r="A87" s="2" t="s">
        <v>931</v>
      </c>
    </row>
    <row r="89" spans="1:13" ht="30" x14ac:dyDescent="0.25">
      <c r="B89" s="15" t="s">
        <v>301</v>
      </c>
      <c r="C89" s="15" t="s">
        <v>876</v>
      </c>
      <c r="D89" s="15" t="s">
        <v>877</v>
      </c>
      <c r="E89" s="15" t="s">
        <v>878</v>
      </c>
      <c r="F89" s="15" t="s">
        <v>879</v>
      </c>
      <c r="G89" s="15" t="s">
        <v>880</v>
      </c>
      <c r="H89" s="15" t="s">
        <v>881</v>
      </c>
      <c r="I89" s="15" t="s">
        <v>882</v>
      </c>
      <c r="J89" s="15" t="s">
        <v>883</v>
      </c>
      <c r="K89" s="15" t="s">
        <v>884</v>
      </c>
      <c r="L89" s="15" t="s">
        <v>885</v>
      </c>
    </row>
    <row r="90" spans="1:13" x14ac:dyDescent="0.25">
      <c r="A90" s="4" t="s">
        <v>932</v>
      </c>
      <c r="B90" s="21">
        <f t="shared" ref="B90:L90" si="0">B10+$B79/$M68*B68</f>
        <v>18525180.793004598</v>
      </c>
      <c r="C90" s="21">
        <f t="shared" si="0"/>
        <v>13781435.778975515</v>
      </c>
      <c r="D90" s="21">
        <f t="shared" si="0"/>
        <v>5451321.0938176317</v>
      </c>
      <c r="E90" s="21">
        <f t="shared" si="0"/>
        <v>14167887.798974013</v>
      </c>
      <c r="F90" s="21">
        <f t="shared" si="0"/>
        <v>10386692.452692272</v>
      </c>
      <c r="G90" s="21">
        <f t="shared" si="0"/>
        <v>0</v>
      </c>
      <c r="H90" s="21">
        <f t="shared" si="0"/>
        <v>19450578.370476257</v>
      </c>
      <c r="I90" s="21">
        <f t="shared" si="0"/>
        <v>15171636.593923422</v>
      </c>
      <c r="J90" s="21">
        <f t="shared" si="0"/>
        <v>5980821.4075208427</v>
      </c>
      <c r="K90" s="21">
        <f t="shared" si="0"/>
        <v>28549483.396386039</v>
      </c>
      <c r="L90" s="21">
        <f t="shared" si="0"/>
        <v>705312.32295412989</v>
      </c>
      <c r="M90" s="17"/>
    </row>
    <row r="92" spans="1:13" ht="21" customHeight="1" x14ac:dyDescent="0.3">
      <c r="A92" s="1" t="s">
        <v>933</v>
      </c>
    </row>
    <row r="93" spans="1:13" x14ac:dyDescent="0.25">
      <c r="A93" s="2" t="s">
        <v>350</v>
      </c>
    </row>
    <row r="94" spans="1:13" x14ac:dyDescent="0.25">
      <c r="A94" s="32" t="s">
        <v>934</v>
      </c>
    </row>
    <row r="95" spans="1:13" x14ac:dyDescent="0.25">
      <c r="A95" s="32" t="s">
        <v>935</v>
      </c>
    </row>
    <row r="96" spans="1:13" x14ac:dyDescent="0.25">
      <c r="A96" s="2" t="s">
        <v>936</v>
      </c>
    </row>
    <row r="98" spans="1:13" ht="30" x14ac:dyDescent="0.25">
      <c r="B98" s="15" t="s">
        <v>301</v>
      </c>
      <c r="C98" s="15" t="s">
        <v>876</v>
      </c>
      <c r="D98" s="15" t="s">
        <v>877</v>
      </c>
      <c r="E98" s="15" t="s">
        <v>878</v>
      </c>
      <c r="F98" s="15" t="s">
        <v>879</v>
      </c>
      <c r="G98" s="15" t="s">
        <v>880</v>
      </c>
      <c r="H98" s="15" t="s">
        <v>881</v>
      </c>
      <c r="I98" s="15" t="s">
        <v>882</v>
      </c>
      <c r="J98" s="15" t="s">
        <v>883</v>
      </c>
      <c r="K98" s="15" t="s">
        <v>884</v>
      </c>
      <c r="L98" s="15" t="s">
        <v>885</v>
      </c>
    </row>
    <row r="99" spans="1:13" x14ac:dyDescent="0.25">
      <c r="A99" s="4" t="s">
        <v>937</v>
      </c>
      <c r="B99" s="39" t="str">
        <f t="shared" ref="B99:L99" si="1">IF(B68="","",IF(B68&gt;0,B90/B68,0))</f>
        <v/>
      </c>
      <c r="C99" s="39">
        <f t="shared" si="1"/>
        <v>1.8888122219464322E-2</v>
      </c>
      <c r="D99" s="39">
        <f t="shared" si="1"/>
        <v>1.8888122219464322E-2</v>
      </c>
      <c r="E99" s="39">
        <f t="shared" si="1"/>
        <v>1.8888122219464322E-2</v>
      </c>
      <c r="F99" s="39">
        <f t="shared" si="1"/>
        <v>1.8888122219464322E-2</v>
      </c>
      <c r="G99" s="39">
        <f t="shared" si="1"/>
        <v>0</v>
      </c>
      <c r="H99" s="39">
        <f t="shared" si="1"/>
        <v>1.8888122219464322E-2</v>
      </c>
      <c r="I99" s="39">
        <f t="shared" si="1"/>
        <v>1.8888122219464322E-2</v>
      </c>
      <c r="J99" s="39">
        <f t="shared" si="1"/>
        <v>1.8888122219464322E-2</v>
      </c>
      <c r="K99" s="39">
        <f t="shared" si="1"/>
        <v>1.8888122219464322E-2</v>
      </c>
      <c r="L99" s="39">
        <f t="shared" si="1"/>
        <v>1.8888122219464322E-2</v>
      </c>
      <c r="M99" s="17"/>
    </row>
    <row r="101" spans="1:13" ht="21" customHeight="1" x14ac:dyDescent="0.3">
      <c r="A101" s="1" t="s">
        <v>938</v>
      </c>
    </row>
    <row r="102" spans="1:13" x14ac:dyDescent="0.25">
      <c r="A102" s="2" t="s">
        <v>350</v>
      </c>
    </row>
    <row r="103" spans="1:13" x14ac:dyDescent="0.25">
      <c r="A103" s="32" t="s">
        <v>939</v>
      </c>
    </row>
    <row r="104" spans="1:13" x14ac:dyDescent="0.25">
      <c r="A104" s="32" t="s">
        <v>935</v>
      </c>
    </row>
    <row r="105" spans="1:13" x14ac:dyDescent="0.25">
      <c r="A105" s="2" t="s">
        <v>940</v>
      </c>
    </row>
    <row r="107" spans="1:13" ht="30" x14ac:dyDescent="0.25">
      <c r="B107" s="15" t="s">
        <v>301</v>
      </c>
      <c r="C107" s="15" t="s">
        <v>876</v>
      </c>
      <c r="D107" s="15" t="s">
        <v>877</v>
      </c>
      <c r="E107" s="15" t="s">
        <v>878</v>
      </c>
      <c r="F107" s="15" t="s">
        <v>879</v>
      </c>
      <c r="G107" s="15" t="s">
        <v>880</v>
      </c>
      <c r="H107" s="15" t="s">
        <v>881</v>
      </c>
      <c r="I107" s="15" t="s">
        <v>882</v>
      </c>
      <c r="J107" s="15" t="s">
        <v>883</v>
      </c>
    </row>
    <row r="108" spans="1:13" ht="30" x14ac:dyDescent="0.25">
      <c r="A108" s="4" t="s">
        <v>941</v>
      </c>
      <c r="B108" s="37">
        <f>IF(AMD!B213&gt;0,$B90/AMD!B213,0)</f>
        <v>4.9984767394208101</v>
      </c>
      <c r="C108" s="37">
        <f>IF(AMD!C213&gt;0,$C90/AMD!C213,0)</f>
        <v>3.841118496892697</v>
      </c>
      <c r="D108" s="37">
        <f>IF(AMD!D213&gt;0,$D90/AMD!D213,0)</f>
        <v>1.5268354958480908</v>
      </c>
      <c r="E108" s="37">
        <f>IF(AMD!E213&gt;0,$E90/AMD!E213,0)</f>
        <v>3.8798400504110031</v>
      </c>
      <c r="F108" s="37">
        <f>IF(AMD!F213&gt;0,$F90/AMD!F213,0)</f>
        <v>2.4606655951004526</v>
      </c>
      <c r="G108" s="37">
        <f>IF(AMD!G213&gt;0,$G90/AMD!G213,0)</f>
        <v>0</v>
      </c>
      <c r="H108" s="37">
        <f>IF(AMD!H213&gt;0,$H90/AMD!H213,0)</f>
        <v>4.5209539637236444</v>
      </c>
      <c r="I108" s="37">
        <f>IF(AMD!I213&gt;0,$I90/AMD!I213,0)</f>
        <v>4.158491369745474</v>
      </c>
      <c r="J108" s="37">
        <f>IF(AMD!J213&gt;0,$J90/AMD!J213,0)</f>
        <v>2.4200363282644508</v>
      </c>
      <c r="K108" s="17"/>
    </row>
    <row r="110" spans="1:13" ht="21" customHeight="1" x14ac:dyDescent="0.3">
      <c r="A110" s="1" t="s">
        <v>942</v>
      </c>
    </row>
    <row r="111" spans="1:13" x14ac:dyDescent="0.25">
      <c r="A111" s="2" t="s">
        <v>350</v>
      </c>
    </row>
    <row r="112" spans="1:13" x14ac:dyDescent="0.25">
      <c r="A112" s="32" t="s">
        <v>479</v>
      </c>
    </row>
    <row r="113" spans="1:5" x14ac:dyDescent="0.25">
      <c r="A113" s="32" t="s">
        <v>943</v>
      </c>
    </row>
    <row r="114" spans="1:5" x14ac:dyDescent="0.25">
      <c r="A114" s="32" t="s">
        <v>944</v>
      </c>
    </row>
    <row r="115" spans="1:5" x14ac:dyDescent="0.25">
      <c r="A115" s="32" t="s">
        <v>945</v>
      </c>
    </row>
    <row r="116" spans="1:5" x14ac:dyDescent="0.25">
      <c r="A116" s="33" t="s">
        <v>353</v>
      </c>
      <c r="B116" s="33" t="s">
        <v>483</v>
      </c>
      <c r="C116" s="33"/>
      <c r="D116" s="33" t="s">
        <v>484</v>
      </c>
    </row>
    <row r="117" spans="1:5" x14ac:dyDescent="0.25">
      <c r="A117" s="33" t="s">
        <v>356</v>
      </c>
      <c r="B117" s="33" t="s">
        <v>946</v>
      </c>
      <c r="C117" s="33"/>
      <c r="D117" s="33" t="s">
        <v>537</v>
      </c>
    </row>
    <row r="119" spans="1:5" ht="30" x14ac:dyDescent="0.25">
      <c r="B119" s="31" t="s">
        <v>947</v>
      </c>
      <c r="C119" s="31"/>
    </row>
    <row r="120" spans="1:5" ht="75" x14ac:dyDescent="0.25">
      <c r="B120" s="15" t="s">
        <v>884</v>
      </c>
      <c r="C120" s="15" t="s">
        <v>885</v>
      </c>
      <c r="D120" s="15" t="s">
        <v>948</v>
      </c>
    </row>
    <row r="121" spans="1:5" x14ac:dyDescent="0.25">
      <c r="A121" s="4" t="s">
        <v>171</v>
      </c>
      <c r="B121" s="37">
        <f>100/Input!$F$58*$K$99*SM!$B66</f>
        <v>2.649615817034479</v>
      </c>
      <c r="C121" s="37">
        <f>100/Input!$F$58*$L$99*SM!$C66</f>
        <v>0</v>
      </c>
      <c r="D121" s="37">
        <f t="shared" ref="D121:D147" si="2">SUM($B121:$C121)</f>
        <v>2.649615817034479</v>
      </c>
      <c r="E121" s="17"/>
    </row>
    <row r="122" spans="1:5" x14ac:dyDescent="0.25">
      <c r="A122" s="4" t="s">
        <v>172</v>
      </c>
      <c r="B122" s="37">
        <f>100/Input!$F$58*$K$99*SM!$B67</f>
        <v>2.649615817034479</v>
      </c>
      <c r="C122" s="37">
        <f>100/Input!$F$58*$L$99*SM!$C67</f>
        <v>0</v>
      </c>
      <c r="D122" s="37">
        <f t="shared" si="2"/>
        <v>2.649615817034479</v>
      </c>
      <c r="E122" s="17"/>
    </row>
    <row r="123" spans="1:5" x14ac:dyDescent="0.25">
      <c r="A123" s="4" t="s">
        <v>213</v>
      </c>
      <c r="B123" s="37">
        <f>100/Input!$F$58*$K$99*SM!$B68</f>
        <v>0</v>
      </c>
      <c r="C123" s="37">
        <f>100/Input!$F$58*$L$99*SM!$C68</f>
        <v>0</v>
      </c>
      <c r="D123" s="37">
        <f t="shared" si="2"/>
        <v>0</v>
      </c>
      <c r="E123" s="17"/>
    </row>
    <row r="124" spans="1:5" x14ac:dyDescent="0.25">
      <c r="A124" s="4" t="s">
        <v>173</v>
      </c>
      <c r="B124" s="37">
        <f>100/Input!$F$58*$K$99*SM!$B69</f>
        <v>2.6496158170344684</v>
      </c>
      <c r="C124" s="37">
        <f>100/Input!$F$58*$L$99*SM!$C69</f>
        <v>0</v>
      </c>
      <c r="D124" s="37">
        <f t="shared" si="2"/>
        <v>2.6496158170344684</v>
      </c>
      <c r="E124" s="17"/>
    </row>
    <row r="125" spans="1:5" x14ac:dyDescent="0.25">
      <c r="A125" s="4" t="s">
        <v>174</v>
      </c>
      <c r="B125" s="37">
        <f>100/Input!$F$58*$K$99*SM!$B70</f>
        <v>2.6496158170344684</v>
      </c>
      <c r="C125" s="37">
        <f>100/Input!$F$58*$L$99*SM!$C70</f>
        <v>0</v>
      </c>
      <c r="D125" s="37">
        <f t="shared" si="2"/>
        <v>2.6496158170344684</v>
      </c>
      <c r="E125" s="17"/>
    </row>
    <row r="126" spans="1:5" x14ac:dyDescent="0.25">
      <c r="A126" s="4" t="s">
        <v>214</v>
      </c>
      <c r="B126" s="37">
        <f>100/Input!$F$58*$K$99*SM!$B71</f>
        <v>0</v>
      </c>
      <c r="C126" s="37">
        <f>100/Input!$F$58*$L$99*SM!$C71</f>
        <v>0</v>
      </c>
      <c r="D126" s="37">
        <f t="shared" si="2"/>
        <v>0</v>
      </c>
      <c r="E126" s="17"/>
    </row>
    <row r="127" spans="1:5" x14ac:dyDescent="0.25">
      <c r="A127" s="4" t="s">
        <v>175</v>
      </c>
      <c r="B127" s="37">
        <f>100/Input!$F$58*$K$99*SM!$B72</f>
        <v>10.575137064552598</v>
      </c>
      <c r="C127" s="37">
        <f>100/Input!$F$58*$L$99*SM!$C72</f>
        <v>0</v>
      </c>
      <c r="D127" s="37">
        <f t="shared" si="2"/>
        <v>10.575137064552598</v>
      </c>
      <c r="E127" s="17"/>
    </row>
    <row r="128" spans="1:5" x14ac:dyDescent="0.25">
      <c r="A128" s="4" t="s">
        <v>176</v>
      </c>
      <c r="B128" s="37">
        <f>100/Input!$F$58*$K$99*SM!$B73</f>
        <v>39.987232179652239</v>
      </c>
      <c r="C128" s="37">
        <f>100/Input!$F$58*$L$99*SM!$C73</f>
        <v>0</v>
      </c>
      <c r="D128" s="37">
        <f t="shared" si="2"/>
        <v>39.987232179652239</v>
      </c>
      <c r="E128" s="17"/>
    </row>
    <row r="129" spans="1:5" x14ac:dyDescent="0.25">
      <c r="A129" s="4" t="s">
        <v>192</v>
      </c>
      <c r="B129" s="37">
        <f>100/Input!$F$58*$K$99*SM!$B74</f>
        <v>0</v>
      </c>
      <c r="C129" s="37">
        <f>100/Input!$F$58*$L$99*SM!$C74</f>
        <v>87.92659195212633</v>
      </c>
      <c r="D129" s="37">
        <f t="shared" si="2"/>
        <v>87.92659195212633</v>
      </c>
      <c r="E129" s="17"/>
    </row>
    <row r="130" spans="1:5" x14ac:dyDescent="0.25">
      <c r="A130" s="4" t="s">
        <v>177</v>
      </c>
      <c r="B130" s="37">
        <f>100/Input!$F$58*$K$99*SM!$B75</f>
        <v>2.649615817034479</v>
      </c>
      <c r="C130" s="37">
        <f>100/Input!$F$58*$L$99*SM!$C75</f>
        <v>0</v>
      </c>
      <c r="D130" s="37">
        <f t="shared" si="2"/>
        <v>2.649615817034479</v>
      </c>
      <c r="E130" s="17"/>
    </row>
    <row r="131" spans="1:5" x14ac:dyDescent="0.25">
      <c r="A131" s="4" t="s">
        <v>178</v>
      </c>
      <c r="B131" s="37">
        <f>100/Input!$F$58*$K$99*SM!$B76</f>
        <v>2.6496158170344684</v>
      </c>
      <c r="C131" s="37">
        <f>100/Input!$F$58*$L$99*SM!$C76</f>
        <v>0</v>
      </c>
      <c r="D131" s="37">
        <f t="shared" si="2"/>
        <v>2.6496158170344684</v>
      </c>
      <c r="E131" s="17"/>
    </row>
    <row r="132" spans="1:5" x14ac:dyDescent="0.25">
      <c r="A132" s="4" t="s">
        <v>179</v>
      </c>
      <c r="B132" s="37">
        <f>100/Input!$F$58*$K$99*SM!$B77</f>
        <v>12.456619612572952</v>
      </c>
      <c r="C132" s="37">
        <f>100/Input!$F$58*$L$99*SM!$C77</f>
        <v>0</v>
      </c>
      <c r="D132" s="37">
        <f t="shared" si="2"/>
        <v>12.456619612572952</v>
      </c>
      <c r="E132" s="17"/>
    </row>
    <row r="133" spans="1:5" x14ac:dyDescent="0.25">
      <c r="A133" s="4" t="s">
        <v>180</v>
      </c>
      <c r="B133" s="37">
        <f>100/Input!$F$58*$K$99*SM!$B78</f>
        <v>39.987232179652239</v>
      </c>
      <c r="C133" s="37">
        <f>100/Input!$F$58*$L$99*SM!$C78</f>
        <v>0</v>
      </c>
      <c r="D133" s="37">
        <f t="shared" si="2"/>
        <v>39.987232179652239</v>
      </c>
      <c r="E133" s="17"/>
    </row>
    <row r="134" spans="1:5" x14ac:dyDescent="0.25">
      <c r="A134" s="4" t="s">
        <v>193</v>
      </c>
      <c r="B134" s="37">
        <f>100/Input!$F$58*$K$99*SM!$B79</f>
        <v>0</v>
      </c>
      <c r="C134" s="37">
        <f>100/Input!$F$58*$L$99*SM!$C79</f>
        <v>87.92659195212633</v>
      </c>
      <c r="D134" s="37">
        <f t="shared" si="2"/>
        <v>87.92659195212633</v>
      </c>
      <c r="E134" s="17"/>
    </row>
    <row r="135" spans="1:5" x14ac:dyDescent="0.25">
      <c r="A135" s="4" t="s">
        <v>215</v>
      </c>
      <c r="B135" s="37">
        <f>100/Input!$F$58*$K$99*SM!$B80</f>
        <v>0</v>
      </c>
      <c r="C135" s="37">
        <f>100/Input!$F$58*$L$99*SM!$C80</f>
        <v>0</v>
      </c>
      <c r="D135" s="37">
        <f t="shared" si="2"/>
        <v>0</v>
      </c>
      <c r="E135" s="17"/>
    </row>
    <row r="136" spans="1:5" x14ac:dyDescent="0.25">
      <c r="A136" s="4" t="s">
        <v>216</v>
      </c>
      <c r="B136" s="37">
        <f>100/Input!$F$58*$K$99*SM!$B81</f>
        <v>0</v>
      </c>
      <c r="C136" s="37">
        <f>100/Input!$F$58*$L$99*SM!$C81</f>
        <v>0</v>
      </c>
      <c r="D136" s="37">
        <f t="shared" si="2"/>
        <v>0</v>
      </c>
      <c r="E136" s="17"/>
    </row>
    <row r="137" spans="1:5" x14ac:dyDescent="0.25">
      <c r="A137" s="4" t="s">
        <v>217</v>
      </c>
      <c r="B137" s="37">
        <f>100/Input!$F$58*$K$99*SM!$B82</f>
        <v>0</v>
      </c>
      <c r="C137" s="37">
        <f>100/Input!$F$58*$L$99*SM!$C82</f>
        <v>0</v>
      </c>
      <c r="D137" s="37">
        <f t="shared" si="2"/>
        <v>0</v>
      </c>
      <c r="E137" s="17"/>
    </row>
    <row r="138" spans="1:5" x14ac:dyDescent="0.25">
      <c r="A138" s="4" t="s">
        <v>218</v>
      </c>
      <c r="B138" s="37">
        <f>100/Input!$F$58*$K$99*SM!$B83</f>
        <v>0</v>
      </c>
      <c r="C138" s="37">
        <f>100/Input!$F$58*$L$99*SM!$C83</f>
        <v>0</v>
      </c>
      <c r="D138" s="37">
        <f t="shared" si="2"/>
        <v>0</v>
      </c>
      <c r="E138" s="17"/>
    </row>
    <row r="139" spans="1:5" x14ac:dyDescent="0.25">
      <c r="A139" s="4" t="s">
        <v>219</v>
      </c>
      <c r="B139" s="37">
        <f>100/Input!$F$58*$K$99*SM!$B84</f>
        <v>0</v>
      </c>
      <c r="C139" s="37">
        <f>100/Input!$F$58*$L$99*SM!$C84</f>
        <v>0</v>
      </c>
      <c r="D139" s="37">
        <f t="shared" si="2"/>
        <v>0</v>
      </c>
      <c r="E139" s="17"/>
    </row>
    <row r="140" spans="1:5" x14ac:dyDescent="0.25">
      <c r="A140" s="4" t="s">
        <v>181</v>
      </c>
      <c r="B140" s="37">
        <f>100/Input!$F$58*$K$99*SM!$B85</f>
        <v>0</v>
      </c>
      <c r="C140" s="37">
        <f>100/Input!$F$58*$L$99*SM!$C85</f>
        <v>0</v>
      </c>
      <c r="D140" s="37">
        <f t="shared" si="2"/>
        <v>0</v>
      </c>
      <c r="E140" s="17"/>
    </row>
    <row r="141" spans="1:5" x14ac:dyDescent="0.25">
      <c r="A141" s="4" t="s">
        <v>182</v>
      </c>
      <c r="B141" s="37">
        <f>100/Input!$F$58*$K$99*SM!$B86</f>
        <v>0</v>
      </c>
      <c r="C141" s="37">
        <f>100/Input!$F$58*$L$99*SM!$C86</f>
        <v>0</v>
      </c>
      <c r="D141" s="37">
        <f t="shared" si="2"/>
        <v>0</v>
      </c>
      <c r="E141" s="17"/>
    </row>
    <row r="142" spans="1:5" x14ac:dyDescent="0.25">
      <c r="A142" s="4" t="s">
        <v>183</v>
      </c>
      <c r="B142" s="37">
        <f>100/Input!$F$58*$K$99*SM!$B87</f>
        <v>0</v>
      </c>
      <c r="C142" s="37">
        <f>100/Input!$F$58*$L$99*SM!$C87</f>
        <v>0</v>
      </c>
      <c r="D142" s="37">
        <f t="shared" si="2"/>
        <v>0</v>
      </c>
      <c r="E142" s="17"/>
    </row>
    <row r="143" spans="1:5" x14ac:dyDescent="0.25">
      <c r="A143" s="4" t="s">
        <v>184</v>
      </c>
      <c r="B143" s="37">
        <f>100/Input!$F$58*$K$99*SM!$B88</f>
        <v>0</v>
      </c>
      <c r="C143" s="37">
        <f>100/Input!$F$58*$L$99*SM!$C88</f>
        <v>0</v>
      </c>
      <c r="D143" s="37">
        <f t="shared" si="2"/>
        <v>0</v>
      </c>
      <c r="E143" s="17"/>
    </row>
    <row r="144" spans="1:5" x14ac:dyDescent="0.25">
      <c r="A144" s="4" t="s">
        <v>185</v>
      </c>
      <c r="B144" s="37">
        <f>100/Input!$F$58*$K$99*SM!$B89</f>
        <v>0</v>
      </c>
      <c r="C144" s="37">
        <f>100/Input!$F$58*$L$99*SM!$C89</f>
        <v>0</v>
      </c>
      <c r="D144" s="37">
        <f t="shared" si="2"/>
        <v>0</v>
      </c>
      <c r="E144" s="17"/>
    </row>
    <row r="145" spans="1:5" x14ac:dyDescent="0.25">
      <c r="A145" s="4" t="s">
        <v>186</v>
      </c>
      <c r="B145" s="37">
        <f>100/Input!$F$58*$K$99*SM!$B90</f>
        <v>0</v>
      </c>
      <c r="C145" s="37">
        <f>100/Input!$F$58*$L$99*SM!$C90</f>
        <v>0</v>
      </c>
      <c r="D145" s="37">
        <f t="shared" si="2"/>
        <v>0</v>
      </c>
      <c r="E145" s="17"/>
    </row>
    <row r="146" spans="1:5" x14ac:dyDescent="0.25">
      <c r="A146" s="4" t="s">
        <v>194</v>
      </c>
      <c r="B146" s="37">
        <f>100/Input!$F$58*$K$99*SM!$B91</f>
        <v>0</v>
      </c>
      <c r="C146" s="37">
        <f>100/Input!$F$58*$L$99*SM!$C91</f>
        <v>5.9206889028113041</v>
      </c>
      <c r="D146" s="37">
        <f t="shared" si="2"/>
        <v>5.9206889028113041</v>
      </c>
      <c r="E146" s="17"/>
    </row>
    <row r="147" spans="1:5" x14ac:dyDescent="0.25">
      <c r="A147" s="4" t="s">
        <v>195</v>
      </c>
      <c r="B147" s="37">
        <f>100/Input!$F$58*$K$99*SM!$B92</f>
        <v>0</v>
      </c>
      <c r="C147" s="37">
        <f>100/Input!$F$58*$L$99*SM!$C92</f>
        <v>5.9206889028113041</v>
      </c>
      <c r="D147" s="37">
        <f t="shared" si="2"/>
        <v>5.9206889028113041</v>
      </c>
      <c r="E147" s="17"/>
    </row>
    <row r="149" spans="1:5" ht="21" customHeight="1" x14ac:dyDescent="0.3">
      <c r="A149" s="1" t="s">
        <v>949</v>
      </c>
    </row>
    <row r="150" spans="1:5" x14ac:dyDescent="0.25">
      <c r="A150" s="2" t="s">
        <v>350</v>
      </c>
    </row>
    <row r="151" spans="1:5" x14ac:dyDescent="0.25">
      <c r="A151" s="32" t="s">
        <v>950</v>
      </c>
    </row>
    <row r="152" spans="1:5" x14ac:dyDescent="0.25">
      <c r="A152" s="32" t="s">
        <v>468</v>
      </c>
    </row>
    <row r="153" spans="1:5" x14ac:dyDescent="0.25">
      <c r="A153" s="2" t="s">
        <v>951</v>
      </c>
    </row>
    <row r="155" spans="1:5" ht="30" x14ac:dyDescent="0.25">
      <c r="B155" s="15" t="s">
        <v>884</v>
      </c>
    </row>
    <row r="156" spans="1:5" x14ac:dyDescent="0.25">
      <c r="A156" s="4" t="s">
        <v>215</v>
      </c>
      <c r="B156" s="37">
        <f>0.1*$K$99*SM!$B$35</f>
        <v>1.5270367621041392</v>
      </c>
      <c r="C156" s="17"/>
    </row>
    <row r="157" spans="1:5" x14ac:dyDescent="0.25">
      <c r="A157" s="4" t="s">
        <v>216</v>
      </c>
      <c r="B157" s="37">
        <f>0.1*$K$99*SM!$B$35</f>
        <v>1.5270367621041392</v>
      </c>
      <c r="C157" s="17"/>
    </row>
    <row r="158" spans="1:5" x14ac:dyDescent="0.25">
      <c r="A158" s="4" t="s">
        <v>217</v>
      </c>
      <c r="B158" s="37">
        <f>0.1*$K$99*SM!$B$35</f>
        <v>1.5270367621041392</v>
      </c>
      <c r="C158" s="17"/>
    </row>
    <row r="159" spans="1:5" x14ac:dyDescent="0.25">
      <c r="A159" s="4" t="s">
        <v>218</v>
      </c>
      <c r="B159" s="37">
        <f>0.1*$K$99*SM!$B$35</f>
        <v>1.5270367621041392</v>
      </c>
      <c r="C159" s="17"/>
    </row>
    <row r="160" spans="1:5" x14ac:dyDescent="0.25">
      <c r="A160" s="4" t="s">
        <v>219</v>
      </c>
      <c r="B160" s="37">
        <f>0.1*$K$99*SM!$B$35</f>
        <v>1.5270367621041392</v>
      </c>
      <c r="C160" s="17"/>
    </row>
  </sheetData>
  <sheetProtection sheet="1" objects="1" scenarios="1"/>
  <hyperlinks>
    <hyperlink ref="A5" location="'Input'!B292" display="x1 = 1055. Transmission exit charges (£/year)"/>
    <hyperlink ref="A14" location="'DRM'!B112" display="x1 = 2108. GSP simultaneous maximum load assumed through each network level (MW)"/>
    <hyperlink ref="A15" location="'AMD'!B212" display="x2 = 2613. Forecast simultaneous maximum load (kW) adjusted for standing charges"/>
    <hyperlink ref="A16" location="'Input'!B89" display="x3 = 1020. Gross asset cost by network level (£)"/>
    <hyperlink ref="A24" location="'Multi'!B118" display="x1 = 2407. All units (MWh)"/>
    <hyperlink ref="A36" location="'Otex'!B27" display="x1 = 2703. Annual consumption by tariff for unmetered users (MWh)"/>
    <hyperlink ref="A44" location="'SM'!B65" display="x1 = 2205. Service model assets by tariff (£)"/>
    <hyperlink ref="A45" location="'Loads'!E301" display="x2 = 2305. MPANs (in Equivalent volume for each end user)"/>
    <hyperlink ref="A46" location="'SM'!B34" display="x3 = 2202. LV unmetered service model assets £/(MWh/year)"/>
    <hyperlink ref="A47" location="'Otex'!B39" display="x4 = 2704. Total unmetered units"/>
    <hyperlink ref="A48" location="'Otex'!D55" display="x5 = Service model assets (£) scaled by annual MWh (in Service model asset data)"/>
    <hyperlink ref="A49" location="'Otex'!B55" display="x6 = Service model assets (£) scaled by user count (in Service model asset data)"/>
    <hyperlink ref="A50" location="'Otex'!E55" display="x7 = Service model assets (£) scaled by annual MWh (in Service model asset data)"/>
    <hyperlink ref="A60" location="'Otex'!B19" display="x1 = 2702. Network model assets (£) scaled by load forecast"/>
    <hyperlink ref="A61" location="'Otex'!G55" display="x2 = 2705. Service model assets (£) (in Service model asset data)"/>
    <hyperlink ref="A62" location="'Otex'!B67" display="x3 = Model assets (£) scaled by demand forecast (in Data for allocation of operating expenditure)"/>
    <hyperlink ref="A72" location="'Input'!B297" display="x1 = 1059. Direct cost (£/year) (in Other expenditure)"/>
    <hyperlink ref="A73" location="'Input'!E297" display="x2 = 1059. Network rates (£/year) (in Other expenditure)"/>
    <hyperlink ref="A74" location="'Input'!C297" display="x3 = 1059. Indirect cost (£/year) (in Other expenditure)"/>
    <hyperlink ref="A75" location="'Input'!D297" display="x4 = 1059. Indirect cost proportion (in Other expenditure)"/>
    <hyperlink ref="A83" location="'Otex'!B9" display="x1 = 2701. Operating expenditure coded by network level (£/year)"/>
    <hyperlink ref="A84" location="'Otex'!B78" display="x2 = 2707. Amount of expenditure to be allocated according to asset values (£/year)"/>
    <hyperlink ref="A85" location="'Otex'!M67" display="x3 = 2706. Denominator for allocation of operating expenditure (in Data for allocation of operating expenditure)"/>
    <hyperlink ref="A86" location="'Otex'!B67" display="x4 = 2706. Model assets (£) scaled by demand forecast (in Data for allocation of operating expenditure)"/>
    <hyperlink ref="A94" location="'Otex'!B67" display="x1 = 2706. Model assets (£) scaled by demand forecast (in Data for allocation of operating expenditure)"/>
    <hyperlink ref="A95" location="'Otex'!B89" display="x2 = 2708. Total operating expenditure by network level  (£/year)"/>
    <hyperlink ref="A103" location="'AMD'!B212" display="x1 = 2613. Forecast simultaneous maximum load (kW) adjusted for standing charges"/>
    <hyperlink ref="A104" location="'Otex'!B89" display="x2 = 2708. Total operating expenditure by network level  (£/year)"/>
    <hyperlink ref="A112" location="'Input'!F57" display="x1 = 1010. Days in the charging year (in Financial and general assumptions)"/>
    <hyperlink ref="A113" location="'Otex'!B98" display="x2 = 2709. Operating expenditure percentage by network level"/>
    <hyperlink ref="A114" location="'SM'!B65" display="x3 = 2205. Service model assets by tariff (£)"/>
    <hyperlink ref="A115" location="'Otex'!B120" display="x4 = Operating expenditure p/MPAN/day by level (in Operating expenditure for customer assets p/MPAN/day)"/>
    <hyperlink ref="A151" location="'Otex'!B98" display="x1 = 2709. Operating expenditure percentage by network level"/>
    <hyperlink ref="A152" location="'SM'!B34" display="x2 = 2202. LV unmetered service model assets £/(MWh/year)"/>
  </hyperlinks>
  <pageMargins left="0.7" right="0.7" top="0.75" bottom="0.75" header="0.3" footer="0.3"/>
  <pageSetup paperSize="9" fitToHeight="0" orientation="portrait"/>
  <headerFooter>
    <oddHeader>&amp;L&amp;A&amp;C&amp;R&amp;P of &amp;N</oddHeader>
    <oddFooter>&amp;F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120"/>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x14ac:dyDescent="0.25"/>
  <cols>
    <col min="1" max="1" width="50.7109375" customWidth="1"/>
    <col min="2" max="251" width="24.7109375" customWidth="1"/>
  </cols>
  <sheetData>
    <row r="1" spans="1:6" ht="21" customHeight="1" x14ac:dyDescent="0.3">
      <c r="A1" s="1" t="str">
        <f>"Customer contributions for "&amp;Input!B7&amp;" in "&amp;Input!C7&amp;" ("&amp;Input!D7&amp;")"</f>
        <v>Customer contributions for Electricity North West in 2017/2018 (December 2015)</v>
      </c>
    </row>
    <row r="2" spans="1:6" x14ac:dyDescent="0.25">
      <c r="A2" s="2" t="s">
        <v>952</v>
      </c>
    </row>
    <row r="4" spans="1:6" ht="21" customHeight="1" x14ac:dyDescent="0.3">
      <c r="A4" s="1" t="s">
        <v>953</v>
      </c>
    </row>
    <row r="6" spans="1:6" x14ac:dyDescent="0.25">
      <c r="B6" s="15" t="s">
        <v>321</v>
      </c>
      <c r="C6" s="15" t="s">
        <v>322</v>
      </c>
      <c r="D6" s="15" t="s">
        <v>323</v>
      </c>
      <c r="E6" s="15" t="s">
        <v>324</v>
      </c>
    </row>
    <row r="7" spans="1:6" x14ac:dyDescent="0.25">
      <c r="A7" s="4" t="s">
        <v>171</v>
      </c>
      <c r="B7" s="40">
        <v>1</v>
      </c>
      <c r="C7" s="40">
        <v>0</v>
      </c>
      <c r="D7" s="40">
        <v>0</v>
      </c>
      <c r="E7" s="40">
        <v>0</v>
      </c>
      <c r="F7" s="17"/>
    </row>
    <row r="8" spans="1:6" x14ac:dyDescent="0.25">
      <c r="A8" s="4" t="s">
        <v>172</v>
      </c>
      <c r="B8" s="40">
        <v>1</v>
      </c>
      <c r="C8" s="40">
        <v>0</v>
      </c>
      <c r="D8" s="40">
        <v>0</v>
      </c>
      <c r="E8" s="40">
        <v>0</v>
      </c>
      <c r="F8" s="17"/>
    </row>
    <row r="9" spans="1:6" x14ac:dyDescent="0.25">
      <c r="A9" s="4" t="s">
        <v>213</v>
      </c>
      <c r="B9" s="40">
        <v>1</v>
      </c>
      <c r="C9" s="40">
        <v>0</v>
      </c>
      <c r="D9" s="40">
        <v>0</v>
      </c>
      <c r="E9" s="40">
        <v>0</v>
      </c>
      <c r="F9" s="17"/>
    </row>
    <row r="10" spans="1:6" x14ac:dyDescent="0.25">
      <c r="A10" s="4" t="s">
        <v>173</v>
      </c>
      <c r="B10" s="40">
        <v>1</v>
      </c>
      <c r="C10" s="40">
        <v>0</v>
      </c>
      <c r="D10" s="40">
        <v>0</v>
      </c>
      <c r="E10" s="40">
        <v>0</v>
      </c>
      <c r="F10" s="17"/>
    </row>
    <row r="11" spans="1:6" x14ac:dyDescent="0.25">
      <c r="A11" s="4" t="s">
        <v>174</v>
      </c>
      <c r="B11" s="40">
        <v>1</v>
      </c>
      <c r="C11" s="40">
        <v>0</v>
      </c>
      <c r="D11" s="40">
        <v>0</v>
      </c>
      <c r="E11" s="40">
        <v>0</v>
      </c>
      <c r="F11" s="17"/>
    </row>
    <row r="12" spans="1:6" x14ac:dyDescent="0.25">
      <c r="A12" s="4" t="s">
        <v>214</v>
      </c>
      <c r="B12" s="40">
        <v>1</v>
      </c>
      <c r="C12" s="40">
        <v>0</v>
      </c>
      <c r="D12" s="40">
        <v>0</v>
      </c>
      <c r="E12" s="40">
        <v>0</v>
      </c>
      <c r="F12" s="17"/>
    </row>
    <row r="13" spans="1:6" x14ac:dyDescent="0.25">
      <c r="A13" s="4" t="s">
        <v>175</v>
      </c>
      <c r="B13" s="40">
        <v>1</v>
      </c>
      <c r="C13" s="40">
        <v>0</v>
      </c>
      <c r="D13" s="40">
        <v>0</v>
      </c>
      <c r="E13" s="40">
        <v>0</v>
      </c>
      <c r="F13" s="17"/>
    </row>
    <row r="14" spans="1:6" x14ac:dyDescent="0.25">
      <c r="A14" s="4" t="s">
        <v>176</v>
      </c>
      <c r="B14" s="40">
        <v>0</v>
      </c>
      <c r="C14" s="40">
        <v>1</v>
      </c>
      <c r="D14" s="40">
        <v>0</v>
      </c>
      <c r="E14" s="40">
        <v>0</v>
      </c>
      <c r="F14" s="17"/>
    </row>
    <row r="15" spans="1:6" x14ac:dyDescent="0.25">
      <c r="A15" s="4" t="s">
        <v>192</v>
      </c>
      <c r="B15" s="40">
        <v>0</v>
      </c>
      <c r="C15" s="40">
        <v>0</v>
      </c>
      <c r="D15" s="40">
        <v>1</v>
      </c>
      <c r="E15" s="40">
        <v>0</v>
      </c>
      <c r="F15" s="17"/>
    </row>
    <row r="16" spans="1:6" x14ac:dyDescent="0.25">
      <c r="A16" s="4" t="s">
        <v>177</v>
      </c>
      <c r="B16" s="40">
        <v>1</v>
      </c>
      <c r="C16" s="40">
        <v>0</v>
      </c>
      <c r="D16" s="40">
        <v>0</v>
      </c>
      <c r="E16" s="40">
        <v>0</v>
      </c>
      <c r="F16" s="17"/>
    </row>
    <row r="17" spans="1:6" x14ac:dyDescent="0.25">
      <c r="A17" s="4" t="s">
        <v>178</v>
      </c>
      <c r="B17" s="40">
        <v>1</v>
      </c>
      <c r="C17" s="40">
        <v>0</v>
      </c>
      <c r="D17" s="40">
        <v>0</v>
      </c>
      <c r="E17" s="40">
        <v>0</v>
      </c>
      <c r="F17" s="17"/>
    </row>
    <row r="18" spans="1:6" x14ac:dyDescent="0.25">
      <c r="A18" s="4" t="s">
        <v>179</v>
      </c>
      <c r="B18" s="40">
        <v>1</v>
      </c>
      <c r="C18" s="40">
        <v>0</v>
      </c>
      <c r="D18" s="40">
        <v>0</v>
      </c>
      <c r="E18" s="40">
        <v>0</v>
      </c>
      <c r="F18" s="17"/>
    </row>
    <row r="19" spans="1:6" x14ac:dyDescent="0.25">
      <c r="A19" s="4" t="s">
        <v>180</v>
      </c>
      <c r="B19" s="40">
        <v>0</v>
      </c>
      <c r="C19" s="40">
        <v>1</v>
      </c>
      <c r="D19" s="40">
        <v>0</v>
      </c>
      <c r="E19" s="40">
        <v>0</v>
      </c>
      <c r="F19" s="17"/>
    </row>
    <row r="20" spans="1:6" x14ac:dyDescent="0.25">
      <c r="A20" s="4" t="s">
        <v>193</v>
      </c>
      <c r="B20" s="40">
        <v>0</v>
      </c>
      <c r="C20" s="40">
        <v>0</v>
      </c>
      <c r="D20" s="40">
        <v>1</v>
      </c>
      <c r="E20" s="40">
        <v>0</v>
      </c>
      <c r="F20" s="17"/>
    </row>
    <row r="21" spans="1:6" x14ac:dyDescent="0.25">
      <c r="A21" s="4" t="s">
        <v>215</v>
      </c>
      <c r="B21" s="40">
        <v>1</v>
      </c>
      <c r="C21" s="40">
        <v>0</v>
      </c>
      <c r="D21" s="40">
        <v>0</v>
      </c>
      <c r="E21" s="40">
        <v>0</v>
      </c>
      <c r="F21" s="17"/>
    </row>
    <row r="22" spans="1:6" x14ac:dyDescent="0.25">
      <c r="A22" s="4" t="s">
        <v>216</v>
      </c>
      <c r="B22" s="40">
        <v>1</v>
      </c>
      <c r="C22" s="40">
        <v>0</v>
      </c>
      <c r="D22" s="40">
        <v>0</v>
      </c>
      <c r="E22" s="40">
        <v>0</v>
      </c>
      <c r="F22" s="17"/>
    </row>
    <row r="23" spans="1:6" x14ac:dyDescent="0.25">
      <c r="A23" s="4" t="s">
        <v>217</v>
      </c>
      <c r="B23" s="40">
        <v>1</v>
      </c>
      <c r="C23" s="40">
        <v>0</v>
      </c>
      <c r="D23" s="40">
        <v>0</v>
      </c>
      <c r="E23" s="40">
        <v>0</v>
      </c>
      <c r="F23" s="17"/>
    </row>
    <row r="24" spans="1:6" x14ac:dyDescent="0.25">
      <c r="A24" s="4" t="s">
        <v>218</v>
      </c>
      <c r="B24" s="40">
        <v>1</v>
      </c>
      <c r="C24" s="40">
        <v>0</v>
      </c>
      <c r="D24" s="40">
        <v>0</v>
      </c>
      <c r="E24" s="40">
        <v>0</v>
      </c>
      <c r="F24" s="17"/>
    </row>
    <row r="25" spans="1:6" x14ac:dyDescent="0.25">
      <c r="A25" s="4" t="s">
        <v>219</v>
      </c>
      <c r="B25" s="40">
        <v>1</v>
      </c>
      <c r="C25" s="40">
        <v>0</v>
      </c>
      <c r="D25" s="40">
        <v>0</v>
      </c>
      <c r="E25" s="40">
        <v>0</v>
      </c>
      <c r="F25" s="17"/>
    </row>
    <row r="26" spans="1:6" x14ac:dyDescent="0.25">
      <c r="A26" s="4" t="s">
        <v>181</v>
      </c>
      <c r="B26" s="40">
        <v>1</v>
      </c>
      <c r="C26" s="40">
        <v>0</v>
      </c>
      <c r="D26" s="40">
        <v>0</v>
      </c>
      <c r="E26" s="40">
        <v>0</v>
      </c>
      <c r="F26" s="17"/>
    </row>
    <row r="27" spans="1:6" x14ac:dyDescent="0.25">
      <c r="A27" s="4" t="s">
        <v>182</v>
      </c>
      <c r="B27" s="40">
        <v>0</v>
      </c>
      <c r="C27" s="40">
        <v>1</v>
      </c>
      <c r="D27" s="40">
        <v>0</v>
      </c>
      <c r="E27" s="40">
        <v>0</v>
      </c>
      <c r="F27" s="17"/>
    </row>
    <row r="28" spans="1:6" x14ac:dyDescent="0.25">
      <c r="A28" s="4" t="s">
        <v>183</v>
      </c>
      <c r="B28" s="40">
        <v>1</v>
      </c>
      <c r="C28" s="40">
        <v>0</v>
      </c>
      <c r="D28" s="40">
        <v>0</v>
      </c>
      <c r="E28" s="40">
        <v>0</v>
      </c>
      <c r="F28" s="17"/>
    </row>
    <row r="29" spans="1:6" x14ac:dyDescent="0.25">
      <c r="A29" s="4" t="s">
        <v>184</v>
      </c>
      <c r="B29" s="40">
        <v>1</v>
      </c>
      <c r="C29" s="40">
        <v>0</v>
      </c>
      <c r="D29" s="40">
        <v>0</v>
      </c>
      <c r="E29" s="40">
        <v>0</v>
      </c>
      <c r="F29" s="17"/>
    </row>
    <row r="30" spans="1:6" x14ac:dyDescent="0.25">
      <c r="A30" s="4" t="s">
        <v>185</v>
      </c>
      <c r="B30" s="40">
        <v>0</v>
      </c>
      <c r="C30" s="40">
        <v>1</v>
      </c>
      <c r="D30" s="40">
        <v>0</v>
      </c>
      <c r="E30" s="40">
        <v>0</v>
      </c>
      <c r="F30" s="17"/>
    </row>
    <row r="31" spans="1:6" x14ac:dyDescent="0.25">
      <c r="A31" s="4" t="s">
        <v>186</v>
      </c>
      <c r="B31" s="40">
        <v>0</v>
      </c>
      <c r="C31" s="40">
        <v>1</v>
      </c>
      <c r="D31" s="40">
        <v>0</v>
      </c>
      <c r="E31" s="40">
        <v>0</v>
      </c>
      <c r="F31" s="17"/>
    </row>
    <row r="32" spans="1:6" x14ac:dyDescent="0.25">
      <c r="A32" s="4" t="s">
        <v>194</v>
      </c>
      <c r="B32" s="40">
        <v>0</v>
      </c>
      <c r="C32" s="40">
        <v>0</v>
      </c>
      <c r="D32" s="40">
        <v>1</v>
      </c>
      <c r="E32" s="40">
        <v>0</v>
      </c>
      <c r="F32" s="17"/>
    </row>
    <row r="33" spans="1:6" x14ac:dyDescent="0.25">
      <c r="A33" s="4" t="s">
        <v>195</v>
      </c>
      <c r="B33" s="40">
        <v>0</v>
      </c>
      <c r="C33" s="40">
        <v>0</v>
      </c>
      <c r="D33" s="40">
        <v>1</v>
      </c>
      <c r="E33" s="40">
        <v>0</v>
      </c>
      <c r="F33" s="17"/>
    </row>
    <row r="35" spans="1:6" ht="21" customHeight="1" x14ac:dyDescent="0.3">
      <c r="A35" s="1" t="s">
        <v>954</v>
      </c>
    </row>
    <row r="36" spans="1:6" x14ac:dyDescent="0.25">
      <c r="A36" s="2" t="s">
        <v>350</v>
      </c>
    </row>
    <row r="37" spans="1:6" x14ac:dyDescent="0.25">
      <c r="A37" s="32" t="s">
        <v>955</v>
      </c>
    </row>
    <row r="38" spans="1:6" x14ac:dyDescent="0.25">
      <c r="A38" s="32" t="s">
        <v>956</v>
      </c>
    </row>
    <row r="39" spans="1:6" x14ac:dyDescent="0.25">
      <c r="A39" s="2" t="s">
        <v>957</v>
      </c>
    </row>
    <row r="41" spans="1:6" x14ac:dyDescent="0.25">
      <c r="B41" s="15" t="s">
        <v>321</v>
      </c>
      <c r="C41" s="15" t="s">
        <v>322</v>
      </c>
      <c r="D41" s="15" t="s">
        <v>323</v>
      </c>
      <c r="E41" s="15" t="s">
        <v>324</v>
      </c>
    </row>
    <row r="42" spans="1:6" x14ac:dyDescent="0.25">
      <c r="A42" s="4" t="s">
        <v>450</v>
      </c>
      <c r="B42" s="39">
        <f>Input!$B$306*(1-Input!$D$58)</f>
        <v>0</v>
      </c>
      <c r="C42" s="39">
        <f>Input!$B$307*(1-Input!$D$58)</f>
        <v>0</v>
      </c>
      <c r="D42" s="39">
        <f>Input!$B$308*(1-Input!$D$58)</f>
        <v>0</v>
      </c>
      <c r="E42" s="39">
        <f>Input!$B$309*(1-Input!$D$58)</f>
        <v>0</v>
      </c>
      <c r="F42" s="17"/>
    </row>
    <row r="43" spans="1:6" x14ac:dyDescent="0.25">
      <c r="A43" s="4" t="s">
        <v>451</v>
      </c>
      <c r="B43" s="39">
        <f>Input!$C$306*(1-Input!$D$58)</f>
        <v>0</v>
      </c>
      <c r="C43" s="39">
        <f>Input!$C$307*(1-Input!$D$58)</f>
        <v>0</v>
      </c>
      <c r="D43" s="39">
        <f>Input!$C$308*(1-Input!$D$58)</f>
        <v>0</v>
      </c>
      <c r="E43" s="39">
        <f>Input!$C$309*(1-Input!$D$58)</f>
        <v>0</v>
      </c>
      <c r="F43" s="17"/>
    </row>
    <row r="44" spans="1:6" x14ac:dyDescent="0.25">
      <c r="A44" s="4" t="s">
        <v>452</v>
      </c>
      <c r="B44" s="39">
        <f>Input!$D$306*(1-Input!$D$58)</f>
        <v>0</v>
      </c>
      <c r="C44" s="39">
        <f>Input!$D$307*(1-Input!$D$58)</f>
        <v>0</v>
      </c>
      <c r="D44" s="39">
        <f>Input!$D$308*(1-Input!$D$58)</f>
        <v>0</v>
      </c>
      <c r="E44" s="39">
        <f>Input!$D$309*(1-Input!$D$58)</f>
        <v>0.56999999999999995</v>
      </c>
      <c r="F44" s="17"/>
    </row>
    <row r="45" spans="1:6" x14ac:dyDescent="0.25">
      <c r="A45" s="4" t="s">
        <v>453</v>
      </c>
      <c r="B45" s="39">
        <f>Input!$E$306*(1-Input!$D$58)</f>
        <v>0</v>
      </c>
      <c r="C45" s="39">
        <f>Input!$E$307*(1-Input!$D$58)</f>
        <v>0</v>
      </c>
      <c r="D45" s="39">
        <f>Input!$E$308*(1-Input!$D$58)</f>
        <v>0.56999999999999995</v>
      </c>
      <c r="E45" s="39">
        <f>Input!$E$309*(1-Input!$D$58)</f>
        <v>0.92</v>
      </c>
      <c r="F45" s="17"/>
    </row>
    <row r="46" spans="1:6" x14ac:dyDescent="0.25">
      <c r="A46" s="4" t="s">
        <v>454</v>
      </c>
      <c r="B46" s="39">
        <f>Input!$F$306*(1-Input!$D$58)</f>
        <v>0</v>
      </c>
      <c r="C46" s="39">
        <f>Input!$F$307*(1-Input!$D$58)</f>
        <v>0</v>
      </c>
      <c r="D46" s="39">
        <f>Input!$F$308*(1-Input!$D$58)</f>
        <v>0</v>
      </c>
      <c r="E46" s="39">
        <f>Input!$F$309*(1-Input!$D$58)</f>
        <v>0</v>
      </c>
      <c r="F46" s="17"/>
    </row>
    <row r="47" spans="1:6" x14ac:dyDescent="0.25">
      <c r="A47" s="4" t="s">
        <v>455</v>
      </c>
      <c r="B47" s="39">
        <f>Input!$G$306*(1-Input!$D$58)</f>
        <v>0.3</v>
      </c>
      <c r="C47" s="39">
        <f>Input!$G$307*(1-Input!$D$58)</f>
        <v>0.3</v>
      </c>
      <c r="D47" s="39">
        <f>Input!$G$308*(1-Input!$D$58)</f>
        <v>0.91</v>
      </c>
      <c r="E47" s="39">
        <f>Input!$G$309*(1-Input!$D$58)</f>
        <v>0</v>
      </c>
      <c r="F47" s="17"/>
    </row>
    <row r="48" spans="1:6" x14ac:dyDescent="0.25">
      <c r="A48" s="4" t="s">
        <v>456</v>
      </c>
      <c r="B48" s="39">
        <f>Input!$H$306*(1-Input!$D$58)</f>
        <v>0.3</v>
      </c>
      <c r="C48" s="39">
        <f>Input!$H$307*(1-Input!$D$58)</f>
        <v>0.97</v>
      </c>
      <c r="D48" s="39">
        <f>Input!$H$308*(1-Input!$D$58)</f>
        <v>0</v>
      </c>
      <c r="E48" s="39">
        <f>Input!$H$309*(1-Input!$D$58)</f>
        <v>0</v>
      </c>
      <c r="F48" s="17"/>
    </row>
    <row r="49" spans="1:10" x14ac:dyDescent="0.25">
      <c r="A49" s="4" t="s">
        <v>457</v>
      </c>
      <c r="B49" s="39">
        <f>Input!$I$306*(1-Input!$D$58)</f>
        <v>0.97</v>
      </c>
      <c r="C49" s="39">
        <f>Input!$I$307*(1-Input!$D$58)</f>
        <v>0</v>
      </c>
      <c r="D49" s="39">
        <f>Input!$I$308*(1-Input!$D$58)</f>
        <v>0</v>
      </c>
      <c r="E49" s="39">
        <f>Input!$I$309*(1-Input!$D$58)</f>
        <v>0</v>
      </c>
      <c r="F49" s="17"/>
    </row>
    <row r="51" spans="1:10" ht="21" customHeight="1" x14ac:dyDescent="0.3">
      <c r="A51" s="1" t="s">
        <v>958</v>
      </c>
    </row>
    <row r="52" spans="1:10" x14ac:dyDescent="0.25">
      <c r="A52" s="2" t="s">
        <v>350</v>
      </c>
    </row>
    <row r="53" spans="1:10" x14ac:dyDescent="0.25">
      <c r="A53" s="32" t="s">
        <v>959</v>
      </c>
    </row>
    <row r="54" spans="1:10" x14ac:dyDescent="0.25">
      <c r="A54" s="32" t="s">
        <v>960</v>
      </c>
    </row>
    <row r="55" spans="1:10" x14ac:dyDescent="0.25">
      <c r="A55" s="2" t="s">
        <v>363</v>
      </c>
    </row>
    <row r="57" spans="1:10" ht="30" x14ac:dyDescent="0.25">
      <c r="B57" s="15" t="s">
        <v>313</v>
      </c>
      <c r="C57" s="15" t="s">
        <v>314</v>
      </c>
      <c r="D57" s="15" t="s">
        <v>315</v>
      </c>
      <c r="E57" s="15" t="s">
        <v>316</v>
      </c>
      <c r="F57" s="15" t="s">
        <v>317</v>
      </c>
      <c r="G57" s="15" t="s">
        <v>318</v>
      </c>
      <c r="H57" s="15" t="s">
        <v>319</v>
      </c>
      <c r="I57" s="15" t="s">
        <v>320</v>
      </c>
    </row>
    <row r="58" spans="1:10" x14ac:dyDescent="0.25">
      <c r="A58" s="4" t="s">
        <v>171</v>
      </c>
      <c r="B58" s="39">
        <f t="shared" ref="B58:B84" si="0">SUMPRODUCT($B7:$E7,$B$42:$E$42)</f>
        <v>0</v>
      </c>
      <c r="C58" s="39">
        <f t="shared" ref="C58:C84" si="1">SUMPRODUCT($B7:$E7,$B$43:$E$43)</f>
        <v>0</v>
      </c>
      <c r="D58" s="39">
        <f t="shared" ref="D58:D84" si="2">SUMPRODUCT($B7:$E7,$B$44:$E$44)</f>
        <v>0</v>
      </c>
      <c r="E58" s="39">
        <f t="shared" ref="E58:E84" si="3">SUMPRODUCT($B7:$E7,$B$45:$E$45)</f>
        <v>0</v>
      </c>
      <c r="F58" s="39">
        <f t="shared" ref="F58:F84" si="4">SUMPRODUCT($B7:$E7,$B$46:$E$46)</f>
        <v>0</v>
      </c>
      <c r="G58" s="39">
        <f t="shared" ref="G58:G84" si="5">SUMPRODUCT($B7:$E7,$B$47:$E$47)</f>
        <v>0.3</v>
      </c>
      <c r="H58" s="39">
        <f t="shared" ref="H58:H84" si="6">SUMPRODUCT($B7:$E7,$B$48:$E$48)</f>
        <v>0.3</v>
      </c>
      <c r="I58" s="39">
        <f t="shared" ref="I58:I84" si="7">SUMPRODUCT($B7:$E7,$B$49:$E$49)</f>
        <v>0.97</v>
      </c>
      <c r="J58" s="17"/>
    </row>
    <row r="59" spans="1:10" x14ac:dyDescent="0.25">
      <c r="A59" s="4" t="s">
        <v>172</v>
      </c>
      <c r="B59" s="39">
        <f t="shared" si="0"/>
        <v>0</v>
      </c>
      <c r="C59" s="39">
        <f t="shared" si="1"/>
        <v>0</v>
      </c>
      <c r="D59" s="39">
        <f t="shared" si="2"/>
        <v>0</v>
      </c>
      <c r="E59" s="39">
        <f t="shared" si="3"/>
        <v>0</v>
      </c>
      <c r="F59" s="39">
        <f t="shared" si="4"/>
        <v>0</v>
      </c>
      <c r="G59" s="39">
        <f t="shared" si="5"/>
        <v>0.3</v>
      </c>
      <c r="H59" s="39">
        <f t="shared" si="6"/>
        <v>0.3</v>
      </c>
      <c r="I59" s="39">
        <f t="shared" si="7"/>
        <v>0.97</v>
      </c>
      <c r="J59" s="17"/>
    </row>
    <row r="60" spans="1:10" x14ac:dyDescent="0.25">
      <c r="A60" s="4" t="s">
        <v>213</v>
      </c>
      <c r="B60" s="39">
        <f t="shared" si="0"/>
        <v>0</v>
      </c>
      <c r="C60" s="39">
        <f t="shared" si="1"/>
        <v>0</v>
      </c>
      <c r="D60" s="39">
        <f t="shared" si="2"/>
        <v>0</v>
      </c>
      <c r="E60" s="39">
        <f t="shared" si="3"/>
        <v>0</v>
      </c>
      <c r="F60" s="39">
        <f t="shared" si="4"/>
        <v>0</v>
      </c>
      <c r="G60" s="39">
        <f t="shared" si="5"/>
        <v>0.3</v>
      </c>
      <c r="H60" s="39">
        <f t="shared" si="6"/>
        <v>0.3</v>
      </c>
      <c r="I60" s="39">
        <f t="shared" si="7"/>
        <v>0.97</v>
      </c>
      <c r="J60" s="17"/>
    </row>
    <row r="61" spans="1:10" x14ac:dyDescent="0.25">
      <c r="A61" s="4" t="s">
        <v>173</v>
      </c>
      <c r="B61" s="39">
        <f t="shared" si="0"/>
        <v>0</v>
      </c>
      <c r="C61" s="39">
        <f t="shared" si="1"/>
        <v>0</v>
      </c>
      <c r="D61" s="39">
        <f t="shared" si="2"/>
        <v>0</v>
      </c>
      <c r="E61" s="39">
        <f t="shared" si="3"/>
        <v>0</v>
      </c>
      <c r="F61" s="39">
        <f t="shared" si="4"/>
        <v>0</v>
      </c>
      <c r="G61" s="39">
        <f t="shared" si="5"/>
        <v>0.3</v>
      </c>
      <c r="H61" s="39">
        <f t="shared" si="6"/>
        <v>0.3</v>
      </c>
      <c r="I61" s="39">
        <f t="shared" si="7"/>
        <v>0.97</v>
      </c>
      <c r="J61" s="17"/>
    </row>
    <row r="62" spans="1:10" x14ac:dyDescent="0.25">
      <c r="A62" s="4" t="s">
        <v>174</v>
      </c>
      <c r="B62" s="39">
        <f t="shared" si="0"/>
        <v>0</v>
      </c>
      <c r="C62" s="39">
        <f t="shared" si="1"/>
        <v>0</v>
      </c>
      <c r="D62" s="39">
        <f t="shared" si="2"/>
        <v>0</v>
      </c>
      <c r="E62" s="39">
        <f t="shared" si="3"/>
        <v>0</v>
      </c>
      <c r="F62" s="39">
        <f t="shared" si="4"/>
        <v>0</v>
      </c>
      <c r="G62" s="39">
        <f t="shared" si="5"/>
        <v>0.3</v>
      </c>
      <c r="H62" s="39">
        <f t="shared" si="6"/>
        <v>0.3</v>
      </c>
      <c r="I62" s="39">
        <f t="shared" si="7"/>
        <v>0.97</v>
      </c>
      <c r="J62" s="17"/>
    </row>
    <row r="63" spans="1:10" x14ac:dyDescent="0.25">
      <c r="A63" s="4" t="s">
        <v>214</v>
      </c>
      <c r="B63" s="39">
        <f t="shared" si="0"/>
        <v>0</v>
      </c>
      <c r="C63" s="39">
        <f t="shared" si="1"/>
        <v>0</v>
      </c>
      <c r="D63" s="39">
        <f t="shared" si="2"/>
        <v>0</v>
      </c>
      <c r="E63" s="39">
        <f t="shared" si="3"/>
        <v>0</v>
      </c>
      <c r="F63" s="39">
        <f t="shared" si="4"/>
        <v>0</v>
      </c>
      <c r="G63" s="39">
        <f t="shared" si="5"/>
        <v>0.3</v>
      </c>
      <c r="H63" s="39">
        <f t="shared" si="6"/>
        <v>0.3</v>
      </c>
      <c r="I63" s="39">
        <f t="shared" si="7"/>
        <v>0.97</v>
      </c>
      <c r="J63" s="17"/>
    </row>
    <row r="64" spans="1:10" x14ac:dyDescent="0.25">
      <c r="A64" s="4" t="s">
        <v>175</v>
      </c>
      <c r="B64" s="39">
        <f t="shared" si="0"/>
        <v>0</v>
      </c>
      <c r="C64" s="39">
        <f t="shared" si="1"/>
        <v>0</v>
      </c>
      <c r="D64" s="39">
        <f t="shared" si="2"/>
        <v>0</v>
      </c>
      <c r="E64" s="39">
        <f t="shared" si="3"/>
        <v>0</v>
      </c>
      <c r="F64" s="39">
        <f t="shared" si="4"/>
        <v>0</v>
      </c>
      <c r="G64" s="39">
        <f t="shared" si="5"/>
        <v>0.3</v>
      </c>
      <c r="H64" s="39">
        <f t="shared" si="6"/>
        <v>0.3</v>
      </c>
      <c r="I64" s="39">
        <f t="shared" si="7"/>
        <v>0.97</v>
      </c>
      <c r="J64" s="17"/>
    </row>
    <row r="65" spans="1:10" x14ac:dyDescent="0.25">
      <c r="A65" s="4" t="s">
        <v>176</v>
      </c>
      <c r="B65" s="39">
        <f t="shared" si="0"/>
        <v>0</v>
      </c>
      <c r="C65" s="39">
        <f t="shared" si="1"/>
        <v>0</v>
      </c>
      <c r="D65" s="39">
        <f t="shared" si="2"/>
        <v>0</v>
      </c>
      <c r="E65" s="39">
        <f t="shared" si="3"/>
        <v>0</v>
      </c>
      <c r="F65" s="39">
        <f t="shared" si="4"/>
        <v>0</v>
      </c>
      <c r="G65" s="39">
        <f t="shared" si="5"/>
        <v>0.3</v>
      </c>
      <c r="H65" s="39">
        <f t="shared" si="6"/>
        <v>0.97</v>
      </c>
      <c r="I65" s="39">
        <f t="shared" si="7"/>
        <v>0</v>
      </c>
      <c r="J65" s="17"/>
    </row>
    <row r="66" spans="1:10" x14ac:dyDescent="0.25">
      <c r="A66" s="4" t="s">
        <v>192</v>
      </c>
      <c r="B66" s="39">
        <f t="shared" si="0"/>
        <v>0</v>
      </c>
      <c r="C66" s="39">
        <f t="shared" si="1"/>
        <v>0</v>
      </c>
      <c r="D66" s="39">
        <f t="shared" si="2"/>
        <v>0</v>
      </c>
      <c r="E66" s="39">
        <f t="shared" si="3"/>
        <v>0.56999999999999995</v>
      </c>
      <c r="F66" s="39">
        <f t="shared" si="4"/>
        <v>0</v>
      </c>
      <c r="G66" s="39">
        <f t="shared" si="5"/>
        <v>0.91</v>
      </c>
      <c r="H66" s="39">
        <f t="shared" si="6"/>
        <v>0</v>
      </c>
      <c r="I66" s="39">
        <f t="shared" si="7"/>
        <v>0</v>
      </c>
      <c r="J66" s="17"/>
    </row>
    <row r="67" spans="1:10" x14ac:dyDescent="0.25">
      <c r="A67" s="4" t="s">
        <v>177</v>
      </c>
      <c r="B67" s="39">
        <f t="shared" si="0"/>
        <v>0</v>
      </c>
      <c r="C67" s="39">
        <f t="shared" si="1"/>
        <v>0</v>
      </c>
      <c r="D67" s="39">
        <f t="shared" si="2"/>
        <v>0</v>
      </c>
      <c r="E67" s="39">
        <f t="shared" si="3"/>
        <v>0</v>
      </c>
      <c r="F67" s="39">
        <f t="shared" si="4"/>
        <v>0</v>
      </c>
      <c r="G67" s="39">
        <f t="shared" si="5"/>
        <v>0.3</v>
      </c>
      <c r="H67" s="39">
        <f t="shared" si="6"/>
        <v>0.3</v>
      </c>
      <c r="I67" s="39">
        <f t="shared" si="7"/>
        <v>0.97</v>
      </c>
      <c r="J67" s="17"/>
    </row>
    <row r="68" spans="1:10" x14ac:dyDescent="0.25">
      <c r="A68" s="4" t="s">
        <v>178</v>
      </c>
      <c r="B68" s="39">
        <f t="shared" si="0"/>
        <v>0</v>
      </c>
      <c r="C68" s="39">
        <f t="shared" si="1"/>
        <v>0</v>
      </c>
      <c r="D68" s="39">
        <f t="shared" si="2"/>
        <v>0</v>
      </c>
      <c r="E68" s="39">
        <f t="shared" si="3"/>
        <v>0</v>
      </c>
      <c r="F68" s="39">
        <f t="shared" si="4"/>
        <v>0</v>
      </c>
      <c r="G68" s="39">
        <f t="shared" si="5"/>
        <v>0.3</v>
      </c>
      <c r="H68" s="39">
        <f t="shared" si="6"/>
        <v>0.3</v>
      </c>
      <c r="I68" s="39">
        <f t="shared" si="7"/>
        <v>0.97</v>
      </c>
      <c r="J68" s="17"/>
    </row>
    <row r="69" spans="1:10" x14ac:dyDescent="0.25">
      <c r="A69" s="4" t="s">
        <v>179</v>
      </c>
      <c r="B69" s="39">
        <f t="shared" si="0"/>
        <v>0</v>
      </c>
      <c r="C69" s="39">
        <f t="shared" si="1"/>
        <v>0</v>
      </c>
      <c r="D69" s="39">
        <f t="shared" si="2"/>
        <v>0</v>
      </c>
      <c r="E69" s="39">
        <f t="shared" si="3"/>
        <v>0</v>
      </c>
      <c r="F69" s="39">
        <f t="shared" si="4"/>
        <v>0</v>
      </c>
      <c r="G69" s="39">
        <f t="shared" si="5"/>
        <v>0.3</v>
      </c>
      <c r="H69" s="39">
        <f t="shared" si="6"/>
        <v>0.3</v>
      </c>
      <c r="I69" s="39">
        <f t="shared" si="7"/>
        <v>0.97</v>
      </c>
      <c r="J69" s="17"/>
    </row>
    <row r="70" spans="1:10" x14ac:dyDescent="0.25">
      <c r="A70" s="4" t="s">
        <v>180</v>
      </c>
      <c r="B70" s="39">
        <f t="shared" si="0"/>
        <v>0</v>
      </c>
      <c r="C70" s="39">
        <f t="shared" si="1"/>
        <v>0</v>
      </c>
      <c r="D70" s="39">
        <f t="shared" si="2"/>
        <v>0</v>
      </c>
      <c r="E70" s="39">
        <f t="shared" si="3"/>
        <v>0</v>
      </c>
      <c r="F70" s="39">
        <f t="shared" si="4"/>
        <v>0</v>
      </c>
      <c r="G70" s="39">
        <f t="shared" si="5"/>
        <v>0.3</v>
      </c>
      <c r="H70" s="39">
        <f t="shared" si="6"/>
        <v>0.97</v>
      </c>
      <c r="I70" s="39">
        <f t="shared" si="7"/>
        <v>0</v>
      </c>
      <c r="J70" s="17"/>
    </row>
    <row r="71" spans="1:10" x14ac:dyDescent="0.25">
      <c r="A71" s="4" t="s">
        <v>193</v>
      </c>
      <c r="B71" s="39">
        <f t="shared" si="0"/>
        <v>0</v>
      </c>
      <c r="C71" s="39">
        <f t="shared" si="1"/>
        <v>0</v>
      </c>
      <c r="D71" s="39">
        <f t="shared" si="2"/>
        <v>0</v>
      </c>
      <c r="E71" s="39">
        <f t="shared" si="3"/>
        <v>0.56999999999999995</v>
      </c>
      <c r="F71" s="39">
        <f t="shared" si="4"/>
        <v>0</v>
      </c>
      <c r="G71" s="39">
        <f t="shared" si="5"/>
        <v>0.91</v>
      </c>
      <c r="H71" s="39">
        <f t="shared" si="6"/>
        <v>0</v>
      </c>
      <c r="I71" s="39">
        <f t="shared" si="7"/>
        <v>0</v>
      </c>
      <c r="J71" s="17"/>
    </row>
    <row r="72" spans="1:10" x14ac:dyDescent="0.25">
      <c r="A72" s="4" t="s">
        <v>215</v>
      </c>
      <c r="B72" s="39">
        <f t="shared" si="0"/>
        <v>0</v>
      </c>
      <c r="C72" s="39">
        <f t="shared" si="1"/>
        <v>0</v>
      </c>
      <c r="D72" s="39">
        <f t="shared" si="2"/>
        <v>0</v>
      </c>
      <c r="E72" s="39">
        <f t="shared" si="3"/>
        <v>0</v>
      </c>
      <c r="F72" s="39">
        <f t="shared" si="4"/>
        <v>0</v>
      </c>
      <c r="G72" s="39">
        <f t="shared" si="5"/>
        <v>0.3</v>
      </c>
      <c r="H72" s="39">
        <f t="shared" si="6"/>
        <v>0.3</v>
      </c>
      <c r="I72" s="39">
        <f t="shared" si="7"/>
        <v>0.97</v>
      </c>
      <c r="J72" s="17"/>
    </row>
    <row r="73" spans="1:10" x14ac:dyDescent="0.25">
      <c r="A73" s="4" t="s">
        <v>216</v>
      </c>
      <c r="B73" s="39">
        <f t="shared" si="0"/>
        <v>0</v>
      </c>
      <c r="C73" s="39">
        <f t="shared" si="1"/>
        <v>0</v>
      </c>
      <c r="D73" s="39">
        <f t="shared" si="2"/>
        <v>0</v>
      </c>
      <c r="E73" s="39">
        <f t="shared" si="3"/>
        <v>0</v>
      </c>
      <c r="F73" s="39">
        <f t="shared" si="4"/>
        <v>0</v>
      </c>
      <c r="G73" s="39">
        <f t="shared" si="5"/>
        <v>0.3</v>
      </c>
      <c r="H73" s="39">
        <f t="shared" si="6"/>
        <v>0.3</v>
      </c>
      <c r="I73" s="39">
        <f t="shared" si="7"/>
        <v>0.97</v>
      </c>
      <c r="J73" s="17"/>
    </row>
    <row r="74" spans="1:10" x14ac:dyDescent="0.25">
      <c r="A74" s="4" t="s">
        <v>217</v>
      </c>
      <c r="B74" s="39">
        <f t="shared" si="0"/>
        <v>0</v>
      </c>
      <c r="C74" s="39">
        <f t="shared" si="1"/>
        <v>0</v>
      </c>
      <c r="D74" s="39">
        <f t="shared" si="2"/>
        <v>0</v>
      </c>
      <c r="E74" s="39">
        <f t="shared" si="3"/>
        <v>0</v>
      </c>
      <c r="F74" s="39">
        <f t="shared" si="4"/>
        <v>0</v>
      </c>
      <c r="G74" s="39">
        <f t="shared" si="5"/>
        <v>0.3</v>
      </c>
      <c r="H74" s="39">
        <f t="shared" si="6"/>
        <v>0.3</v>
      </c>
      <c r="I74" s="39">
        <f t="shared" si="7"/>
        <v>0.97</v>
      </c>
      <c r="J74" s="17"/>
    </row>
    <row r="75" spans="1:10" x14ac:dyDescent="0.25">
      <c r="A75" s="4" t="s">
        <v>218</v>
      </c>
      <c r="B75" s="39">
        <f t="shared" si="0"/>
        <v>0</v>
      </c>
      <c r="C75" s="39">
        <f t="shared" si="1"/>
        <v>0</v>
      </c>
      <c r="D75" s="39">
        <f t="shared" si="2"/>
        <v>0</v>
      </c>
      <c r="E75" s="39">
        <f t="shared" si="3"/>
        <v>0</v>
      </c>
      <c r="F75" s="39">
        <f t="shared" si="4"/>
        <v>0</v>
      </c>
      <c r="G75" s="39">
        <f t="shared" si="5"/>
        <v>0.3</v>
      </c>
      <c r="H75" s="39">
        <f t="shared" si="6"/>
        <v>0.3</v>
      </c>
      <c r="I75" s="39">
        <f t="shared" si="7"/>
        <v>0.97</v>
      </c>
      <c r="J75" s="17"/>
    </row>
    <row r="76" spans="1:10" x14ac:dyDescent="0.25">
      <c r="A76" s="4" t="s">
        <v>219</v>
      </c>
      <c r="B76" s="39">
        <f t="shared" si="0"/>
        <v>0</v>
      </c>
      <c r="C76" s="39">
        <f t="shared" si="1"/>
        <v>0</v>
      </c>
      <c r="D76" s="39">
        <f t="shared" si="2"/>
        <v>0</v>
      </c>
      <c r="E76" s="39">
        <f t="shared" si="3"/>
        <v>0</v>
      </c>
      <c r="F76" s="39">
        <f t="shared" si="4"/>
        <v>0</v>
      </c>
      <c r="G76" s="39">
        <f t="shared" si="5"/>
        <v>0.3</v>
      </c>
      <c r="H76" s="39">
        <f t="shared" si="6"/>
        <v>0.3</v>
      </c>
      <c r="I76" s="39">
        <f t="shared" si="7"/>
        <v>0.97</v>
      </c>
      <c r="J76" s="17"/>
    </row>
    <row r="77" spans="1:10" x14ac:dyDescent="0.25">
      <c r="A77" s="4" t="s">
        <v>181</v>
      </c>
      <c r="B77" s="39">
        <f t="shared" si="0"/>
        <v>0</v>
      </c>
      <c r="C77" s="39">
        <f t="shared" si="1"/>
        <v>0</v>
      </c>
      <c r="D77" s="39">
        <f t="shared" si="2"/>
        <v>0</v>
      </c>
      <c r="E77" s="39">
        <f t="shared" si="3"/>
        <v>0</v>
      </c>
      <c r="F77" s="39">
        <f t="shared" si="4"/>
        <v>0</v>
      </c>
      <c r="G77" s="39">
        <f t="shared" si="5"/>
        <v>0.3</v>
      </c>
      <c r="H77" s="39">
        <f t="shared" si="6"/>
        <v>0.3</v>
      </c>
      <c r="I77" s="39">
        <f t="shared" si="7"/>
        <v>0.97</v>
      </c>
      <c r="J77" s="17"/>
    </row>
    <row r="78" spans="1:10" x14ac:dyDescent="0.25">
      <c r="A78" s="4" t="s">
        <v>182</v>
      </c>
      <c r="B78" s="39">
        <f t="shared" si="0"/>
        <v>0</v>
      </c>
      <c r="C78" s="39">
        <f t="shared" si="1"/>
        <v>0</v>
      </c>
      <c r="D78" s="39">
        <f t="shared" si="2"/>
        <v>0</v>
      </c>
      <c r="E78" s="39">
        <f t="shared" si="3"/>
        <v>0</v>
      </c>
      <c r="F78" s="39">
        <f t="shared" si="4"/>
        <v>0</v>
      </c>
      <c r="G78" s="39">
        <f t="shared" si="5"/>
        <v>0.3</v>
      </c>
      <c r="H78" s="39">
        <f t="shared" si="6"/>
        <v>0.97</v>
      </c>
      <c r="I78" s="39">
        <f t="shared" si="7"/>
        <v>0</v>
      </c>
      <c r="J78" s="17"/>
    </row>
    <row r="79" spans="1:10" x14ac:dyDescent="0.25">
      <c r="A79" s="4" t="s">
        <v>183</v>
      </c>
      <c r="B79" s="39">
        <f t="shared" si="0"/>
        <v>0</v>
      </c>
      <c r="C79" s="39">
        <f t="shared" si="1"/>
        <v>0</v>
      </c>
      <c r="D79" s="39">
        <f t="shared" si="2"/>
        <v>0</v>
      </c>
      <c r="E79" s="39">
        <f t="shared" si="3"/>
        <v>0</v>
      </c>
      <c r="F79" s="39">
        <f t="shared" si="4"/>
        <v>0</v>
      </c>
      <c r="G79" s="39">
        <f t="shared" si="5"/>
        <v>0.3</v>
      </c>
      <c r="H79" s="39">
        <f t="shared" si="6"/>
        <v>0.3</v>
      </c>
      <c r="I79" s="39">
        <f t="shared" si="7"/>
        <v>0.97</v>
      </c>
      <c r="J79" s="17"/>
    </row>
    <row r="80" spans="1:10" x14ac:dyDescent="0.25">
      <c r="A80" s="4" t="s">
        <v>184</v>
      </c>
      <c r="B80" s="39">
        <f t="shared" si="0"/>
        <v>0</v>
      </c>
      <c r="C80" s="39">
        <f t="shared" si="1"/>
        <v>0</v>
      </c>
      <c r="D80" s="39">
        <f t="shared" si="2"/>
        <v>0</v>
      </c>
      <c r="E80" s="39">
        <f t="shared" si="3"/>
        <v>0</v>
      </c>
      <c r="F80" s="39">
        <f t="shared" si="4"/>
        <v>0</v>
      </c>
      <c r="G80" s="39">
        <f t="shared" si="5"/>
        <v>0.3</v>
      </c>
      <c r="H80" s="39">
        <f t="shared" si="6"/>
        <v>0.3</v>
      </c>
      <c r="I80" s="39">
        <f t="shared" si="7"/>
        <v>0.97</v>
      </c>
      <c r="J80" s="17"/>
    </row>
    <row r="81" spans="1:20" x14ac:dyDescent="0.25">
      <c r="A81" s="4" t="s">
        <v>185</v>
      </c>
      <c r="B81" s="39">
        <f t="shared" si="0"/>
        <v>0</v>
      </c>
      <c r="C81" s="39">
        <f t="shared" si="1"/>
        <v>0</v>
      </c>
      <c r="D81" s="39">
        <f t="shared" si="2"/>
        <v>0</v>
      </c>
      <c r="E81" s="39">
        <f t="shared" si="3"/>
        <v>0</v>
      </c>
      <c r="F81" s="39">
        <f t="shared" si="4"/>
        <v>0</v>
      </c>
      <c r="G81" s="39">
        <f t="shared" si="5"/>
        <v>0.3</v>
      </c>
      <c r="H81" s="39">
        <f t="shared" si="6"/>
        <v>0.97</v>
      </c>
      <c r="I81" s="39">
        <f t="shared" si="7"/>
        <v>0</v>
      </c>
      <c r="J81" s="17"/>
    </row>
    <row r="82" spans="1:20" x14ac:dyDescent="0.25">
      <c r="A82" s="4" t="s">
        <v>186</v>
      </c>
      <c r="B82" s="39">
        <f t="shared" si="0"/>
        <v>0</v>
      </c>
      <c r="C82" s="39">
        <f t="shared" si="1"/>
        <v>0</v>
      </c>
      <c r="D82" s="39">
        <f t="shared" si="2"/>
        <v>0</v>
      </c>
      <c r="E82" s="39">
        <f t="shared" si="3"/>
        <v>0</v>
      </c>
      <c r="F82" s="39">
        <f t="shared" si="4"/>
        <v>0</v>
      </c>
      <c r="G82" s="39">
        <f t="shared" si="5"/>
        <v>0.3</v>
      </c>
      <c r="H82" s="39">
        <f t="shared" si="6"/>
        <v>0.97</v>
      </c>
      <c r="I82" s="39">
        <f t="shared" si="7"/>
        <v>0</v>
      </c>
      <c r="J82" s="17"/>
    </row>
    <row r="83" spans="1:20" x14ac:dyDescent="0.25">
      <c r="A83" s="4" t="s">
        <v>194</v>
      </c>
      <c r="B83" s="39">
        <f t="shared" si="0"/>
        <v>0</v>
      </c>
      <c r="C83" s="39">
        <f t="shared" si="1"/>
        <v>0</v>
      </c>
      <c r="D83" s="39">
        <f t="shared" si="2"/>
        <v>0</v>
      </c>
      <c r="E83" s="39">
        <f t="shared" si="3"/>
        <v>0.56999999999999995</v>
      </c>
      <c r="F83" s="39">
        <f t="shared" si="4"/>
        <v>0</v>
      </c>
      <c r="G83" s="39">
        <f t="shared" si="5"/>
        <v>0.91</v>
      </c>
      <c r="H83" s="39">
        <f t="shared" si="6"/>
        <v>0</v>
      </c>
      <c r="I83" s="39">
        <f t="shared" si="7"/>
        <v>0</v>
      </c>
      <c r="J83" s="17"/>
    </row>
    <row r="84" spans="1:20" x14ac:dyDescent="0.25">
      <c r="A84" s="4" t="s">
        <v>195</v>
      </c>
      <c r="B84" s="39">
        <f t="shared" si="0"/>
        <v>0</v>
      </c>
      <c r="C84" s="39">
        <f t="shared" si="1"/>
        <v>0</v>
      </c>
      <c r="D84" s="39">
        <f t="shared" si="2"/>
        <v>0</v>
      </c>
      <c r="E84" s="39">
        <f t="shared" si="3"/>
        <v>0.56999999999999995</v>
      </c>
      <c r="F84" s="39">
        <f t="shared" si="4"/>
        <v>0</v>
      </c>
      <c r="G84" s="39">
        <f t="shared" si="5"/>
        <v>0.91</v>
      </c>
      <c r="H84" s="39">
        <f t="shared" si="6"/>
        <v>0</v>
      </c>
      <c r="I84" s="39">
        <f t="shared" si="7"/>
        <v>0</v>
      </c>
      <c r="J84" s="17"/>
    </row>
    <row r="86" spans="1:20" ht="21" customHeight="1" x14ac:dyDescent="0.3">
      <c r="A86" s="1" t="s">
        <v>961</v>
      </c>
    </row>
    <row r="87" spans="1:20" x14ac:dyDescent="0.25">
      <c r="A87" s="2" t="s">
        <v>350</v>
      </c>
    </row>
    <row r="88" spans="1:20" x14ac:dyDescent="0.25">
      <c r="A88" s="2" t="s">
        <v>962</v>
      </c>
    </row>
    <row r="89" spans="1:20" x14ac:dyDescent="0.25">
      <c r="A89" s="2" t="s">
        <v>963</v>
      </c>
    </row>
    <row r="90" spans="1:20" x14ac:dyDescent="0.25">
      <c r="A90" s="32" t="s">
        <v>964</v>
      </c>
    </row>
    <row r="91" spans="1:20" x14ac:dyDescent="0.25">
      <c r="A91" s="2" t="s">
        <v>393</v>
      </c>
    </row>
    <row r="93" spans="1:20" ht="30" x14ac:dyDescent="0.25">
      <c r="B93" s="15" t="s">
        <v>139</v>
      </c>
      <c r="C93" s="15" t="s">
        <v>313</v>
      </c>
      <c r="D93" s="15" t="s">
        <v>314</v>
      </c>
      <c r="E93" s="15" t="s">
        <v>315</v>
      </c>
      <c r="F93" s="15" t="s">
        <v>316</v>
      </c>
      <c r="G93" s="15" t="s">
        <v>317</v>
      </c>
      <c r="H93" s="15" t="s">
        <v>318</v>
      </c>
      <c r="I93" s="15" t="s">
        <v>319</v>
      </c>
      <c r="J93" s="15" t="s">
        <v>320</v>
      </c>
      <c r="K93" s="15" t="s">
        <v>301</v>
      </c>
      <c r="L93" s="15" t="s">
        <v>876</v>
      </c>
      <c r="M93" s="15" t="s">
        <v>877</v>
      </c>
      <c r="N93" s="15" t="s">
        <v>878</v>
      </c>
      <c r="O93" s="15" t="s">
        <v>879</v>
      </c>
      <c r="P93" s="15" t="s">
        <v>880</v>
      </c>
      <c r="Q93" s="15" t="s">
        <v>881</v>
      </c>
      <c r="R93" s="15" t="s">
        <v>882</v>
      </c>
      <c r="S93" s="15" t="s">
        <v>883</v>
      </c>
    </row>
    <row r="94" spans="1:20" x14ac:dyDescent="0.25">
      <c r="A94" s="4" t="s">
        <v>171</v>
      </c>
      <c r="B94" s="40">
        <v>0</v>
      </c>
      <c r="C94" s="41">
        <f t="shared" ref="C94:C120" si="8">$B58</f>
        <v>0</v>
      </c>
      <c r="D94" s="41">
        <f t="shared" ref="D94:D120" si="9">$C58</f>
        <v>0</v>
      </c>
      <c r="E94" s="41">
        <f t="shared" ref="E94:E120" si="10">$D58</f>
        <v>0</v>
      </c>
      <c r="F94" s="41">
        <f t="shared" ref="F94:F120" si="11">$E58</f>
        <v>0</v>
      </c>
      <c r="G94" s="41">
        <f t="shared" ref="G94:G120" si="12">$F58</f>
        <v>0</v>
      </c>
      <c r="H94" s="41">
        <f t="shared" ref="H94:H120" si="13">$G58</f>
        <v>0.3</v>
      </c>
      <c r="I94" s="41">
        <f t="shared" ref="I94:I120" si="14">$H58</f>
        <v>0.3</v>
      </c>
      <c r="J94" s="41">
        <f t="shared" ref="J94:J120" si="15">$I58</f>
        <v>0.97</v>
      </c>
      <c r="K94" s="40">
        <v>0</v>
      </c>
      <c r="L94" s="40">
        <v>0</v>
      </c>
      <c r="M94" s="40">
        <v>0</v>
      </c>
      <c r="N94" s="40">
        <v>0</v>
      </c>
      <c r="O94" s="40">
        <v>0</v>
      </c>
      <c r="P94" s="40">
        <v>0</v>
      </c>
      <c r="Q94" s="40">
        <v>0</v>
      </c>
      <c r="R94" s="40">
        <v>0</v>
      </c>
      <c r="S94" s="40">
        <v>0</v>
      </c>
      <c r="T94" s="17"/>
    </row>
    <row r="95" spans="1:20" x14ac:dyDescent="0.25">
      <c r="A95" s="4" t="s">
        <v>172</v>
      </c>
      <c r="B95" s="40">
        <v>0</v>
      </c>
      <c r="C95" s="41">
        <f t="shared" si="8"/>
        <v>0</v>
      </c>
      <c r="D95" s="41">
        <f t="shared" si="9"/>
        <v>0</v>
      </c>
      <c r="E95" s="41">
        <f t="shared" si="10"/>
        <v>0</v>
      </c>
      <c r="F95" s="41">
        <f t="shared" si="11"/>
        <v>0</v>
      </c>
      <c r="G95" s="41">
        <f t="shared" si="12"/>
        <v>0</v>
      </c>
      <c r="H95" s="41">
        <f t="shared" si="13"/>
        <v>0.3</v>
      </c>
      <c r="I95" s="41">
        <f t="shared" si="14"/>
        <v>0.3</v>
      </c>
      <c r="J95" s="41">
        <f t="shared" si="15"/>
        <v>0.97</v>
      </c>
      <c r="K95" s="40">
        <v>0</v>
      </c>
      <c r="L95" s="40">
        <v>0</v>
      </c>
      <c r="M95" s="40">
        <v>0</v>
      </c>
      <c r="N95" s="40">
        <v>0</v>
      </c>
      <c r="O95" s="40">
        <v>0</v>
      </c>
      <c r="P95" s="40">
        <v>0</v>
      </c>
      <c r="Q95" s="40">
        <v>0</v>
      </c>
      <c r="R95" s="40">
        <v>0</v>
      </c>
      <c r="S95" s="40">
        <v>0</v>
      </c>
      <c r="T95" s="17"/>
    </row>
    <row r="96" spans="1:20" x14ac:dyDescent="0.25">
      <c r="A96" s="4" t="s">
        <v>213</v>
      </c>
      <c r="B96" s="40">
        <v>0</v>
      </c>
      <c r="C96" s="41">
        <f t="shared" si="8"/>
        <v>0</v>
      </c>
      <c r="D96" s="41">
        <f t="shared" si="9"/>
        <v>0</v>
      </c>
      <c r="E96" s="41">
        <f t="shared" si="10"/>
        <v>0</v>
      </c>
      <c r="F96" s="41">
        <f t="shared" si="11"/>
        <v>0</v>
      </c>
      <c r="G96" s="41">
        <f t="shared" si="12"/>
        <v>0</v>
      </c>
      <c r="H96" s="41">
        <f t="shared" si="13"/>
        <v>0.3</v>
      </c>
      <c r="I96" s="41">
        <f t="shared" si="14"/>
        <v>0.3</v>
      </c>
      <c r="J96" s="41">
        <f t="shared" si="15"/>
        <v>0.97</v>
      </c>
      <c r="K96" s="40">
        <v>0</v>
      </c>
      <c r="L96" s="40">
        <v>0</v>
      </c>
      <c r="M96" s="40">
        <v>0</v>
      </c>
      <c r="N96" s="40">
        <v>0</v>
      </c>
      <c r="O96" s="40">
        <v>0</v>
      </c>
      <c r="P96" s="40">
        <v>0</v>
      </c>
      <c r="Q96" s="40">
        <v>0</v>
      </c>
      <c r="R96" s="40">
        <v>0</v>
      </c>
      <c r="S96" s="40">
        <v>0</v>
      </c>
      <c r="T96" s="17"/>
    </row>
    <row r="97" spans="1:20" x14ac:dyDescent="0.25">
      <c r="A97" s="4" t="s">
        <v>173</v>
      </c>
      <c r="B97" s="40">
        <v>0</v>
      </c>
      <c r="C97" s="41">
        <f t="shared" si="8"/>
        <v>0</v>
      </c>
      <c r="D97" s="41">
        <f t="shared" si="9"/>
        <v>0</v>
      </c>
      <c r="E97" s="41">
        <f t="shared" si="10"/>
        <v>0</v>
      </c>
      <c r="F97" s="41">
        <f t="shared" si="11"/>
        <v>0</v>
      </c>
      <c r="G97" s="41">
        <f t="shared" si="12"/>
        <v>0</v>
      </c>
      <c r="H97" s="41">
        <f t="shared" si="13"/>
        <v>0.3</v>
      </c>
      <c r="I97" s="41">
        <f t="shared" si="14"/>
        <v>0.3</v>
      </c>
      <c r="J97" s="41">
        <f t="shared" si="15"/>
        <v>0.97</v>
      </c>
      <c r="K97" s="40">
        <v>0</v>
      </c>
      <c r="L97" s="40">
        <v>0</v>
      </c>
      <c r="M97" s="40">
        <v>0</v>
      </c>
      <c r="N97" s="40">
        <v>0</v>
      </c>
      <c r="O97" s="40">
        <v>0</v>
      </c>
      <c r="P97" s="40">
        <v>0</v>
      </c>
      <c r="Q97" s="40">
        <v>0</v>
      </c>
      <c r="R97" s="40">
        <v>0</v>
      </c>
      <c r="S97" s="40">
        <v>0</v>
      </c>
      <c r="T97" s="17"/>
    </row>
    <row r="98" spans="1:20" x14ac:dyDescent="0.25">
      <c r="A98" s="4" t="s">
        <v>174</v>
      </c>
      <c r="B98" s="40">
        <v>0</v>
      </c>
      <c r="C98" s="41">
        <f t="shared" si="8"/>
        <v>0</v>
      </c>
      <c r="D98" s="41">
        <f t="shared" si="9"/>
        <v>0</v>
      </c>
      <c r="E98" s="41">
        <f t="shared" si="10"/>
        <v>0</v>
      </c>
      <c r="F98" s="41">
        <f t="shared" si="11"/>
        <v>0</v>
      </c>
      <c r="G98" s="41">
        <f t="shared" si="12"/>
        <v>0</v>
      </c>
      <c r="H98" s="41">
        <f t="shared" si="13"/>
        <v>0.3</v>
      </c>
      <c r="I98" s="41">
        <f t="shared" si="14"/>
        <v>0.3</v>
      </c>
      <c r="J98" s="41">
        <f t="shared" si="15"/>
        <v>0.97</v>
      </c>
      <c r="K98" s="40">
        <v>0</v>
      </c>
      <c r="L98" s="40">
        <v>0</v>
      </c>
      <c r="M98" s="40">
        <v>0</v>
      </c>
      <c r="N98" s="40">
        <v>0</v>
      </c>
      <c r="O98" s="40">
        <v>0</v>
      </c>
      <c r="P98" s="40">
        <v>0</v>
      </c>
      <c r="Q98" s="40">
        <v>0</v>
      </c>
      <c r="R98" s="40">
        <v>0</v>
      </c>
      <c r="S98" s="40">
        <v>0</v>
      </c>
      <c r="T98" s="17"/>
    </row>
    <row r="99" spans="1:20" x14ac:dyDescent="0.25">
      <c r="A99" s="4" t="s">
        <v>214</v>
      </c>
      <c r="B99" s="40">
        <v>0</v>
      </c>
      <c r="C99" s="41">
        <f t="shared" si="8"/>
        <v>0</v>
      </c>
      <c r="D99" s="41">
        <f t="shared" si="9"/>
        <v>0</v>
      </c>
      <c r="E99" s="41">
        <f t="shared" si="10"/>
        <v>0</v>
      </c>
      <c r="F99" s="41">
        <f t="shared" si="11"/>
        <v>0</v>
      </c>
      <c r="G99" s="41">
        <f t="shared" si="12"/>
        <v>0</v>
      </c>
      <c r="H99" s="41">
        <f t="shared" si="13"/>
        <v>0.3</v>
      </c>
      <c r="I99" s="41">
        <f t="shared" si="14"/>
        <v>0.3</v>
      </c>
      <c r="J99" s="41">
        <f t="shared" si="15"/>
        <v>0.97</v>
      </c>
      <c r="K99" s="40">
        <v>0</v>
      </c>
      <c r="L99" s="40">
        <v>0</v>
      </c>
      <c r="M99" s="40">
        <v>0</v>
      </c>
      <c r="N99" s="40">
        <v>0</v>
      </c>
      <c r="O99" s="40">
        <v>0</v>
      </c>
      <c r="P99" s="40">
        <v>0</v>
      </c>
      <c r="Q99" s="40">
        <v>0</v>
      </c>
      <c r="R99" s="40">
        <v>0</v>
      </c>
      <c r="S99" s="40">
        <v>0</v>
      </c>
      <c r="T99" s="17"/>
    </row>
    <row r="100" spans="1:20" x14ac:dyDescent="0.25">
      <c r="A100" s="4" t="s">
        <v>175</v>
      </c>
      <c r="B100" s="40">
        <v>0</v>
      </c>
      <c r="C100" s="41">
        <f t="shared" si="8"/>
        <v>0</v>
      </c>
      <c r="D100" s="41">
        <f t="shared" si="9"/>
        <v>0</v>
      </c>
      <c r="E100" s="41">
        <f t="shared" si="10"/>
        <v>0</v>
      </c>
      <c r="F100" s="41">
        <f t="shared" si="11"/>
        <v>0</v>
      </c>
      <c r="G100" s="41">
        <f t="shared" si="12"/>
        <v>0</v>
      </c>
      <c r="H100" s="41">
        <f t="shared" si="13"/>
        <v>0.3</v>
      </c>
      <c r="I100" s="41">
        <f t="shared" si="14"/>
        <v>0.3</v>
      </c>
      <c r="J100" s="41">
        <f t="shared" si="15"/>
        <v>0.97</v>
      </c>
      <c r="K100" s="40">
        <v>0</v>
      </c>
      <c r="L100" s="40">
        <v>0</v>
      </c>
      <c r="M100" s="40">
        <v>0</v>
      </c>
      <c r="N100" s="40">
        <v>0</v>
      </c>
      <c r="O100" s="40">
        <v>0</v>
      </c>
      <c r="P100" s="40">
        <v>0</v>
      </c>
      <c r="Q100" s="40">
        <v>0</v>
      </c>
      <c r="R100" s="40">
        <v>0</v>
      </c>
      <c r="S100" s="40">
        <v>0</v>
      </c>
      <c r="T100" s="17"/>
    </row>
    <row r="101" spans="1:20" x14ac:dyDescent="0.25">
      <c r="A101" s="4" t="s">
        <v>176</v>
      </c>
      <c r="B101" s="40">
        <v>0</v>
      </c>
      <c r="C101" s="41">
        <f t="shared" si="8"/>
        <v>0</v>
      </c>
      <c r="D101" s="41">
        <f t="shared" si="9"/>
        <v>0</v>
      </c>
      <c r="E101" s="41">
        <f t="shared" si="10"/>
        <v>0</v>
      </c>
      <c r="F101" s="41">
        <f t="shared" si="11"/>
        <v>0</v>
      </c>
      <c r="G101" s="41">
        <f t="shared" si="12"/>
        <v>0</v>
      </c>
      <c r="H101" s="41">
        <f t="shared" si="13"/>
        <v>0.3</v>
      </c>
      <c r="I101" s="41">
        <f t="shared" si="14"/>
        <v>0.97</v>
      </c>
      <c r="J101" s="41">
        <f t="shared" si="15"/>
        <v>0</v>
      </c>
      <c r="K101" s="40">
        <v>0</v>
      </c>
      <c r="L101" s="40">
        <v>0</v>
      </c>
      <c r="M101" s="40">
        <v>0</v>
      </c>
      <c r="N101" s="40">
        <v>0</v>
      </c>
      <c r="O101" s="40">
        <v>0</v>
      </c>
      <c r="P101" s="40">
        <v>0</v>
      </c>
      <c r="Q101" s="40">
        <v>0</v>
      </c>
      <c r="R101" s="40">
        <v>0</v>
      </c>
      <c r="S101" s="40">
        <v>0</v>
      </c>
      <c r="T101" s="17"/>
    </row>
    <row r="102" spans="1:20" x14ac:dyDescent="0.25">
      <c r="A102" s="4" t="s">
        <v>192</v>
      </c>
      <c r="B102" s="40">
        <v>0</v>
      </c>
      <c r="C102" s="41">
        <f t="shared" si="8"/>
        <v>0</v>
      </c>
      <c r="D102" s="41">
        <f t="shared" si="9"/>
        <v>0</v>
      </c>
      <c r="E102" s="41">
        <f t="shared" si="10"/>
        <v>0</v>
      </c>
      <c r="F102" s="41">
        <f t="shared" si="11"/>
        <v>0.56999999999999995</v>
      </c>
      <c r="G102" s="41">
        <f t="shared" si="12"/>
        <v>0</v>
      </c>
      <c r="H102" s="41">
        <f t="shared" si="13"/>
        <v>0.91</v>
      </c>
      <c r="I102" s="41">
        <f t="shared" si="14"/>
        <v>0</v>
      </c>
      <c r="J102" s="41">
        <f t="shared" si="15"/>
        <v>0</v>
      </c>
      <c r="K102" s="40">
        <v>0</v>
      </c>
      <c r="L102" s="40">
        <v>0</v>
      </c>
      <c r="M102" s="40">
        <v>0</v>
      </c>
      <c r="N102" s="40">
        <v>0</v>
      </c>
      <c r="O102" s="40">
        <v>0</v>
      </c>
      <c r="P102" s="40">
        <v>0</v>
      </c>
      <c r="Q102" s="40">
        <v>0</v>
      </c>
      <c r="R102" s="40">
        <v>0</v>
      </c>
      <c r="S102" s="40">
        <v>0</v>
      </c>
      <c r="T102" s="17"/>
    </row>
    <row r="103" spans="1:20" x14ac:dyDescent="0.25">
      <c r="A103" s="4" t="s">
        <v>177</v>
      </c>
      <c r="B103" s="40">
        <v>0</v>
      </c>
      <c r="C103" s="41">
        <f t="shared" si="8"/>
        <v>0</v>
      </c>
      <c r="D103" s="41">
        <f t="shared" si="9"/>
        <v>0</v>
      </c>
      <c r="E103" s="41">
        <f t="shared" si="10"/>
        <v>0</v>
      </c>
      <c r="F103" s="41">
        <f t="shared" si="11"/>
        <v>0</v>
      </c>
      <c r="G103" s="41">
        <f t="shared" si="12"/>
        <v>0</v>
      </c>
      <c r="H103" s="41">
        <f t="shared" si="13"/>
        <v>0.3</v>
      </c>
      <c r="I103" s="41">
        <f t="shared" si="14"/>
        <v>0.3</v>
      </c>
      <c r="J103" s="41">
        <f t="shared" si="15"/>
        <v>0.97</v>
      </c>
      <c r="K103" s="40">
        <v>0</v>
      </c>
      <c r="L103" s="40">
        <v>0</v>
      </c>
      <c r="M103" s="40">
        <v>0</v>
      </c>
      <c r="N103" s="40">
        <v>0</v>
      </c>
      <c r="O103" s="40">
        <v>0</v>
      </c>
      <c r="P103" s="40">
        <v>0</v>
      </c>
      <c r="Q103" s="40">
        <v>0</v>
      </c>
      <c r="R103" s="40">
        <v>0</v>
      </c>
      <c r="S103" s="40">
        <v>0</v>
      </c>
      <c r="T103" s="17"/>
    </row>
    <row r="104" spans="1:20" x14ac:dyDescent="0.25">
      <c r="A104" s="4" t="s">
        <v>178</v>
      </c>
      <c r="B104" s="40">
        <v>0</v>
      </c>
      <c r="C104" s="41">
        <f t="shared" si="8"/>
        <v>0</v>
      </c>
      <c r="D104" s="41">
        <f t="shared" si="9"/>
        <v>0</v>
      </c>
      <c r="E104" s="41">
        <f t="shared" si="10"/>
        <v>0</v>
      </c>
      <c r="F104" s="41">
        <f t="shared" si="11"/>
        <v>0</v>
      </c>
      <c r="G104" s="41">
        <f t="shared" si="12"/>
        <v>0</v>
      </c>
      <c r="H104" s="41">
        <f t="shared" si="13"/>
        <v>0.3</v>
      </c>
      <c r="I104" s="41">
        <f t="shared" si="14"/>
        <v>0.3</v>
      </c>
      <c r="J104" s="41">
        <f t="shared" si="15"/>
        <v>0.97</v>
      </c>
      <c r="K104" s="40">
        <v>0</v>
      </c>
      <c r="L104" s="40">
        <v>0</v>
      </c>
      <c r="M104" s="40">
        <v>0</v>
      </c>
      <c r="N104" s="40">
        <v>0</v>
      </c>
      <c r="O104" s="40">
        <v>0</v>
      </c>
      <c r="P104" s="40">
        <v>0</v>
      </c>
      <c r="Q104" s="40">
        <v>0</v>
      </c>
      <c r="R104" s="40">
        <v>0</v>
      </c>
      <c r="S104" s="40">
        <v>0</v>
      </c>
      <c r="T104" s="17"/>
    </row>
    <row r="105" spans="1:20" x14ac:dyDescent="0.25">
      <c r="A105" s="4" t="s">
        <v>179</v>
      </c>
      <c r="B105" s="40">
        <v>0</v>
      </c>
      <c r="C105" s="41">
        <f t="shared" si="8"/>
        <v>0</v>
      </c>
      <c r="D105" s="41">
        <f t="shared" si="9"/>
        <v>0</v>
      </c>
      <c r="E105" s="41">
        <f t="shared" si="10"/>
        <v>0</v>
      </c>
      <c r="F105" s="41">
        <f t="shared" si="11"/>
        <v>0</v>
      </c>
      <c r="G105" s="41">
        <f t="shared" si="12"/>
        <v>0</v>
      </c>
      <c r="H105" s="41">
        <f t="shared" si="13"/>
        <v>0.3</v>
      </c>
      <c r="I105" s="41">
        <f t="shared" si="14"/>
        <v>0.3</v>
      </c>
      <c r="J105" s="41">
        <f t="shared" si="15"/>
        <v>0.97</v>
      </c>
      <c r="K105" s="40">
        <v>0</v>
      </c>
      <c r="L105" s="40">
        <v>0</v>
      </c>
      <c r="M105" s="40">
        <v>0</v>
      </c>
      <c r="N105" s="40">
        <v>0</v>
      </c>
      <c r="O105" s="40">
        <v>0</v>
      </c>
      <c r="P105" s="40">
        <v>0</v>
      </c>
      <c r="Q105" s="40">
        <v>0</v>
      </c>
      <c r="R105" s="40">
        <v>0</v>
      </c>
      <c r="S105" s="40">
        <v>0</v>
      </c>
      <c r="T105" s="17"/>
    </row>
    <row r="106" spans="1:20" x14ac:dyDescent="0.25">
      <c r="A106" s="4" t="s">
        <v>180</v>
      </c>
      <c r="B106" s="40">
        <v>0</v>
      </c>
      <c r="C106" s="41">
        <f t="shared" si="8"/>
        <v>0</v>
      </c>
      <c r="D106" s="41">
        <f t="shared" si="9"/>
        <v>0</v>
      </c>
      <c r="E106" s="41">
        <f t="shared" si="10"/>
        <v>0</v>
      </c>
      <c r="F106" s="41">
        <f t="shared" si="11"/>
        <v>0</v>
      </c>
      <c r="G106" s="41">
        <f t="shared" si="12"/>
        <v>0</v>
      </c>
      <c r="H106" s="41">
        <f t="shared" si="13"/>
        <v>0.3</v>
      </c>
      <c r="I106" s="41">
        <f t="shared" si="14"/>
        <v>0.97</v>
      </c>
      <c r="J106" s="41">
        <f t="shared" si="15"/>
        <v>0</v>
      </c>
      <c r="K106" s="40">
        <v>0</v>
      </c>
      <c r="L106" s="40">
        <v>0</v>
      </c>
      <c r="M106" s="40">
        <v>0</v>
      </c>
      <c r="N106" s="40">
        <v>0</v>
      </c>
      <c r="O106" s="40">
        <v>0</v>
      </c>
      <c r="P106" s="40">
        <v>0</v>
      </c>
      <c r="Q106" s="40">
        <v>0</v>
      </c>
      <c r="R106" s="40">
        <v>0</v>
      </c>
      <c r="S106" s="40">
        <v>0</v>
      </c>
      <c r="T106" s="17"/>
    </row>
    <row r="107" spans="1:20" x14ac:dyDescent="0.25">
      <c r="A107" s="4" t="s">
        <v>193</v>
      </c>
      <c r="B107" s="40">
        <v>0</v>
      </c>
      <c r="C107" s="41">
        <f t="shared" si="8"/>
        <v>0</v>
      </c>
      <c r="D107" s="41">
        <f t="shared" si="9"/>
        <v>0</v>
      </c>
      <c r="E107" s="41">
        <f t="shared" si="10"/>
        <v>0</v>
      </c>
      <c r="F107" s="41">
        <f t="shared" si="11"/>
        <v>0.56999999999999995</v>
      </c>
      <c r="G107" s="41">
        <f t="shared" si="12"/>
        <v>0</v>
      </c>
      <c r="H107" s="41">
        <f t="shared" si="13"/>
        <v>0.91</v>
      </c>
      <c r="I107" s="41">
        <f t="shared" si="14"/>
        <v>0</v>
      </c>
      <c r="J107" s="41">
        <f t="shared" si="15"/>
        <v>0</v>
      </c>
      <c r="K107" s="40">
        <v>0</v>
      </c>
      <c r="L107" s="40">
        <v>0</v>
      </c>
      <c r="M107" s="40">
        <v>0</v>
      </c>
      <c r="N107" s="40">
        <v>0</v>
      </c>
      <c r="O107" s="40">
        <v>0</v>
      </c>
      <c r="P107" s="40">
        <v>0</v>
      </c>
      <c r="Q107" s="40">
        <v>0</v>
      </c>
      <c r="R107" s="40">
        <v>0</v>
      </c>
      <c r="S107" s="40">
        <v>0</v>
      </c>
      <c r="T107" s="17"/>
    </row>
    <row r="108" spans="1:20" x14ac:dyDescent="0.25">
      <c r="A108" s="4" t="s">
        <v>215</v>
      </c>
      <c r="B108" s="40">
        <v>0</v>
      </c>
      <c r="C108" s="41">
        <f t="shared" si="8"/>
        <v>0</v>
      </c>
      <c r="D108" s="41">
        <f t="shared" si="9"/>
        <v>0</v>
      </c>
      <c r="E108" s="41">
        <f t="shared" si="10"/>
        <v>0</v>
      </c>
      <c r="F108" s="41">
        <f t="shared" si="11"/>
        <v>0</v>
      </c>
      <c r="G108" s="41">
        <f t="shared" si="12"/>
        <v>0</v>
      </c>
      <c r="H108" s="41">
        <f t="shared" si="13"/>
        <v>0.3</v>
      </c>
      <c r="I108" s="41">
        <f t="shared" si="14"/>
        <v>0.3</v>
      </c>
      <c r="J108" s="41">
        <f t="shared" si="15"/>
        <v>0.97</v>
      </c>
      <c r="K108" s="40">
        <v>0</v>
      </c>
      <c r="L108" s="40">
        <v>0</v>
      </c>
      <c r="M108" s="40">
        <v>0</v>
      </c>
      <c r="N108" s="40">
        <v>0</v>
      </c>
      <c r="O108" s="40">
        <v>0</v>
      </c>
      <c r="P108" s="40">
        <v>0</v>
      </c>
      <c r="Q108" s="40">
        <v>0</v>
      </c>
      <c r="R108" s="40">
        <v>0</v>
      </c>
      <c r="S108" s="40">
        <v>0</v>
      </c>
      <c r="T108" s="17"/>
    </row>
    <row r="109" spans="1:20" x14ac:dyDescent="0.25">
      <c r="A109" s="4" t="s">
        <v>216</v>
      </c>
      <c r="B109" s="40">
        <v>0</v>
      </c>
      <c r="C109" s="41">
        <f t="shared" si="8"/>
        <v>0</v>
      </c>
      <c r="D109" s="41">
        <f t="shared" si="9"/>
        <v>0</v>
      </c>
      <c r="E109" s="41">
        <f t="shared" si="10"/>
        <v>0</v>
      </c>
      <c r="F109" s="41">
        <f t="shared" si="11"/>
        <v>0</v>
      </c>
      <c r="G109" s="41">
        <f t="shared" si="12"/>
        <v>0</v>
      </c>
      <c r="H109" s="41">
        <f t="shared" si="13"/>
        <v>0.3</v>
      </c>
      <c r="I109" s="41">
        <f t="shared" si="14"/>
        <v>0.3</v>
      </c>
      <c r="J109" s="41">
        <f t="shared" si="15"/>
        <v>0.97</v>
      </c>
      <c r="K109" s="40">
        <v>0</v>
      </c>
      <c r="L109" s="40">
        <v>0</v>
      </c>
      <c r="M109" s="40">
        <v>0</v>
      </c>
      <c r="N109" s="40">
        <v>0</v>
      </c>
      <c r="O109" s="40">
        <v>0</v>
      </c>
      <c r="P109" s="40">
        <v>0</v>
      </c>
      <c r="Q109" s="40">
        <v>0</v>
      </c>
      <c r="R109" s="40">
        <v>0</v>
      </c>
      <c r="S109" s="40">
        <v>0</v>
      </c>
      <c r="T109" s="17"/>
    </row>
    <row r="110" spans="1:20" x14ac:dyDescent="0.25">
      <c r="A110" s="4" t="s">
        <v>217</v>
      </c>
      <c r="B110" s="40">
        <v>0</v>
      </c>
      <c r="C110" s="41">
        <f t="shared" si="8"/>
        <v>0</v>
      </c>
      <c r="D110" s="41">
        <f t="shared" si="9"/>
        <v>0</v>
      </c>
      <c r="E110" s="41">
        <f t="shared" si="10"/>
        <v>0</v>
      </c>
      <c r="F110" s="41">
        <f t="shared" si="11"/>
        <v>0</v>
      </c>
      <c r="G110" s="41">
        <f t="shared" si="12"/>
        <v>0</v>
      </c>
      <c r="H110" s="41">
        <f t="shared" si="13"/>
        <v>0.3</v>
      </c>
      <c r="I110" s="41">
        <f t="shared" si="14"/>
        <v>0.3</v>
      </c>
      <c r="J110" s="41">
        <f t="shared" si="15"/>
        <v>0.97</v>
      </c>
      <c r="K110" s="40">
        <v>0</v>
      </c>
      <c r="L110" s="40">
        <v>0</v>
      </c>
      <c r="M110" s="40">
        <v>0</v>
      </c>
      <c r="N110" s="40">
        <v>0</v>
      </c>
      <c r="O110" s="40">
        <v>0</v>
      </c>
      <c r="P110" s="40">
        <v>0</v>
      </c>
      <c r="Q110" s="40">
        <v>0</v>
      </c>
      <c r="R110" s="40">
        <v>0</v>
      </c>
      <c r="S110" s="40">
        <v>0</v>
      </c>
      <c r="T110" s="17"/>
    </row>
    <row r="111" spans="1:20" x14ac:dyDescent="0.25">
      <c r="A111" s="4" t="s">
        <v>218</v>
      </c>
      <c r="B111" s="40">
        <v>0</v>
      </c>
      <c r="C111" s="41">
        <f t="shared" si="8"/>
        <v>0</v>
      </c>
      <c r="D111" s="41">
        <f t="shared" si="9"/>
        <v>0</v>
      </c>
      <c r="E111" s="41">
        <f t="shared" si="10"/>
        <v>0</v>
      </c>
      <c r="F111" s="41">
        <f t="shared" si="11"/>
        <v>0</v>
      </c>
      <c r="G111" s="41">
        <f t="shared" si="12"/>
        <v>0</v>
      </c>
      <c r="H111" s="41">
        <f t="shared" si="13"/>
        <v>0.3</v>
      </c>
      <c r="I111" s="41">
        <f t="shared" si="14"/>
        <v>0.3</v>
      </c>
      <c r="J111" s="41">
        <f t="shared" si="15"/>
        <v>0.97</v>
      </c>
      <c r="K111" s="40">
        <v>0</v>
      </c>
      <c r="L111" s="40">
        <v>0</v>
      </c>
      <c r="M111" s="40">
        <v>0</v>
      </c>
      <c r="N111" s="40">
        <v>0</v>
      </c>
      <c r="O111" s="40">
        <v>0</v>
      </c>
      <c r="P111" s="40">
        <v>0</v>
      </c>
      <c r="Q111" s="40">
        <v>0</v>
      </c>
      <c r="R111" s="40">
        <v>0</v>
      </c>
      <c r="S111" s="40">
        <v>0</v>
      </c>
      <c r="T111" s="17"/>
    </row>
    <row r="112" spans="1:20" x14ac:dyDescent="0.25">
      <c r="A112" s="4" t="s">
        <v>219</v>
      </c>
      <c r="B112" s="40">
        <v>0</v>
      </c>
      <c r="C112" s="41">
        <f t="shared" si="8"/>
        <v>0</v>
      </c>
      <c r="D112" s="41">
        <f t="shared" si="9"/>
        <v>0</v>
      </c>
      <c r="E112" s="41">
        <f t="shared" si="10"/>
        <v>0</v>
      </c>
      <c r="F112" s="41">
        <f t="shared" si="11"/>
        <v>0</v>
      </c>
      <c r="G112" s="41">
        <f t="shared" si="12"/>
        <v>0</v>
      </c>
      <c r="H112" s="41">
        <f t="shared" si="13"/>
        <v>0.3</v>
      </c>
      <c r="I112" s="41">
        <f t="shared" si="14"/>
        <v>0.3</v>
      </c>
      <c r="J112" s="41">
        <f t="shared" si="15"/>
        <v>0.97</v>
      </c>
      <c r="K112" s="40">
        <v>0</v>
      </c>
      <c r="L112" s="40">
        <v>0</v>
      </c>
      <c r="M112" s="40">
        <v>0</v>
      </c>
      <c r="N112" s="40">
        <v>0</v>
      </c>
      <c r="O112" s="40">
        <v>0</v>
      </c>
      <c r="P112" s="40">
        <v>0</v>
      </c>
      <c r="Q112" s="40">
        <v>0</v>
      </c>
      <c r="R112" s="40">
        <v>0</v>
      </c>
      <c r="S112" s="40">
        <v>0</v>
      </c>
      <c r="T112" s="17"/>
    </row>
    <row r="113" spans="1:20" x14ac:dyDescent="0.25">
      <c r="A113" s="4" t="s">
        <v>181</v>
      </c>
      <c r="B113" s="40">
        <v>0</v>
      </c>
      <c r="C113" s="41">
        <f t="shared" si="8"/>
        <v>0</v>
      </c>
      <c r="D113" s="41">
        <f t="shared" si="9"/>
        <v>0</v>
      </c>
      <c r="E113" s="41">
        <f t="shared" si="10"/>
        <v>0</v>
      </c>
      <c r="F113" s="41">
        <f t="shared" si="11"/>
        <v>0</v>
      </c>
      <c r="G113" s="41">
        <f t="shared" si="12"/>
        <v>0</v>
      </c>
      <c r="H113" s="41">
        <f t="shared" si="13"/>
        <v>0.3</v>
      </c>
      <c r="I113" s="41">
        <f t="shared" si="14"/>
        <v>0.3</v>
      </c>
      <c r="J113" s="41">
        <f t="shared" si="15"/>
        <v>0.97</v>
      </c>
      <c r="K113" s="40">
        <v>0</v>
      </c>
      <c r="L113" s="40">
        <v>0</v>
      </c>
      <c r="M113" s="40">
        <v>0</v>
      </c>
      <c r="N113" s="40">
        <v>0</v>
      </c>
      <c r="O113" s="40">
        <v>0</v>
      </c>
      <c r="P113" s="40">
        <v>0</v>
      </c>
      <c r="Q113" s="40">
        <v>0</v>
      </c>
      <c r="R113" s="40">
        <v>0</v>
      </c>
      <c r="S113" s="40">
        <v>0</v>
      </c>
      <c r="T113" s="17"/>
    </row>
    <row r="114" spans="1:20" x14ac:dyDescent="0.25">
      <c r="A114" s="4" t="s">
        <v>182</v>
      </c>
      <c r="B114" s="40">
        <v>0</v>
      </c>
      <c r="C114" s="41">
        <f t="shared" si="8"/>
        <v>0</v>
      </c>
      <c r="D114" s="41">
        <f t="shared" si="9"/>
        <v>0</v>
      </c>
      <c r="E114" s="41">
        <f t="shared" si="10"/>
        <v>0</v>
      </c>
      <c r="F114" s="41">
        <f t="shared" si="11"/>
        <v>0</v>
      </c>
      <c r="G114" s="41">
        <f t="shared" si="12"/>
        <v>0</v>
      </c>
      <c r="H114" s="41">
        <f t="shared" si="13"/>
        <v>0.3</v>
      </c>
      <c r="I114" s="41">
        <f t="shared" si="14"/>
        <v>0.97</v>
      </c>
      <c r="J114" s="41">
        <f t="shared" si="15"/>
        <v>0</v>
      </c>
      <c r="K114" s="40">
        <v>0</v>
      </c>
      <c r="L114" s="40">
        <v>0</v>
      </c>
      <c r="M114" s="40">
        <v>0</v>
      </c>
      <c r="N114" s="40">
        <v>0</v>
      </c>
      <c r="O114" s="40">
        <v>0</v>
      </c>
      <c r="P114" s="40">
        <v>0</v>
      </c>
      <c r="Q114" s="40">
        <v>0</v>
      </c>
      <c r="R114" s="40">
        <v>0</v>
      </c>
      <c r="S114" s="40">
        <v>0</v>
      </c>
      <c r="T114" s="17"/>
    </row>
    <row r="115" spans="1:20" x14ac:dyDescent="0.25">
      <c r="A115" s="4" t="s">
        <v>183</v>
      </c>
      <c r="B115" s="40">
        <v>0</v>
      </c>
      <c r="C115" s="41">
        <f t="shared" si="8"/>
        <v>0</v>
      </c>
      <c r="D115" s="41">
        <f t="shared" si="9"/>
        <v>0</v>
      </c>
      <c r="E115" s="41">
        <f t="shared" si="10"/>
        <v>0</v>
      </c>
      <c r="F115" s="41">
        <f t="shared" si="11"/>
        <v>0</v>
      </c>
      <c r="G115" s="41">
        <f t="shared" si="12"/>
        <v>0</v>
      </c>
      <c r="H115" s="41">
        <f t="shared" si="13"/>
        <v>0.3</v>
      </c>
      <c r="I115" s="41">
        <f t="shared" si="14"/>
        <v>0.3</v>
      </c>
      <c r="J115" s="41">
        <f t="shared" si="15"/>
        <v>0.97</v>
      </c>
      <c r="K115" s="40">
        <v>0</v>
      </c>
      <c r="L115" s="40">
        <v>0</v>
      </c>
      <c r="M115" s="40">
        <v>0</v>
      </c>
      <c r="N115" s="40">
        <v>0</v>
      </c>
      <c r="O115" s="40">
        <v>0</v>
      </c>
      <c r="P115" s="40">
        <v>0</v>
      </c>
      <c r="Q115" s="40">
        <v>0</v>
      </c>
      <c r="R115" s="40">
        <v>0</v>
      </c>
      <c r="S115" s="40">
        <v>0</v>
      </c>
      <c r="T115" s="17"/>
    </row>
    <row r="116" spans="1:20" x14ac:dyDescent="0.25">
      <c r="A116" s="4" t="s">
        <v>184</v>
      </c>
      <c r="B116" s="40">
        <v>0</v>
      </c>
      <c r="C116" s="41">
        <f t="shared" si="8"/>
        <v>0</v>
      </c>
      <c r="D116" s="41">
        <f t="shared" si="9"/>
        <v>0</v>
      </c>
      <c r="E116" s="41">
        <f t="shared" si="10"/>
        <v>0</v>
      </c>
      <c r="F116" s="41">
        <f t="shared" si="11"/>
        <v>0</v>
      </c>
      <c r="G116" s="41">
        <f t="shared" si="12"/>
        <v>0</v>
      </c>
      <c r="H116" s="41">
        <f t="shared" si="13"/>
        <v>0.3</v>
      </c>
      <c r="I116" s="41">
        <f t="shared" si="14"/>
        <v>0.3</v>
      </c>
      <c r="J116" s="41">
        <f t="shared" si="15"/>
        <v>0.97</v>
      </c>
      <c r="K116" s="40">
        <v>0</v>
      </c>
      <c r="L116" s="40">
        <v>0</v>
      </c>
      <c r="M116" s="40">
        <v>0</v>
      </c>
      <c r="N116" s="40">
        <v>0</v>
      </c>
      <c r="O116" s="40">
        <v>0</v>
      </c>
      <c r="P116" s="40">
        <v>0</v>
      </c>
      <c r="Q116" s="40">
        <v>0</v>
      </c>
      <c r="R116" s="40">
        <v>0</v>
      </c>
      <c r="S116" s="40">
        <v>0</v>
      </c>
      <c r="T116" s="17"/>
    </row>
    <row r="117" spans="1:20" x14ac:dyDescent="0.25">
      <c r="A117" s="4" t="s">
        <v>185</v>
      </c>
      <c r="B117" s="40">
        <v>0</v>
      </c>
      <c r="C117" s="41">
        <f t="shared" si="8"/>
        <v>0</v>
      </c>
      <c r="D117" s="41">
        <f t="shared" si="9"/>
        <v>0</v>
      </c>
      <c r="E117" s="41">
        <f t="shared" si="10"/>
        <v>0</v>
      </c>
      <c r="F117" s="41">
        <f t="shared" si="11"/>
        <v>0</v>
      </c>
      <c r="G117" s="41">
        <f t="shared" si="12"/>
        <v>0</v>
      </c>
      <c r="H117" s="41">
        <f t="shared" si="13"/>
        <v>0.3</v>
      </c>
      <c r="I117" s="41">
        <f t="shared" si="14"/>
        <v>0.97</v>
      </c>
      <c r="J117" s="41">
        <f t="shared" si="15"/>
        <v>0</v>
      </c>
      <c r="K117" s="40">
        <v>0</v>
      </c>
      <c r="L117" s="40">
        <v>0</v>
      </c>
      <c r="M117" s="40">
        <v>0</v>
      </c>
      <c r="N117" s="40">
        <v>0</v>
      </c>
      <c r="O117" s="40">
        <v>0</v>
      </c>
      <c r="P117" s="40">
        <v>0</v>
      </c>
      <c r="Q117" s="40">
        <v>0</v>
      </c>
      <c r="R117" s="40">
        <v>0</v>
      </c>
      <c r="S117" s="40">
        <v>0</v>
      </c>
      <c r="T117" s="17"/>
    </row>
    <row r="118" spans="1:20" x14ac:dyDescent="0.25">
      <c r="A118" s="4" t="s">
        <v>186</v>
      </c>
      <c r="B118" s="40">
        <v>0</v>
      </c>
      <c r="C118" s="41">
        <f t="shared" si="8"/>
        <v>0</v>
      </c>
      <c r="D118" s="41">
        <f t="shared" si="9"/>
        <v>0</v>
      </c>
      <c r="E118" s="41">
        <f t="shared" si="10"/>
        <v>0</v>
      </c>
      <c r="F118" s="41">
        <f t="shared" si="11"/>
        <v>0</v>
      </c>
      <c r="G118" s="41">
        <f t="shared" si="12"/>
        <v>0</v>
      </c>
      <c r="H118" s="41">
        <f t="shared" si="13"/>
        <v>0.3</v>
      </c>
      <c r="I118" s="41">
        <f t="shared" si="14"/>
        <v>0.97</v>
      </c>
      <c r="J118" s="41">
        <f t="shared" si="15"/>
        <v>0</v>
      </c>
      <c r="K118" s="40">
        <v>0</v>
      </c>
      <c r="L118" s="40">
        <v>0</v>
      </c>
      <c r="M118" s="40">
        <v>0</v>
      </c>
      <c r="N118" s="40">
        <v>0</v>
      </c>
      <c r="O118" s="40">
        <v>0</v>
      </c>
      <c r="P118" s="40">
        <v>0</v>
      </c>
      <c r="Q118" s="40">
        <v>0</v>
      </c>
      <c r="R118" s="40">
        <v>0</v>
      </c>
      <c r="S118" s="40">
        <v>0</v>
      </c>
      <c r="T118" s="17"/>
    </row>
    <row r="119" spans="1:20" x14ac:dyDescent="0.25">
      <c r="A119" s="4" t="s">
        <v>194</v>
      </c>
      <c r="B119" s="40">
        <v>0</v>
      </c>
      <c r="C119" s="41">
        <f t="shared" si="8"/>
        <v>0</v>
      </c>
      <c r="D119" s="41">
        <f t="shared" si="9"/>
        <v>0</v>
      </c>
      <c r="E119" s="41">
        <f t="shared" si="10"/>
        <v>0</v>
      </c>
      <c r="F119" s="41">
        <f t="shared" si="11"/>
        <v>0.56999999999999995</v>
      </c>
      <c r="G119" s="41">
        <f t="shared" si="12"/>
        <v>0</v>
      </c>
      <c r="H119" s="41">
        <f t="shared" si="13"/>
        <v>0.91</v>
      </c>
      <c r="I119" s="41">
        <f t="shared" si="14"/>
        <v>0</v>
      </c>
      <c r="J119" s="41">
        <f t="shared" si="15"/>
        <v>0</v>
      </c>
      <c r="K119" s="40">
        <v>0</v>
      </c>
      <c r="L119" s="40">
        <v>0</v>
      </c>
      <c r="M119" s="40">
        <v>0</v>
      </c>
      <c r="N119" s="40">
        <v>0</v>
      </c>
      <c r="O119" s="40">
        <v>0</v>
      </c>
      <c r="P119" s="40">
        <v>0</v>
      </c>
      <c r="Q119" s="40">
        <v>0</v>
      </c>
      <c r="R119" s="40">
        <v>0</v>
      </c>
      <c r="S119" s="40">
        <v>0</v>
      </c>
      <c r="T119" s="17"/>
    </row>
    <row r="120" spans="1:20" x14ac:dyDescent="0.25">
      <c r="A120" s="4" t="s">
        <v>195</v>
      </c>
      <c r="B120" s="40">
        <v>0</v>
      </c>
      <c r="C120" s="41">
        <f t="shared" si="8"/>
        <v>0</v>
      </c>
      <c r="D120" s="41">
        <f t="shared" si="9"/>
        <v>0</v>
      </c>
      <c r="E120" s="41">
        <f t="shared" si="10"/>
        <v>0</v>
      </c>
      <c r="F120" s="41">
        <f t="shared" si="11"/>
        <v>0.56999999999999995</v>
      </c>
      <c r="G120" s="41">
        <f t="shared" si="12"/>
        <v>0</v>
      </c>
      <c r="H120" s="41">
        <f t="shared" si="13"/>
        <v>0.91</v>
      </c>
      <c r="I120" s="41">
        <f t="shared" si="14"/>
        <v>0</v>
      </c>
      <c r="J120" s="41">
        <f t="shared" si="15"/>
        <v>0</v>
      </c>
      <c r="K120" s="40">
        <v>0</v>
      </c>
      <c r="L120" s="40">
        <v>0</v>
      </c>
      <c r="M120" s="40">
        <v>0</v>
      </c>
      <c r="N120" s="40">
        <v>0</v>
      </c>
      <c r="O120" s="40">
        <v>0</v>
      </c>
      <c r="P120" s="40">
        <v>0</v>
      </c>
      <c r="Q120" s="40">
        <v>0</v>
      </c>
      <c r="R120" s="40">
        <v>0</v>
      </c>
      <c r="S120" s="40">
        <v>0</v>
      </c>
      <c r="T120" s="17"/>
    </row>
  </sheetData>
  <sheetProtection sheet="1" objects="1" scenarios="1"/>
  <hyperlinks>
    <hyperlink ref="A37" location="'Input'!B305" display="x1 = 1060. Customer contributions under current connection charging policy"/>
    <hyperlink ref="A38" location="'Input'!D57" display="x2 = 1010. Annuity proportion for customer-contributed assets (in Financial and general assumptions)"/>
    <hyperlink ref="A53" location="'Contrib'!B6" display="x1 = 2801. Network level of supply (for customer contributions) by tariff"/>
    <hyperlink ref="A54" location="'Contrib'!B41" display="x2 = 2802. Contribution proportion of asset annuities, by customer type and network level of assets"/>
    <hyperlink ref="A90" location="'Contrib'!B57" display="x3 = 2803. Proportion of asset annuities deemed to be covered by customer contributions"/>
  </hyperlinks>
  <pageMargins left="0.7" right="0.7" top="0.75" bottom="0.75" header="0.3" footer="0.3"/>
  <pageSetup paperSize="9" fitToHeight="0" orientation="landscape"/>
  <headerFooter>
    <oddHeader>&amp;L&amp;A&amp;C&amp;R&amp;P of &amp;N</oddHeader>
    <oddFooter>&amp;F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127"/>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x14ac:dyDescent="0.25"/>
  <cols>
    <col min="1" max="1" width="50.7109375" customWidth="1"/>
    <col min="2" max="251" width="16.7109375" customWidth="1"/>
  </cols>
  <sheetData>
    <row r="1" spans="1:20" ht="21" customHeight="1" x14ac:dyDescent="0.3">
      <c r="A1" s="1" t="str">
        <f>"Yardsticks for "&amp;Input!B7&amp;" in "&amp;Input!C7&amp;" ("&amp;Input!D7&amp;")"</f>
        <v>Yardsticks for Electricity North West in 2017/2018 (December 2015)</v>
      </c>
    </row>
    <row r="2" spans="1:20" x14ac:dyDescent="0.25">
      <c r="A2" s="2" t="s">
        <v>965</v>
      </c>
    </row>
    <row r="4" spans="1:20" ht="21" customHeight="1" x14ac:dyDescent="0.3">
      <c r="A4" s="1" t="s">
        <v>966</v>
      </c>
    </row>
    <row r="5" spans="1:20" x14ac:dyDescent="0.25">
      <c r="A5" s="2" t="s">
        <v>350</v>
      </c>
    </row>
    <row r="6" spans="1:20" x14ac:dyDescent="0.25">
      <c r="A6" s="32" t="s">
        <v>967</v>
      </c>
    </row>
    <row r="7" spans="1:20" x14ac:dyDescent="0.25">
      <c r="A7" s="32" t="s">
        <v>968</v>
      </c>
    </row>
    <row r="8" spans="1:20" x14ac:dyDescent="0.25">
      <c r="A8" s="2" t="s">
        <v>368</v>
      </c>
    </row>
    <row r="10" spans="1:20" ht="30" x14ac:dyDescent="0.25">
      <c r="B10" s="15" t="s">
        <v>139</v>
      </c>
      <c r="C10" s="15" t="s">
        <v>313</v>
      </c>
      <c r="D10" s="15" t="s">
        <v>314</v>
      </c>
      <c r="E10" s="15" t="s">
        <v>315</v>
      </c>
      <c r="F10" s="15" t="s">
        <v>316</v>
      </c>
      <c r="G10" s="15" t="s">
        <v>317</v>
      </c>
      <c r="H10" s="15" t="s">
        <v>318</v>
      </c>
      <c r="I10" s="15" t="s">
        <v>319</v>
      </c>
      <c r="J10" s="15" t="s">
        <v>320</v>
      </c>
      <c r="K10" s="15" t="s">
        <v>301</v>
      </c>
      <c r="L10" s="15" t="s">
        <v>876</v>
      </c>
      <c r="M10" s="15" t="s">
        <v>877</v>
      </c>
      <c r="N10" s="15" t="s">
        <v>878</v>
      </c>
      <c r="O10" s="15" t="s">
        <v>879</v>
      </c>
      <c r="P10" s="15" t="s">
        <v>880</v>
      </c>
      <c r="Q10" s="15" t="s">
        <v>881</v>
      </c>
      <c r="R10" s="15" t="s">
        <v>882</v>
      </c>
      <c r="S10" s="15" t="s">
        <v>883</v>
      </c>
    </row>
    <row r="11" spans="1:20" ht="30" x14ac:dyDescent="0.25">
      <c r="A11" s="4" t="s">
        <v>969</v>
      </c>
      <c r="B11" s="10"/>
      <c r="C11" s="38">
        <f>DRM!$B$130</f>
        <v>10.535904241829474</v>
      </c>
      <c r="D11" s="38">
        <f>DRM!$B$131</f>
        <v>4.1879969572131355</v>
      </c>
      <c r="E11" s="38">
        <f>DRM!$B$132</f>
        <v>10.642114602247615</v>
      </c>
      <c r="F11" s="38">
        <f>DRM!$B$133</f>
        <v>6.7494239248581405</v>
      </c>
      <c r="G11" s="38">
        <f>DRM!$B$134</f>
        <v>0</v>
      </c>
      <c r="H11" s="38">
        <f>DRM!$B$135</f>
        <v>12.400642698746287</v>
      </c>
      <c r="I11" s="38">
        <f>DRM!$B$136</f>
        <v>11.406434583456836</v>
      </c>
      <c r="J11" s="38">
        <f>DRM!$B$137</f>
        <v>6.6379808477580342</v>
      </c>
      <c r="K11" s="38">
        <f>Otex!$B108</f>
        <v>4.9984767394208101</v>
      </c>
      <c r="L11" s="38">
        <f>Otex!$C108</f>
        <v>3.841118496892697</v>
      </c>
      <c r="M11" s="38">
        <f>Otex!$D108</f>
        <v>1.5268354958480908</v>
      </c>
      <c r="N11" s="38">
        <f>Otex!$E108</f>
        <v>3.8798400504110031</v>
      </c>
      <c r="O11" s="38">
        <f>Otex!$F108</f>
        <v>2.4606655951004526</v>
      </c>
      <c r="P11" s="38">
        <f>Otex!$G108</f>
        <v>0</v>
      </c>
      <c r="Q11" s="38">
        <f>Otex!$H108</f>
        <v>4.5209539637236444</v>
      </c>
      <c r="R11" s="38">
        <f>Otex!$I108</f>
        <v>4.158491369745474</v>
      </c>
      <c r="S11" s="38">
        <f>Otex!$J108</f>
        <v>2.4200363282644508</v>
      </c>
      <c r="T11" s="17"/>
    </row>
    <row r="13" spans="1:20" ht="21" customHeight="1" x14ac:dyDescent="0.3">
      <c r="A13" s="1" t="s">
        <v>970</v>
      </c>
    </row>
    <row r="14" spans="1:20" x14ac:dyDescent="0.25">
      <c r="A14" s="2" t="s">
        <v>350</v>
      </c>
    </row>
    <row r="15" spans="1:20" x14ac:dyDescent="0.25">
      <c r="A15" s="32" t="s">
        <v>971</v>
      </c>
    </row>
    <row r="16" spans="1:20" x14ac:dyDescent="0.25">
      <c r="A16" s="32" t="s">
        <v>810</v>
      </c>
    </row>
    <row r="17" spans="1:20" x14ac:dyDescent="0.25">
      <c r="A17" s="32" t="s">
        <v>797</v>
      </c>
    </row>
    <row r="18" spans="1:20" x14ac:dyDescent="0.25">
      <c r="A18" s="32" t="s">
        <v>972</v>
      </c>
    </row>
    <row r="19" spans="1:20" x14ac:dyDescent="0.25">
      <c r="A19" s="32" t="s">
        <v>740</v>
      </c>
    </row>
    <row r="20" spans="1:20" x14ac:dyDescent="0.25">
      <c r="A20" s="2" t="s">
        <v>973</v>
      </c>
    </row>
    <row r="22" spans="1:20" ht="30" x14ac:dyDescent="0.25">
      <c r="B22" s="15" t="s">
        <v>139</v>
      </c>
      <c r="C22" s="15" t="s">
        <v>313</v>
      </c>
      <c r="D22" s="15" t="s">
        <v>314</v>
      </c>
      <c r="E22" s="15" t="s">
        <v>315</v>
      </c>
      <c r="F22" s="15" t="s">
        <v>316</v>
      </c>
      <c r="G22" s="15" t="s">
        <v>317</v>
      </c>
      <c r="H22" s="15" t="s">
        <v>318</v>
      </c>
      <c r="I22" s="15" t="s">
        <v>319</v>
      </c>
      <c r="J22" s="15" t="s">
        <v>320</v>
      </c>
      <c r="K22" s="15" t="s">
        <v>301</v>
      </c>
      <c r="L22" s="15" t="s">
        <v>876</v>
      </c>
      <c r="M22" s="15" t="s">
        <v>877</v>
      </c>
      <c r="N22" s="15" t="s">
        <v>878</v>
      </c>
      <c r="O22" s="15" t="s">
        <v>879</v>
      </c>
      <c r="P22" s="15" t="s">
        <v>880</v>
      </c>
      <c r="Q22" s="15" t="s">
        <v>881</v>
      </c>
      <c r="R22" s="15" t="s">
        <v>882</v>
      </c>
      <c r="S22" s="15" t="s">
        <v>883</v>
      </c>
    </row>
    <row r="23" spans="1:20" x14ac:dyDescent="0.25">
      <c r="A23" s="4" t="s">
        <v>171</v>
      </c>
      <c r="B23" s="37">
        <f>B$11*Loads!$B46*LAFs!B237*(1-Contrib!B94)/(24*Input!$F$58)*100</f>
        <v>0</v>
      </c>
      <c r="C23" s="37">
        <f>C$11*Loads!$B46*LAFs!C237*(1-Contrib!C94)/(24*Input!$F$58)*100</f>
        <v>0.26289872725818014</v>
      </c>
      <c r="D23" s="37">
        <f>D$11*Loads!$B46*LAFs!D237*(1-Contrib!D94)/(24*Input!$F$58)*100</f>
        <v>0.10399100648327822</v>
      </c>
      <c r="E23" s="37">
        <f>E$11*Loads!$B46*LAFs!E237*(1-Contrib!E94)/(24*Input!$F$58)*100</f>
        <v>0.26258432205459004</v>
      </c>
      <c r="F23" s="37">
        <f>F$11*Loads!$B46*LAFs!F237*(1-Contrib!F94)/(24*Input!$F$58)*100</f>
        <v>0.16563908233439412</v>
      </c>
      <c r="G23" s="37">
        <f>G$11*Loads!$B46*LAFs!G237*(1-Contrib!G94)/(24*Input!$F$58)*100</f>
        <v>0</v>
      </c>
      <c r="H23" s="37">
        <f>H$11*Loads!$B46*LAFs!H237*(1-Contrib!H94)/(24*Input!$F$58)*100</f>
        <v>0.21050018674355991</v>
      </c>
      <c r="I23" s="37">
        <f>I$11*Loads!$B46*LAFs!I237*(1-Contrib!I94)/(24*Input!$F$58)*100</f>
        <v>0.19111741421952752</v>
      </c>
      <c r="J23" s="37">
        <f>J$11*Loads!$B46*LAFs!J237*(1-Contrib!J94)/(24*Input!$F$58)*100</f>
        <v>4.5406361301049804E-3</v>
      </c>
      <c r="K23" s="37">
        <f>K$11*Loads!$B46*LAFs!B237*(1-Contrib!K94)/(24*Input!$F$58)*100</f>
        <v>0.12599839080472977</v>
      </c>
      <c r="L23" s="37">
        <f>L$11*Loads!$B46*LAFs!C237*(1-Contrib!L94)/(24*Input!$F$58)*100</f>
        <v>9.584608410465166E-2</v>
      </c>
      <c r="M23" s="37">
        <f>M$11*Loads!$B46*LAFs!D237*(1-Contrib!M94)/(24*Input!$F$58)*100</f>
        <v>3.7912434409526158E-2</v>
      </c>
      <c r="N23" s="37">
        <f>N$11*Loads!$B46*LAFs!E237*(1-Contrib!N94)/(24*Input!$F$58)*100</f>
        <v>9.5731460089919757E-2</v>
      </c>
      <c r="O23" s="37">
        <f>O$11*Loads!$B46*LAFs!F237*(1-Contrib!O94)/(24*Input!$F$58)*100</f>
        <v>6.0387730218445484E-2</v>
      </c>
      <c r="P23" s="37">
        <f>P$11*Loads!$B46*LAFs!G237*(1-Contrib!P94)/(24*Input!$F$58)*100</f>
        <v>0</v>
      </c>
      <c r="Q23" s="37">
        <f>Q$11*Loads!$B46*LAFs!H237*(1-Contrib!Q94)/(24*Input!$F$58)*100</f>
        <v>0.1096327570320296</v>
      </c>
      <c r="R23" s="37">
        <f>R$11*Loads!$B46*LAFs!I237*(1-Contrib!R94)/(24*Input!$F$58)*100</f>
        <v>9.9537816863054449E-2</v>
      </c>
      <c r="S23" s="37">
        <f>S$11*Loads!$B46*LAFs!J237*(1-Contrib!S94)/(24*Input!$F$58)*100</f>
        <v>5.5179954267747452E-2</v>
      </c>
      <c r="T23" s="17"/>
    </row>
    <row r="24" spans="1:20" x14ac:dyDescent="0.25">
      <c r="A24" s="4" t="s">
        <v>172</v>
      </c>
      <c r="B24" s="37">
        <f>B$11*Loads!$B47*LAFs!B238*(1-Contrib!B95)/(24*Input!$F$58)*100</f>
        <v>0</v>
      </c>
      <c r="C24" s="37">
        <f>C$11*Loads!$B47*LAFs!C238*(1-Contrib!C95)/(24*Input!$F$58)*100</f>
        <v>0.15740462603724778</v>
      </c>
      <c r="D24" s="37">
        <f>D$11*Loads!$B47*LAFs!D238*(1-Contrib!D95)/(24*Input!$F$58)*100</f>
        <v>6.2262246977949576E-2</v>
      </c>
      <c r="E24" s="37">
        <f>E$11*Loads!$B47*LAFs!E238*(1-Contrib!E95)/(24*Input!$F$58)*100</f>
        <v>0.15721638308144728</v>
      </c>
      <c r="F24" s="37">
        <f>F$11*Loads!$B47*LAFs!F238*(1-Contrib!F95)/(24*Input!$F$58)*100</f>
        <v>9.9172628501901436E-2</v>
      </c>
      <c r="G24" s="37">
        <f>G$11*Loads!$B47*LAFs!G238*(1-Contrib!G95)/(24*Input!$F$58)*100</f>
        <v>0</v>
      </c>
      <c r="H24" s="37">
        <f>H$11*Loads!$B47*LAFs!H238*(1-Contrib!H95)/(24*Input!$F$58)*100</f>
        <v>0.12603219315931441</v>
      </c>
      <c r="I24" s="37">
        <f>I$11*Loads!$B47*LAFs!I238*(1-Contrib!I95)/(24*Input!$F$58)*100</f>
        <v>0.11442719950822615</v>
      </c>
      <c r="J24" s="37">
        <f>J$11*Loads!$B47*LAFs!J238*(1-Contrib!J95)/(24*Input!$F$58)*100</f>
        <v>2.7186024804467818E-3</v>
      </c>
      <c r="K24" s="37">
        <f>K$11*Loads!$B47*LAFs!B238*(1-Contrib!K95)/(24*Input!$F$58)*100</f>
        <v>7.543866717329796E-2</v>
      </c>
      <c r="L24" s="37">
        <f>L$11*Loads!$B47*LAFs!C238*(1-Contrib!L95)/(24*Input!$F$58)*100</f>
        <v>5.7385660185457862E-2</v>
      </c>
      <c r="M24" s="37">
        <f>M$11*Loads!$B47*LAFs!D238*(1-Contrib!M95)/(24*Input!$F$58)*100</f>
        <v>2.2699206734967052E-2</v>
      </c>
      <c r="N24" s="37">
        <f>N$11*Loads!$B47*LAFs!E238*(1-Contrib!N95)/(24*Input!$F$58)*100</f>
        <v>5.7317031666933138E-2</v>
      </c>
      <c r="O24" s="37">
        <f>O$11*Loads!$B47*LAFs!F238*(1-Contrib!O95)/(24*Input!$F$58)*100</f>
        <v>3.6155778277838189E-2</v>
      </c>
      <c r="P24" s="37">
        <f>P$11*Loads!$B47*LAFs!G238*(1-Contrib!P95)/(24*Input!$F$58)*100</f>
        <v>0</v>
      </c>
      <c r="Q24" s="37">
        <f>Q$11*Loads!$B47*LAFs!H238*(1-Contrib!Q95)/(24*Input!$F$58)*100</f>
        <v>6.5640116641234605E-2</v>
      </c>
      <c r="R24" s="37">
        <f>R$11*Loads!$B47*LAFs!I238*(1-Contrib!R95)/(24*Input!$F$58)*100</f>
        <v>5.9596001103902806E-2</v>
      </c>
      <c r="S24" s="37">
        <f>S$11*Loads!$B47*LAFs!J238*(1-Contrib!S95)/(24*Input!$F$58)*100</f>
        <v>3.3037741022372974E-2</v>
      </c>
      <c r="T24" s="17"/>
    </row>
    <row r="25" spans="1:20" x14ac:dyDescent="0.25">
      <c r="A25" s="4" t="s">
        <v>213</v>
      </c>
      <c r="B25" s="37">
        <f>B$11*Loads!$B48*LAFs!B239*(1-Contrib!B96)/(24*Input!$F$58)*100</f>
        <v>0</v>
      </c>
      <c r="C25" s="37">
        <f>C$11*Loads!$B48*LAFs!C239*(1-Contrib!C96)/(24*Input!$F$58)*100</f>
        <v>0</v>
      </c>
      <c r="D25" s="37">
        <f>D$11*Loads!$B48*LAFs!D239*(1-Contrib!D96)/(24*Input!$F$58)*100</f>
        <v>0</v>
      </c>
      <c r="E25" s="37">
        <f>E$11*Loads!$B48*LAFs!E239*(1-Contrib!E96)/(24*Input!$F$58)*100</f>
        <v>0</v>
      </c>
      <c r="F25" s="37">
        <f>F$11*Loads!$B48*LAFs!F239*(1-Contrib!F96)/(24*Input!$F$58)*100</f>
        <v>0</v>
      </c>
      <c r="G25" s="37">
        <f>G$11*Loads!$B48*LAFs!G239*(1-Contrib!G96)/(24*Input!$F$58)*100</f>
        <v>0</v>
      </c>
      <c r="H25" s="37">
        <f>H$11*Loads!$B48*LAFs!H239*(1-Contrib!H96)/(24*Input!$F$58)*100</f>
        <v>0</v>
      </c>
      <c r="I25" s="37">
        <f>I$11*Loads!$B48*LAFs!I239*(1-Contrib!I96)/(24*Input!$F$58)*100</f>
        <v>0</v>
      </c>
      <c r="J25" s="37">
        <f>J$11*Loads!$B48*LAFs!J239*(1-Contrib!J96)/(24*Input!$F$58)*100</f>
        <v>0</v>
      </c>
      <c r="K25" s="37">
        <f>K$11*Loads!$B48*LAFs!B239*(1-Contrib!K96)/(24*Input!$F$58)*100</f>
        <v>0</v>
      </c>
      <c r="L25" s="37">
        <f>L$11*Loads!$B48*LAFs!C239*(1-Contrib!L96)/(24*Input!$F$58)*100</f>
        <v>0</v>
      </c>
      <c r="M25" s="37">
        <f>M$11*Loads!$B48*LAFs!D239*(1-Contrib!M96)/(24*Input!$F$58)*100</f>
        <v>0</v>
      </c>
      <c r="N25" s="37">
        <f>N$11*Loads!$B48*LAFs!E239*(1-Contrib!N96)/(24*Input!$F$58)*100</f>
        <v>0</v>
      </c>
      <c r="O25" s="37">
        <f>O$11*Loads!$B48*LAFs!F239*(1-Contrib!O96)/(24*Input!$F$58)*100</f>
        <v>0</v>
      </c>
      <c r="P25" s="37">
        <f>P$11*Loads!$B48*LAFs!G239*(1-Contrib!P96)/(24*Input!$F$58)*100</f>
        <v>0</v>
      </c>
      <c r="Q25" s="37">
        <f>Q$11*Loads!$B48*LAFs!H239*(1-Contrib!Q96)/(24*Input!$F$58)*100</f>
        <v>0</v>
      </c>
      <c r="R25" s="37">
        <f>R$11*Loads!$B48*LAFs!I239*(1-Contrib!R96)/(24*Input!$F$58)*100</f>
        <v>0</v>
      </c>
      <c r="S25" s="37">
        <f>S$11*Loads!$B48*LAFs!J239*(1-Contrib!S96)/(24*Input!$F$58)*100</f>
        <v>0</v>
      </c>
      <c r="T25" s="17"/>
    </row>
    <row r="26" spans="1:20" x14ac:dyDescent="0.25">
      <c r="A26" s="4" t="s">
        <v>173</v>
      </c>
      <c r="B26" s="37">
        <f>B$11*Loads!$B49*LAFs!B240*(1-Contrib!B97)/(24*Input!$F$58)*100</f>
        <v>0</v>
      </c>
      <c r="C26" s="37">
        <f>C$11*Loads!$B49*LAFs!C240*(1-Contrib!C97)/(24*Input!$F$58)*100</f>
        <v>0.22551862206306622</v>
      </c>
      <c r="D26" s="37">
        <f>D$11*Loads!$B49*LAFs!D240*(1-Contrib!D97)/(24*Input!$F$58)*100</f>
        <v>8.9205104694285206E-2</v>
      </c>
      <c r="E26" s="37">
        <f>E$11*Loads!$B49*LAFs!E240*(1-Contrib!E97)/(24*Input!$F$58)*100</f>
        <v>0.22524892038355429</v>
      </c>
      <c r="F26" s="37">
        <f>F$11*Loads!$B49*LAFs!F240*(1-Contrib!F97)/(24*Input!$F$58)*100</f>
        <v>0.14208778413430315</v>
      </c>
      <c r="G26" s="37">
        <f>G$11*Loads!$B49*LAFs!G240*(1-Contrib!G97)/(24*Input!$F$58)*100</f>
        <v>0</v>
      </c>
      <c r="H26" s="37">
        <f>H$11*Loads!$B49*LAFs!H240*(1-Contrib!H97)/(24*Input!$F$58)*100</f>
        <v>0.18057033806712228</v>
      </c>
      <c r="I26" s="37">
        <f>I$11*Loads!$B49*LAFs!I240*(1-Contrib!I97)/(24*Input!$F$58)*100</f>
        <v>0.1639434939702738</v>
      </c>
      <c r="J26" s="37">
        <f>J$11*Loads!$B49*LAFs!J240*(1-Contrib!J97)/(24*Input!$F$58)*100</f>
        <v>3.8950283785338753E-3</v>
      </c>
      <c r="K26" s="37">
        <f>K$11*Loads!$B49*LAFs!B240*(1-Contrib!K97)/(24*Input!$F$58)*100</f>
        <v>0.10808338166103552</v>
      </c>
      <c r="L26" s="37">
        <f>L$11*Loads!$B49*LAFs!C240*(1-Contrib!L97)/(24*Input!$F$58)*100</f>
        <v>8.2218263446344794E-2</v>
      </c>
      <c r="M26" s="37">
        <f>M$11*Loads!$B49*LAFs!D240*(1-Contrib!M97)/(24*Input!$F$58)*100</f>
        <v>3.252187660344287E-2</v>
      </c>
      <c r="N26" s="37">
        <f>N$11*Loads!$B49*LAFs!E240*(1-Contrib!N97)/(24*Input!$F$58)*100</f>
        <v>8.2119937181599156E-2</v>
      </c>
      <c r="O26" s="37">
        <f>O$11*Loads!$B49*LAFs!F240*(1-Contrib!O97)/(24*Input!$F$58)*100</f>
        <v>5.1801535330393153E-2</v>
      </c>
      <c r="P26" s="37">
        <f>P$11*Loads!$B49*LAFs!G240*(1-Contrib!P97)/(24*Input!$F$58)*100</f>
        <v>0</v>
      </c>
      <c r="Q26" s="37">
        <f>Q$11*Loads!$B49*LAFs!H240*(1-Contrib!Q97)/(24*Input!$F$58)*100</f>
        <v>9.4044686167528632E-2</v>
      </c>
      <c r="R26" s="37">
        <f>R$11*Loads!$B49*LAFs!I240*(1-Contrib!R97)/(24*Input!$F$58)*100</f>
        <v>8.5385089293631866E-2</v>
      </c>
      <c r="S26" s="37">
        <f>S$11*Loads!$B49*LAFs!J240*(1-Contrib!S97)/(24*Input!$F$58)*100</f>
        <v>4.7334224025149654E-2</v>
      </c>
      <c r="T26" s="17"/>
    </row>
    <row r="27" spans="1:20" x14ac:dyDescent="0.25">
      <c r="A27" s="4" t="s">
        <v>174</v>
      </c>
      <c r="B27" s="37">
        <f>B$11*Loads!$B50*LAFs!B241*(1-Contrib!B98)/(24*Input!$F$58)*100</f>
        <v>0</v>
      </c>
      <c r="C27" s="37">
        <f>C$11*Loads!$B50*LAFs!C241*(1-Contrib!C98)/(24*Input!$F$58)*100</f>
        <v>0.17133257223239332</v>
      </c>
      <c r="D27" s="37">
        <f>D$11*Loads!$B50*LAFs!D241*(1-Contrib!D98)/(24*Input!$F$58)*100</f>
        <v>6.7771521055399742E-2</v>
      </c>
      <c r="E27" s="37">
        <f>E$11*Loads!$B50*LAFs!E241*(1-Contrib!E98)/(24*Input!$F$58)*100</f>
        <v>0.17112767260120781</v>
      </c>
      <c r="F27" s="37">
        <f>F$11*Loads!$B50*LAFs!F241*(1-Contrib!F98)/(24*Input!$F$58)*100</f>
        <v>0.10794791718673831</v>
      </c>
      <c r="G27" s="37">
        <f>G$11*Loads!$B50*LAFs!G241*(1-Contrib!G98)/(24*Input!$F$58)*100</f>
        <v>0</v>
      </c>
      <c r="H27" s="37">
        <f>H$11*Loads!$B50*LAFs!H241*(1-Contrib!H98)/(24*Input!$F$58)*100</f>
        <v>0.13718415005773324</v>
      </c>
      <c r="I27" s="37">
        <f>I$11*Loads!$B50*LAFs!I241*(1-Contrib!I98)/(24*Input!$F$58)*100</f>
        <v>0.12455228870118688</v>
      </c>
      <c r="J27" s="37">
        <f>J$11*Loads!$B50*LAFs!J241*(1-Contrib!J98)/(24*Input!$F$58)*100</f>
        <v>2.9591579839724018E-3</v>
      </c>
      <c r="K27" s="37">
        <f>K$11*Loads!$B50*LAFs!B241*(1-Contrib!K98)/(24*Input!$F$58)*100</f>
        <v>8.2113856612613112E-2</v>
      </c>
      <c r="L27" s="37">
        <f>L$11*Loads!$B50*LAFs!C241*(1-Contrib!L98)/(24*Input!$F$58)*100</f>
        <v>6.2463429546866768E-2</v>
      </c>
      <c r="M27" s="37">
        <f>M$11*Loads!$B50*LAFs!D241*(1-Contrib!M98)/(24*Input!$F$58)*100</f>
        <v>2.4707745734337337E-2</v>
      </c>
      <c r="N27" s="37">
        <f>N$11*Loads!$B50*LAFs!E241*(1-Contrib!N98)/(24*Input!$F$58)*100</f>
        <v>6.2388728434813329E-2</v>
      </c>
      <c r="O27" s="37">
        <f>O$11*Loads!$B50*LAFs!F241*(1-Contrib!O98)/(24*Input!$F$58)*100</f>
        <v>3.9355021827250633E-2</v>
      </c>
      <c r="P27" s="37">
        <f>P$11*Loads!$B50*LAFs!G241*(1-Contrib!P98)/(24*Input!$F$58)*100</f>
        <v>0</v>
      </c>
      <c r="Q27" s="37">
        <f>Q$11*Loads!$B50*LAFs!H241*(1-Contrib!Q98)/(24*Input!$F$58)*100</f>
        <v>7.1448281469921743E-2</v>
      </c>
      <c r="R27" s="37">
        <f>R$11*Loads!$B50*LAFs!I241*(1-Contrib!R98)/(24*Input!$F$58)*100</f>
        <v>6.4869352451432896E-2</v>
      </c>
      <c r="S27" s="37">
        <f>S$11*Loads!$B50*LAFs!J241*(1-Contrib!S98)/(24*Input!$F$58)*100</f>
        <v>3.5961085087622205E-2</v>
      </c>
      <c r="T27" s="17"/>
    </row>
    <row r="28" spans="1:20" x14ac:dyDescent="0.25">
      <c r="A28" s="4" t="s">
        <v>214</v>
      </c>
      <c r="B28" s="37">
        <f>B$11*Loads!$B51*LAFs!B242*(1-Contrib!B99)/(24*Input!$F$58)*100</f>
        <v>0</v>
      </c>
      <c r="C28" s="37">
        <f>C$11*Loads!$B51*LAFs!C242*(1-Contrib!C99)/(24*Input!$F$58)*100</f>
        <v>0</v>
      </c>
      <c r="D28" s="37">
        <f>D$11*Loads!$B51*LAFs!D242*(1-Contrib!D99)/(24*Input!$F$58)*100</f>
        <v>0</v>
      </c>
      <c r="E28" s="37">
        <f>E$11*Loads!$B51*LAFs!E242*(1-Contrib!E99)/(24*Input!$F$58)*100</f>
        <v>0</v>
      </c>
      <c r="F28" s="37">
        <f>F$11*Loads!$B51*LAFs!F242*(1-Contrib!F99)/(24*Input!$F$58)*100</f>
        <v>0</v>
      </c>
      <c r="G28" s="37">
        <f>G$11*Loads!$B51*LAFs!G242*(1-Contrib!G99)/(24*Input!$F$58)*100</f>
        <v>0</v>
      </c>
      <c r="H28" s="37">
        <f>H$11*Loads!$B51*LAFs!H242*(1-Contrib!H99)/(24*Input!$F$58)*100</f>
        <v>0</v>
      </c>
      <c r="I28" s="37">
        <f>I$11*Loads!$B51*LAFs!I242*(1-Contrib!I99)/(24*Input!$F$58)*100</f>
        <v>0</v>
      </c>
      <c r="J28" s="37">
        <f>J$11*Loads!$B51*LAFs!J242*(1-Contrib!J99)/(24*Input!$F$58)*100</f>
        <v>0</v>
      </c>
      <c r="K28" s="37">
        <f>K$11*Loads!$B51*LAFs!B242*(1-Contrib!K99)/(24*Input!$F$58)*100</f>
        <v>0</v>
      </c>
      <c r="L28" s="37">
        <f>L$11*Loads!$B51*LAFs!C242*(1-Contrib!L99)/(24*Input!$F$58)*100</f>
        <v>0</v>
      </c>
      <c r="M28" s="37">
        <f>M$11*Loads!$B51*LAFs!D242*(1-Contrib!M99)/(24*Input!$F$58)*100</f>
        <v>0</v>
      </c>
      <c r="N28" s="37">
        <f>N$11*Loads!$B51*LAFs!E242*(1-Contrib!N99)/(24*Input!$F$58)*100</f>
        <v>0</v>
      </c>
      <c r="O28" s="37">
        <f>O$11*Loads!$B51*LAFs!F242*(1-Contrib!O99)/(24*Input!$F$58)*100</f>
        <v>0</v>
      </c>
      <c r="P28" s="37">
        <f>P$11*Loads!$B51*LAFs!G242*(1-Contrib!P99)/(24*Input!$F$58)*100</f>
        <v>0</v>
      </c>
      <c r="Q28" s="37">
        <f>Q$11*Loads!$B51*LAFs!H242*(1-Contrib!Q99)/(24*Input!$F$58)*100</f>
        <v>0</v>
      </c>
      <c r="R28" s="37">
        <f>R$11*Loads!$B51*LAFs!I242*(1-Contrib!R99)/(24*Input!$F$58)*100</f>
        <v>0</v>
      </c>
      <c r="S28" s="37">
        <f>S$11*Loads!$B51*LAFs!J242*(1-Contrib!S99)/(24*Input!$F$58)*100</f>
        <v>0</v>
      </c>
      <c r="T28" s="17"/>
    </row>
    <row r="29" spans="1:20" x14ac:dyDescent="0.25">
      <c r="A29" s="4" t="s">
        <v>175</v>
      </c>
      <c r="B29" s="37">
        <f>B$11*Loads!$B52*LAFs!B243*(1-Contrib!B100)/(24*Input!$F$58)*100</f>
        <v>0</v>
      </c>
      <c r="C29" s="37">
        <f>C$11*Loads!$B52*LAFs!C243*(1-Contrib!C100)/(24*Input!$F$58)*100</f>
        <v>0.19413690869262568</v>
      </c>
      <c r="D29" s="37">
        <f>D$11*Loads!$B52*LAFs!D243*(1-Contrib!D100)/(24*Input!$F$58)*100</f>
        <v>7.6791899074780554E-2</v>
      </c>
      <c r="E29" s="37">
        <f>E$11*Loads!$B52*LAFs!E243*(1-Contrib!E100)/(24*Input!$F$58)*100</f>
        <v>0.19390473695509611</v>
      </c>
      <c r="F29" s="37">
        <f>F$11*Loads!$B52*LAFs!F243*(1-Contrib!F100)/(24*Input!$F$58)*100</f>
        <v>0.12231576675342014</v>
      </c>
      <c r="G29" s="37">
        <f>G$11*Loads!$B52*LAFs!G243*(1-Contrib!G100)/(24*Input!$F$58)*100</f>
        <v>0</v>
      </c>
      <c r="H29" s="37">
        <f>H$11*Loads!$B52*LAFs!H243*(1-Contrib!H100)/(24*Input!$F$58)*100</f>
        <v>0.15544333728737594</v>
      </c>
      <c r="I29" s="37">
        <f>I$11*Loads!$B52*LAFs!I243*(1-Contrib!I100)/(24*Input!$F$58)*100</f>
        <v>0.14113017731527522</v>
      </c>
      <c r="J29" s="37">
        <f>J$11*Loads!$B52*LAFs!J243*(1-Contrib!J100)/(24*Input!$F$58)*100</f>
        <v>3.3530214124275481E-3</v>
      </c>
      <c r="K29" s="37">
        <f>K$11*Loads!$B52*LAFs!B243*(1-Contrib!K100)/(24*Input!$F$58)*100</f>
        <v>9.3043197075099129E-2</v>
      </c>
      <c r="L29" s="37">
        <f>L$11*Loads!$B52*LAFs!C243*(1-Contrib!L100)/(24*Input!$F$58)*100</f>
        <v>7.0777301481939794E-2</v>
      </c>
      <c r="M29" s="37">
        <f>M$11*Loads!$B52*LAFs!D243*(1-Contrib!M100)/(24*Input!$F$58)*100</f>
        <v>2.7996342523367336E-2</v>
      </c>
      <c r="N29" s="37">
        <f>N$11*Loads!$B52*LAFs!E243*(1-Contrib!N100)/(24*Input!$F$58)*100</f>
        <v>7.0692657664474176E-2</v>
      </c>
      <c r="O29" s="37">
        <f>O$11*Loads!$B52*LAFs!F243*(1-Contrib!O100)/(24*Input!$F$58)*100</f>
        <v>4.4593168593243859E-2</v>
      </c>
      <c r="P29" s="37">
        <f>P$11*Loads!$B52*LAFs!G243*(1-Contrib!P100)/(24*Input!$F$58)*100</f>
        <v>0</v>
      </c>
      <c r="Q29" s="37">
        <f>Q$11*Loads!$B52*LAFs!H243*(1-Contrib!Q100)/(24*Input!$F$58)*100</f>
        <v>8.0958035680203932E-2</v>
      </c>
      <c r="R29" s="37">
        <f>R$11*Loads!$B52*LAFs!I243*(1-Contrib!R100)/(24*Input!$F$58)*100</f>
        <v>7.3503452319223173E-2</v>
      </c>
      <c r="S29" s="37">
        <f>S$11*Loads!$B52*LAFs!J243*(1-Contrib!S100)/(24*Input!$F$58)*100</f>
        <v>4.0747499446129889E-2</v>
      </c>
      <c r="T29" s="17"/>
    </row>
    <row r="30" spans="1:20" x14ac:dyDescent="0.25">
      <c r="A30" s="4" t="s">
        <v>176</v>
      </c>
      <c r="B30" s="37">
        <f>B$11*Loads!$B53*LAFs!B244*(1-Contrib!B101)/(24*Input!$F$58)*100</f>
        <v>0</v>
      </c>
      <c r="C30" s="37">
        <f>C$11*Loads!$B53*LAFs!C244*(1-Contrib!C101)/(24*Input!$F$58)*100</f>
        <v>0.18263139280086851</v>
      </c>
      <c r="D30" s="37">
        <f>D$11*Loads!$B53*LAFs!D244*(1-Contrib!D101)/(24*Input!$F$58)*100</f>
        <v>7.2240830341312776E-2</v>
      </c>
      <c r="E30" s="37">
        <f>E$11*Loads!$B53*LAFs!E244*(1-Contrib!E101)/(24*Input!$F$58)*100</f>
        <v>0.18241298071179399</v>
      </c>
      <c r="F30" s="37">
        <f>F$11*Loads!$B53*LAFs!F244*(1-Contrib!F101)/(24*Input!$F$58)*100</f>
        <v>0.11506672787837502</v>
      </c>
      <c r="G30" s="37">
        <f>G$11*Loads!$B53*LAFs!G244*(1-Contrib!G101)/(24*Input!$F$58)*100</f>
        <v>0</v>
      </c>
      <c r="H30" s="37">
        <f>H$11*Loads!$B53*LAFs!H244*(1-Contrib!H101)/(24*Input!$F$58)*100</f>
        <v>0.14623099431008399</v>
      </c>
      <c r="I30" s="37">
        <f>I$11*Loads!$B53*LAFs!I244*(1-Contrib!I101)/(24*Input!$F$58)*100</f>
        <v>5.6899758503045107E-3</v>
      </c>
      <c r="J30" s="37">
        <f>J$11*Loads!$B53*LAFs!J244*(1-Contrib!J101)/(24*Input!$F$58)*100</f>
        <v>0</v>
      </c>
      <c r="K30" s="37">
        <f>K$11*Loads!$B53*LAFs!B244*(1-Contrib!K101)/(24*Input!$F$58)*100</f>
        <v>8.7528995835486484E-2</v>
      </c>
      <c r="L30" s="37">
        <f>L$11*Loads!$B53*LAFs!C244*(1-Contrib!L101)/(24*Input!$F$58)*100</f>
        <v>6.6582687626902767E-2</v>
      </c>
      <c r="M30" s="37">
        <f>M$11*Loads!$B53*LAFs!D244*(1-Contrib!M101)/(24*Input!$F$58)*100</f>
        <v>2.6337140437669784E-2</v>
      </c>
      <c r="N30" s="37">
        <f>N$11*Loads!$B53*LAFs!E244*(1-Contrib!N101)/(24*Input!$F$58)*100</f>
        <v>6.6503060221790408E-2</v>
      </c>
      <c r="O30" s="37">
        <f>O$11*Loads!$B53*LAFs!F244*(1-Contrib!O101)/(24*Input!$F$58)*100</f>
        <v>4.1950356294601025E-2</v>
      </c>
      <c r="P30" s="37">
        <f>P$11*Loads!$B53*LAFs!G244*(1-Contrib!P101)/(24*Input!$F$58)*100</f>
        <v>0</v>
      </c>
      <c r="Q30" s="37">
        <f>Q$11*Loads!$B53*LAFs!H244*(1-Contrib!Q101)/(24*Input!$F$58)*100</f>
        <v>7.6160061032535045E-2</v>
      </c>
      <c r="R30" s="37">
        <f>R$11*Loads!$B53*LAFs!I244*(1-Contrib!R101)/(24*Input!$F$58)*100</f>
        <v>6.9147273247180716E-2</v>
      </c>
      <c r="S30" s="37">
        <f>S$11*Loads!$B53*LAFs!J244*(1-Contrib!S101)/(24*Input!$F$58)*100</f>
        <v>0</v>
      </c>
      <c r="T30" s="17"/>
    </row>
    <row r="31" spans="1:20" x14ac:dyDescent="0.25">
      <c r="A31" s="4" t="s">
        <v>192</v>
      </c>
      <c r="B31" s="37">
        <f>B$11*Loads!$B54*LAFs!B245*(1-Contrib!B102)/(24*Input!$F$58)*100</f>
        <v>0</v>
      </c>
      <c r="C31" s="37">
        <f>C$11*Loads!$B54*LAFs!C245*(1-Contrib!C102)/(24*Input!$F$58)*100</f>
        <v>0.18037122472265532</v>
      </c>
      <c r="D31" s="37">
        <f>D$11*Loads!$B54*LAFs!D245*(1-Contrib!D102)/(24*Input!$F$58)*100</f>
        <v>7.134680869379087E-2</v>
      </c>
      <c r="E31" s="37">
        <f>E$11*Loads!$B54*LAFs!E245*(1-Contrib!E102)/(24*Input!$F$58)*100</f>
        <v>0.18015551560826684</v>
      </c>
      <c r="F31" s="37">
        <f>F$11*Loads!$B54*LAFs!F245*(1-Contrib!F102)/(24*Input!$F$58)*100</f>
        <v>4.8866365825719592E-2</v>
      </c>
      <c r="G31" s="37">
        <f>G$11*Loads!$B54*LAFs!G245*(1-Contrib!G102)/(24*Input!$F$58)*100</f>
        <v>0</v>
      </c>
      <c r="H31" s="37">
        <f>H$11*Loads!$B54*LAFs!H245*(1-Contrib!H102)/(24*Input!$F$58)*100</f>
        <v>1.8568453115515329E-2</v>
      </c>
      <c r="I31" s="37">
        <f>I$11*Loads!$B54*LAFs!I245*(1-Contrib!I102)/(24*Input!$F$58)*100</f>
        <v>0</v>
      </c>
      <c r="J31" s="37">
        <f>J$11*Loads!$B54*LAFs!J245*(1-Contrib!J102)/(24*Input!$F$58)*100</f>
        <v>0</v>
      </c>
      <c r="K31" s="37">
        <f>K$11*Loads!$B54*LAFs!B245*(1-Contrib!K102)/(24*Input!$F$58)*100</f>
        <v>8.644577438450006E-2</v>
      </c>
      <c r="L31" s="37">
        <f>L$11*Loads!$B54*LAFs!C245*(1-Contrib!L102)/(24*Input!$F$58)*100</f>
        <v>6.5758688735868459E-2</v>
      </c>
      <c r="M31" s="37">
        <f>M$11*Loads!$B54*LAFs!D245*(1-Contrib!M102)/(24*Input!$F$58)*100</f>
        <v>2.6011203241573688E-2</v>
      </c>
      <c r="N31" s="37">
        <f>N$11*Loads!$B54*LAFs!E245*(1-Contrib!N102)/(24*Input!$F$58)*100</f>
        <v>6.5680046765496658E-2</v>
      </c>
      <c r="O31" s="37">
        <f>O$11*Loads!$B54*LAFs!F245*(1-Contrib!O102)/(24*Input!$F$58)*100</f>
        <v>4.1431196610646204E-2</v>
      </c>
      <c r="P31" s="37">
        <f>P$11*Loads!$B54*LAFs!G245*(1-Contrib!P102)/(24*Input!$F$58)*100</f>
        <v>0</v>
      </c>
      <c r="Q31" s="37">
        <f>Q$11*Loads!$B54*LAFs!H245*(1-Contrib!Q102)/(24*Input!$F$58)*100</f>
        <v>7.5217536660680789E-2</v>
      </c>
      <c r="R31" s="37">
        <f>R$11*Loads!$B54*LAFs!I245*(1-Contrib!R102)/(24*Input!$F$58)*100</f>
        <v>0</v>
      </c>
      <c r="S31" s="37">
        <f>S$11*Loads!$B54*LAFs!J245*(1-Contrib!S102)/(24*Input!$F$58)*100</f>
        <v>0</v>
      </c>
      <c r="T31" s="17"/>
    </row>
    <row r="32" spans="1:20" x14ac:dyDescent="0.25">
      <c r="A32" s="4" t="s">
        <v>177</v>
      </c>
      <c r="B32" s="37">
        <f>B$11*Loads!$B55*LAFs!B246*(1-Contrib!B103)/(24*Input!$F$58)*100</f>
        <v>0</v>
      </c>
      <c r="C32" s="37">
        <f>C$11*Loads!$B55*LAFs!C246*(1-Contrib!C103)/(24*Input!$F$58)*100</f>
        <v>0.26289872725818014</v>
      </c>
      <c r="D32" s="37">
        <f>D$11*Loads!$B55*LAFs!D246*(1-Contrib!D103)/(24*Input!$F$58)*100</f>
        <v>0.10399100648327822</v>
      </c>
      <c r="E32" s="37">
        <f>E$11*Loads!$B55*LAFs!E246*(1-Contrib!E103)/(24*Input!$F$58)*100</f>
        <v>0.26258432205459004</v>
      </c>
      <c r="F32" s="37">
        <f>F$11*Loads!$B55*LAFs!F246*(1-Contrib!F103)/(24*Input!$F$58)*100</f>
        <v>0.16563908233439412</v>
      </c>
      <c r="G32" s="37">
        <f>G$11*Loads!$B55*LAFs!G246*(1-Contrib!G103)/(24*Input!$F$58)*100</f>
        <v>0</v>
      </c>
      <c r="H32" s="37">
        <f>H$11*Loads!$B55*LAFs!H246*(1-Contrib!H103)/(24*Input!$F$58)*100</f>
        <v>0.21050018674355991</v>
      </c>
      <c r="I32" s="37">
        <f>I$11*Loads!$B55*LAFs!I246*(1-Contrib!I103)/(24*Input!$F$58)*100</f>
        <v>0.19111741421952752</v>
      </c>
      <c r="J32" s="37">
        <f>J$11*Loads!$B55*LAFs!J246*(1-Contrib!J103)/(24*Input!$F$58)*100</f>
        <v>4.5406361301049804E-3</v>
      </c>
      <c r="K32" s="37">
        <f>K$11*Loads!$B55*LAFs!B246*(1-Contrib!K103)/(24*Input!$F$58)*100</f>
        <v>0.12599839080472977</v>
      </c>
      <c r="L32" s="37">
        <f>L$11*Loads!$B55*LAFs!C246*(1-Contrib!L103)/(24*Input!$F$58)*100</f>
        <v>9.584608410465166E-2</v>
      </c>
      <c r="M32" s="37">
        <f>M$11*Loads!$B55*LAFs!D246*(1-Contrib!M103)/(24*Input!$F$58)*100</f>
        <v>3.7912434409526158E-2</v>
      </c>
      <c r="N32" s="37">
        <f>N$11*Loads!$B55*LAFs!E246*(1-Contrib!N103)/(24*Input!$F$58)*100</f>
        <v>9.5731460089919757E-2</v>
      </c>
      <c r="O32" s="37">
        <f>O$11*Loads!$B55*LAFs!F246*(1-Contrib!O103)/(24*Input!$F$58)*100</f>
        <v>6.0387730218445484E-2</v>
      </c>
      <c r="P32" s="37">
        <f>P$11*Loads!$B55*LAFs!G246*(1-Contrib!P103)/(24*Input!$F$58)*100</f>
        <v>0</v>
      </c>
      <c r="Q32" s="37">
        <f>Q$11*Loads!$B55*LAFs!H246*(1-Contrib!Q103)/(24*Input!$F$58)*100</f>
        <v>0.1096327570320296</v>
      </c>
      <c r="R32" s="37">
        <f>R$11*Loads!$B55*LAFs!I246*(1-Contrib!R103)/(24*Input!$F$58)*100</f>
        <v>9.9537816863054449E-2</v>
      </c>
      <c r="S32" s="37">
        <f>S$11*Loads!$B55*LAFs!J246*(1-Contrib!S103)/(24*Input!$F$58)*100</f>
        <v>5.5179954267747452E-2</v>
      </c>
      <c r="T32" s="17"/>
    </row>
    <row r="33" spans="1:20" x14ac:dyDescent="0.25">
      <c r="A33" s="4" t="s">
        <v>178</v>
      </c>
      <c r="B33" s="37">
        <f>B$11*Loads!$B56*LAFs!B247*(1-Contrib!B104)/(24*Input!$F$58)*100</f>
        <v>0</v>
      </c>
      <c r="C33" s="37">
        <f>C$11*Loads!$B56*LAFs!C247*(1-Contrib!C104)/(24*Input!$F$58)*100</f>
        <v>0.22551862206306622</v>
      </c>
      <c r="D33" s="37">
        <f>D$11*Loads!$B56*LAFs!D247*(1-Contrib!D104)/(24*Input!$F$58)*100</f>
        <v>8.9205104694285206E-2</v>
      </c>
      <c r="E33" s="37">
        <f>E$11*Loads!$B56*LAFs!E247*(1-Contrib!E104)/(24*Input!$F$58)*100</f>
        <v>0.22524892038355429</v>
      </c>
      <c r="F33" s="37">
        <f>F$11*Loads!$B56*LAFs!F247*(1-Contrib!F104)/(24*Input!$F$58)*100</f>
        <v>0.14208778413430315</v>
      </c>
      <c r="G33" s="37">
        <f>G$11*Loads!$B56*LAFs!G247*(1-Contrib!G104)/(24*Input!$F$58)*100</f>
        <v>0</v>
      </c>
      <c r="H33" s="37">
        <f>H$11*Loads!$B56*LAFs!H247*(1-Contrib!H104)/(24*Input!$F$58)*100</f>
        <v>0.18057033806712228</v>
      </c>
      <c r="I33" s="37">
        <f>I$11*Loads!$B56*LAFs!I247*(1-Contrib!I104)/(24*Input!$F$58)*100</f>
        <v>0.1639434939702738</v>
      </c>
      <c r="J33" s="37">
        <f>J$11*Loads!$B56*LAFs!J247*(1-Contrib!J104)/(24*Input!$F$58)*100</f>
        <v>3.8950283785338753E-3</v>
      </c>
      <c r="K33" s="37">
        <f>K$11*Loads!$B56*LAFs!B247*(1-Contrib!K104)/(24*Input!$F$58)*100</f>
        <v>0.10808338166103552</v>
      </c>
      <c r="L33" s="37">
        <f>L$11*Loads!$B56*LAFs!C247*(1-Contrib!L104)/(24*Input!$F$58)*100</f>
        <v>8.2218263446344794E-2</v>
      </c>
      <c r="M33" s="37">
        <f>M$11*Loads!$B56*LAFs!D247*(1-Contrib!M104)/(24*Input!$F$58)*100</f>
        <v>3.252187660344287E-2</v>
      </c>
      <c r="N33" s="37">
        <f>N$11*Loads!$B56*LAFs!E247*(1-Contrib!N104)/(24*Input!$F$58)*100</f>
        <v>8.2119937181599156E-2</v>
      </c>
      <c r="O33" s="37">
        <f>O$11*Loads!$B56*LAFs!F247*(1-Contrib!O104)/(24*Input!$F$58)*100</f>
        <v>5.1801535330393153E-2</v>
      </c>
      <c r="P33" s="37">
        <f>P$11*Loads!$B56*LAFs!G247*(1-Contrib!P104)/(24*Input!$F$58)*100</f>
        <v>0</v>
      </c>
      <c r="Q33" s="37">
        <f>Q$11*Loads!$B56*LAFs!H247*(1-Contrib!Q104)/(24*Input!$F$58)*100</f>
        <v>9.4044686167528632E-2</v>
      </c>
      <c r="R33" s="37">
        <f>R$11*Loads!$B56*LAFs!I247*(1-Contrib!R104)/(24*Input!$F$58)*100</f>
        <v>8.5385089293631866E-2</v>
      </c>
      <c r="S33" s="37">
        <f>S$11*Loads!$B56*LAFs!J247*(1-Contrib!S104)/(24*Input!$F$58)*100</f>
        <v>4.7334224025149654E-2</v>
      </c>
      <c r="T33" s="17"/>
    </row>
    <row r="34" spans="1:20" x14ac:dyDescent="0.25">
      <c r="A34" s="4" t="s">
        <v>179</v>
      </c>
      <c r="B34" s="37">
        <f>B$11*Loads!$B57*LAFs!B248*(1-Contrib!B105)/(24*Input!$F$58)*100</f>
        <v>0</v>
      </c>
      <c r="C34" s="37">
        <f>C$11*Loads!$B57*LAFs!C248*(1-Contrib!C105)/(24*Input!$F$58)*100</f>
        <v>0.19312762237114434</v>
      </c>
      <c r="D34" s="37">
        <f>D$11*Loads!$B57*LAFs!D248*(1-Contrib!D105)/(24*Input!$F$58)*100</f>
        <v>7.6392670438357443E-2</v>
      </c>
      <c r="E34" s="37">
        <f>E$11*Loads!$B57*LAFs!E248*(1-Contrib!E105)/(24*Input!$F$58)*100</f>
        <v>0.19289665765684641</v>
      </c>
      <c r="F34" s="37">
        <f>F$11*Loads!$B57*LAFs!F248*(1-Contrib!F105)/(24*Input!$F$58)*100</f>
        <v>0.12167986690770254</v>
      </c>
      <c r="G34" s="37">
        <f>G$11*Loads!$B57*LAFs!G248*(1-Contrib!G105)/(24*Input!$F$58)*100</f>
        <v>0</v>
      </c>
      <c r="H34" s="37">
        <f>H$11*Loads!$B57*LAFs!H248*(1-Contrib!H105)/(24*Input!$F$58)*100</f>
        <v>0.15463521257195686</v>
      </c>
      <c r="I34" s="37">
        <f>I$11*Loads!$B57*LAFs!I248*(1-Contrib!I105)/(24*Input!$F$58)*100</f>
        <v>0.14039646439859291</v>
      </c>
      <c r="J34" s="37">
        <f>J$11*Loads!$B57*LAFs!J248*(1-Contrib!J105)/(24*Input!$F$58)*100</f>
        <v>3.3355895975810709E-3</v>
      </c>
      <c r="K34" s="37">
        <f>K$11*Loads!$B57*LAFs!B248*(1-Contrib!K105)/(24*Input!$F$58)*100</f>
        <v>9.2559480574474953E-2</v>
      </c>
      <c r="L34" s="37">
        <f>L$11*Loads!$B57*LAFs!C248*(1-Contrib!L105)/(24*Input!$F$58)*100</f>
        <v>7.0409341763521774E-2</v>
      </c>
      <c r="M34" s="37">
        <f>M$11*Loads!$B57*LAFs!D248*(1-Contrib!M105)/(24*Input!$F$58)*100</f>
        <v>2.7850794076394375E-2</v>
      </c>
      <c r="N34" s="37">
        <f>N$11*Loads!$B57*LAFs!E248*(1-Contrib!N105)/(24*Input!$F$58)*100</f>
        <v>7.0325137995543588E-2</v>
      </c>
      <c r="O34" s="37">
        <f>O$11*Loads!$B57*LAFs!F248*(1-Contrib!O105)/(24*Input!$F$58)*100</f>
        <v>4.4361335937641348E-2</v>
      </c>
      <c r="P34" s="37">
        <f>P$11*Loads!$B57*LAFs!G248*(1-Contrib!P105)/(24*Input!$F$58)*100</f>
        <v>0</v>
      </c>
      <c r="Q34" s="37">
        <f>Q$11*Loads!$B57*LAFs!H248*(1-Contrib!Q105)/(24*Input!$F$58)*100</f>
        <v>8.0537147974840295E-2</v>
      </c>
      <c r="R34" s="37">
        <f>R$11*Loads!$B57*LAFs!I248*(1-Contrib!R105)/(24*Input!$F$58)*100</f>
        <v>7.3121319784472116E-2</v>
      </c>
      <c r="S34" s="37">
        <f>S$11*Loads!$B57*LAFs!J248*(1-Contrib!S105)/(24*Input!$F$58)*100</f>
        <v>4.0535659801095345E-2</v>
      </c>
      <c r="T34" s="17"/>
    </row>
    <row r="35" spans="1:20" x14ac:dyDescent="0.25">
      <c r="A35" s="4" t="s">
        <v>180</v>
      </c>
      <c r="B35" s="37">
        <f>B$11*Loads!$B58*LAFs!B249*(1-Contrib!B106)/(24*Input!$F$58)*100</f>
        <v>0</v>
      </c>
      <c r="C35" s="37">
        <f>C$11*Loads!$B58*LAFs!C249*(1-Contrib!C106)/(24*Input!$F$58)*100</f>
        <v>0.17636948197141505</v>
      </c>
      <c r="D35" s="37">
        <f>D$11*Loads!$B58*LAFs!D249*(1-Contrib!D106)/(24*Input!$F$58)*100</f>
        <v>6.9763897811229006E-2</v>
      </c>
      <c r="E35" s="37">
        <f>E$11*Loads!$B58*LAFs!E249*(1-Contrib!E106)/(24*Input!$F$58)*100</f>
        <v>0.17615855861144064</v>
      </c>
      <c r="F35" s="37">
        <f>F$11*Loads!$B58*LAFs!F249*(1-Contrib!F106)/(24*Input!$F$58)*100</f>
        <v>0.11112141717159521</v>
      </c>
      <c r="G35" s="37">
        <f>G$11*Loads!$B58*LAFs!G249*(1-Contrib!G106)/(24*Input!$F$58)*100</f>
        <v>0</v>
      </c>
      <c r="H35" s="37">
        <f>H$11*Loads!$B58*LAFs!H249*(1-Contrib!H106)/(24*Input!$F$58)*100</f>
        <v>0.14121714957710058</v>
      </c>
      <c r="I35" s="37">
        <f>I$11*Loads!$B58*LAFs!I249*(1-Contrib!I106)/(24*Input!$F$58)*100</f>
        <v>5.4948827677302583E-3</v>
      </c>
      <c r="J35" s="37">
        <f>J$11*Loads!$B58*LAFs!J249*(1-Contrib!J106)/(24*Input!$F$58)*100</f>
        <v>0</v>
      </c>
      <c r="K35" s="37">
        <f>K$11*Loads!$B58*LAFs!B249*(1-Contrib!K106)/(24*Input!$F$58)*100</f>
        <v>8.4527875609069339E-2</v>
      </c>
      <c r="L35" s="37">
        <f>L$11*Loads!$B58*LAFs!C249*(1-Contrib!L106)/(24*Input!$F$58)*100</f>
        <v>6.4299756711736281E-2</v>
      </c>
      <c r="M35" s="37">
        <f>M$11*Loads!$B58*LAFs!D249*(1-Contrib!M106)/(24*Input!$F$58)*100</f>
        <v>2.5434114827481827E-2</v>
      </c>
      <c r="N35" s="37">
        <f>N$11*Loads!$B58*LAFs!E249*(1-Contrib!N106)/(24*Input!$F$58)*100</f>
        <v>6.4222859503786311E-2</v>
      </c>
      <c r="O35" s="37">
        <f>O$11*Loads!$B58*LAFs!F249*(1-Contrib!O106)/(24*Input!$F$58)*100</f>
        <v>4.0511997935986213E-2</v>
      </c>
      <c r="P35" s="37">
        <f>P$11*Loads!$B58*LAFs!G249*(1-Contrib!P106)/(24*Input!$F$58)*100</f>
        <v>0</v>
      </c>
      <c r="Q35" s="37">
        <f>Q$11*Loads!$B58*LAFs!H249*(1-Contrib!Q106)/(24*Input!$F$58)*100</f>
        <v>7.3548749233191407E-2</v>
      </c>
      <c r="R35" s="37">
        <f>R$11*Loads!$B58*LAFs!I249*(1-Contrib!R106)/(24*Input!$F$58)*100</f>
        <v>6.6776409987950064E-2</v>
      </c>
      <c r="S35" s="37">
        <f>S$11*Loads!$B58*LAFs!J249*(1-Contrib!S106)/(24*Input!$F$58)*100</f>
        <v>0</v>
      </c>
      <c r="T35" s="17"/>
    </row>
    <row r="36" spans="1:20" x14ac:dyDescent="0.25">
      <c r="A36" s="4" t="s">
        <v>193</v>
      </c>
      <c r="B36" s="37">
        <f>B$11*Loads!$B59*LAFs!B250*(1-Contrib!B107)/(24*Input!$F$58)*100</f>
        <v>0</v>
      </c>
      <c r="C36" s="37">
        <f>C$11*Loads!$B59*LAFs!C250*(1-Contrib!C107)/(24*Input!$F$58)*100</f>
        <v>0.14907430744946937</v>
      </c>
      <c r="D36" s="37">
        <f>D$11*Loads!$B59*LAFs!D250*(1-Contrib!D107)/(24*Input!$F$58)*100</f>
        <v>5.8967144626926392E-2</v>
      </c>
      <c r="E36" s="37">
        <f>E$11*Loads!$B59*LAFs!E250*(1-Contrib!E107)/(24*Input!$F$58)*100</f>
        <v>0.14889602686792183</v>
      </c>
      <c r="F36" s="37">
        <f>F$11*Loads!$B59*LAFs!F250*(1-Contrib!F107)/(24*Input!$F$58)*100</f>
        <v>4.0387371401634543E-2</v>
      </c>
      <c r="G36" s="37">
        <f>G$11*Loads!$B59*LAFs!G250*(1-Contrib!G107)/(24*Input!$F$58)*100</f>
        <v>0</v>
      </c>
      <c r="H36" s="37">
        <f>H$11*Loads!$B59*LAFs!H250*(1-Contrib!H107)/(24*Input!$F$58)*100</f>
        <v>1.5346568128367918E-2</v>
      </c>
      <c r="I36" s="37">
        <f>I$11*Loads!$B59*LAFs!I250*(1-Contrib!I107)/(24*Input!$F$58)*100</f>
        <v>0</v>
      </c>
      <c r="J36" s="37">
        <f>J$11*Loads!$B59*LAFs!J250*(1-Contrib!J107)/(24*Input!$F$58)*100</f>
        <v>0</v>
      </c>
      <c r="K36" s="37">
        <f>K$11*Loads!$B59*LAFs!B250*(1-Contrib!K107)/(24*Input!$F$58)*100</f>
        <v>7.144622967503636E-2</v>
      </c>
      <c r="L36" s="37">
        <f>L$11*Loads!$B59*LAFs!C250*(1-Contrib!L107)/(24*Input!$F$58)*100</f>
        <v>5.4348641237858875E-2</v>
      </c>
      <c r="M36" s="37">
        <f>M$11*Loads!$B59*LAFs!D250*(1-Contrib!M107)/(24*Input!$F$58)*100</f>
        <v>2.1497897545061963E-2</v>
      </c>
      <c r="N36" s="37">
        <f>N$11*Loads!$B59*LAFs!E250*(1-Contrib!N107)/(24*Input!$F$58)*100</f>
        <v>5.4283644743613933E-2</v>
      </c>
      <c r="O36" s="37">
        <f>O$11*Loads!$B59*LAFs!F250*(1-Contrib!O107)/(24*Input!$F$58)*100</f>
        <v>3.4242307502384633E-2</v>
      </c>
      <c r="P36" s="37">
        <f>P$11*Loads!$B59*LAFs!G250*(1-Contrib!P107)/(24*Input!$F$58)*100</f>
        <v>0</v>
      </c>
      <c r="Q36" s="37">
        <f>Q$11*Loads!$B59*LAFs!H250*(1-Contrib!Q107)/(24*Input!$F$58)*100</f>
        <v>6.2166247432136355E-2</v>
      </c>
      <c r="R36" s="37">
        <f>R$11*Loads!$B59*LAFs!I250*(1-Contrib!R107)/(24*Input!$F$58)*100</f>
        <v>0</v>
      </c>
      <c r="S36" s="37">
        <f>S$11*Loads!$B59*LAFs!J250*(1-Contrib!S107)/(24*Input!$F$58)*100</f>
        <v>0</v>
      </c>
      <c r="T36" s="17"/>
    </row>
    <row r="37" spans="1:20" x14ac:dyDescent="0.25">
      <c r="A37" s="4" t="s">
        <v>215</v>
      </c>
      <c r="B37" s="37">
        <f>B$11*Loads!$B60*LAFs!B251*(1-Contrib!B108)/(24*Input!$F$58)*100</f>
        <v>0</v>
      </c>
      <c r="C37" s="37">
        <f>C$11*Loads!$B60*LAFs!C251*(1-Contrib!C108)/(24*Input!$F$58)*100</f>
        <v>0.1316209213830333</v>
      </c>
      <c r="D37" s="37">
        <f>D$11*Loads!$B60*LAFs!D251*(1-Contrib!D108)/(24*Input!$F$58)*100</f>
        <v>5.2063363834532167E-2</v>
      </c>
      <c r="E37" s="37">
        <f>E$11*Loads!$B60*LAFs!E251*(1-Contrib!E108)/(24*Input!$F$58)*100</f>
        <v>0.13146351361230832</v>
      </c>
      <c r="F37" s="37">
        <f>F$11*Loads!$B60*LAFs!F251*(1-Contrib!F108)/(24*Input!$F$58)*100</f>
        <v>8.2927630959897358E-2</v>
      </c>
      <c r="G37" s="37">
        <f>G$11*Loads!$B60*LAFs!G251*(1-Contrib!G108)/(24*Input!$F$58)*100</f>
        <v>0</v>
      </c>
      <c r="H37" s="37">
        <f>H$11*Loads!$B60*LAFs!H251*(1-Contrib!H108)/(24*Input!$F$58)*100</f>
        <v>0.10538745782241457</v>
      </c>
      <c r="I37" s="37">
        <f>I$11*Loads!$B60*LAFs!I251*(1-Contrib!I108)/(24*Input!$F$58)*100</f>
        <v>9.5683423097037229E-2</v>
      </c>
      <c r="J37" s="37">
        <f>J$11*Loads!$B60*LAFs!J251*(1-Contrib!J108)/(24*Input!$F$58)*100</f>
        <v>2.2732811122459042E-3</v>
      </c>
      <c r="K37" s="37">
        <f>K$11*Loads!$B60*LAFs!B251*(1-Contrib!K108)/(24*Input!$F$58)*100</f>
        <v>6.308141718088911E-2</v>
      </c>
      <c r="L37" s="37">
        <f>L$11*Loads!$B60*LAFs!C251*(1-Contrib!L108)/(24*Input!$F$58)*100</f>
        <v>4.7985587577307025E-2</v>
      </c>
      <c r="M37" s="37">
        <f>M$11*Loads!$B60*LAFs!D251*(1-Contrib!M108)/(24*Input!$F$58)*100</f>
        <v>1.8980957423788299E-2</v>
      </c>
      <c r="N37" s="37">
        <f>N$11*Loads!$B60*LAFs!E251*(1-Contrib!N108)/(24*Input!$F$58)*100</f>
        <v>4.7928200770649652E-2</v>
      </c>
      <c r="O37" s="37">
        <f>O$11*Loads!$B60*LAFs!F251*(1-Contrib!O108)/(24*Input!$F$58)*100</f>
        <v>3.0233271855196951E-2</v>
      </c>
      <c r="P37" s="37">
        <f>P$11*Loads!$B60*LAFs!G251*(1-Contrib!P108)/(24*Input!$F$58)*100</f>
        <v>0</v>
      </c>
      <c r="Q37" s="37">
        <f>Q$11*Loads!$B60*LAFs!H251*(1-Contrib!Q108)/(24*Input!$F$58)*100</f>
        <v>5.4887920701673823E-2</v>
      </c>
      <c r="R37" s="37">
        <f>R$11*Loads!$B60*LAFs!I251*(1-Contrib!R108)/(24*Input!$F$58)*100</f>
        <v>4.9833863041507789E-2</v>
      </c>
      <c r="S37" s="37">
        <f>S$11*Loads!$B60*LAFs!J251*(1-Contrib!S108)/(24*Input!$F$58)*100</f>
        <v>2.7625985482470902E-2</v>
      </c>
      <c r="T37" s="17"/>
    </row>
    <row r="38" spans="1:20" x14ac:dyDescent="0.25">
      <c r="A38" s="4" t="s">
        <v>216</v>
      </c>
      <c r="B38" s="37">
        <f>B$11*Loads!$B61*LAFs!B252*(1-Contrib!B109)/(24*Input!$F$58)*100</f>
        <v>0</v>
      </c>
      <c r="C38" s="37">
        <f>C$11*Loads!$B61*LAFs!C252*(1-Contrib!C109)/(24*Input!$F$58)*100</f>
        <v>0.2778441693361049</v>
      </c>
      <c r="D38" s="37">
        <f>D$11*Loads!$B61*LAFs!D252*(1-Contrib!D109)/(24*Input!$F$58)*100</f>
        <v>0.10990275653330653</v>
      </c>
      <c r="E38" s="37">
        <f>E$11*Loads!$B61*LAFs!E252*(1-Contrib!E109)/(24*Input!$F$58)*100</f>
        <v>0.27751189061593956</v>
      </c>
      <c r="F38" s="37">
        <f>F$11*Loads!$B61*LAFs!F252*(1-Contrib!F109)/(24*Input!$F$58)*100</f>
        <v>0.17505544329090109</v>
      </c>
      <c r="G38" s="37">
        <f>G$11*Loads!$B61*LAFs!G252*(1-Contrib!G109)/(24*Input!$F$58)*100</f>
        <v>0</v>
      </c>
      <c r="H38" s="37">
        <f>H$11*Loads!$B61*LAFs!H252*(1-Contrib!H109)/(24*Input!$F$58)*100</f>
        <v>0.22246684166493833</v>
      </c>
      <c r="I38" s="37">
        <f>I$11*Loads!$B61*LAFs!I252*(1-Contrib!I109)/(24*Input!$F$58)*100</f>
        <v>0.20198218436919671</v>
      </c>
      <c r="J38" s="37">
        <f>J$11*Loads!$B61*LAFs!J252*(1-Contrib!J109)/(24*Input!$F$58)*100</f>
        <v>4.7987652393142949E-3</v>
      </c>
      <c r="K38" s="37">
        <f>K$11*Loads!$B61*LAFs!B252*(1-Contrib!K109)/(24*Input!$F$58)*100</f>
        <v>0.13316123130731808</v>
      </c>
      <c r="L38" s="37">
        <f>L$11*Loads!$B61*LAFs!C252*(1-Contrib!L109)/(24*Input!$F$58)*100</f>
        <v>0.10129480617843797</v>
      </c>
      <c r="M38" s="37">
        <f>M$11*Loads!$B61*LAFs!D252*(1-Contrib!M109)/(24*Input!$F$58)*100</f>
        <v>4.0067705750738265E-2</v>
      </c>
      <c r="N38" s="37">
        <f>N$11*Loads!$B61*LAFs!E252*(1-Contrib!N109)/(24*Input!$F$58)*100</f>
        <v>0.10117366594131587</v>
      </c>
      <c r="O38" s="37">
        <f>O$11*Loads!$B61*LAFs!F252*(1-Contrib!O109)/(24*Input!$F$58)*100</f>
        <v>6.3820692156335734E-2</v>
      </c>
      <c r="P38" s="37">
        <f>P$11*Loads!$B61*LAFs!G252*(1-Contrib!P109)/(24*Input!$F$58)*100</f>
        <v>0</v>
      </c>
      <c r="Q38" s="37">
        <f>Q$11*Loads!$B61*LAFs!H252*(1-Contrib!Q109)/(24*Input!$F$58)*100</f>
        <v>0.11586523307766788</v>
      </c>
      <c r="R38" s="37">
        <f>R$11*Loads!$B61*LAFs!I252*(1-Contrib!R109)/(24*Input!$F$58)*100</f>
        <v>0.10519640902135324</v>
      </c>
      <c r="S38" s="37">
        <f>S$11*Loads!$B61*LAFs!J252*(1-Contrib!S109)/(24*Input!$F$58)*100</f>
        <v>5.8316861087236424E-2</v>
      </c>
      <c r="T38" s="17"/>
    </row>
    <row r="39" spans="1:20" x14ac:dyDescent="0.25">
      <c r="A39" s="4" t="s">
        <v>217</v>
      </c>
      <c r="B39" s="37">
        <f>B$11*Loads!$B62*LAFs!B253*(1-Contrib!B110)/(24*Input!$F$58)*100</f>
        <v>0</v>
      </c>
      <c r="C39" s="37">
        <f>C$11*Loads!$B62*LAFs!C253*(1-Contrib!C110)/(24*Input!$F$58)*100</f>
        <v>0.51013160709832139</v>
      </c>
      <c r="D39" s="37">
        <f>D$11*Loads!$B62*LAFs!D253*(1-Contrib!D110)/(24*Input!$F$58)*100</f>
        <v>0.20178530270703712</v>
      </c>
      <c r="E39" s="37">
        <f>E$11*Loads!$B62*LAFs!E253*(1-Contrib!E110)/(24*Input!$F$58)*100</f>
        <v>0.50952153175311077</v>
      </c>
      <c r="F39" s="37">
        <f>F$11*Loads!$B62*LAFs!F253*(1-Contrib!F110)/(24*Input!$F$58)*100</f>
        <v>0.32140791304232719</v>
      </c>
      <c r="G39" s="37">
        <f>G$11*Loads!$B62*LAFs!G253*(1-Contrib!G110)/(24*Input!$F$58)*100</f>
        <v>0</v>
      </c>
      <c r="H39" s="37">
        <f>H$11*Loads!$B62*LAFs!H253*(1-Contrib!H110)/(24*Input!$F$58)*100</f>
        <v>0.40845689774881844</v>
      </c>
      <c r="I39" s="37">
        <f>I$11*Loads!$B62*LAFs!I253*(1-Contrib!I110)/(24*Input!$F$58)*100</f>
        <v>0.37084635090126555</v>
      </c>
      <c r="J39" s="37">
        <f>J$11*Loads!$B62*LAFs!J253*(1-Contrib!J110)/(24*Input!$F$58)*100</f>
        <v>8.8107007228848573E-3</v>
      </c>
      <c r="K39" s="37">
        <f>K$11*Loads!$B62*LAFs!B253*(1-Contrib!K110)/(24*Input!$F$58)*100</f>
        <v>0.24448867540502406</v>
      </c>
      <c r="L39" s="37">
        <f>L$11*Loads!$B62*LAFs!C253*(1-Contrib!L110)/(24*Input!$F$58)*100</f>
        <v>0.18598080495981356</v>
      </c>
      <c r="M39" s="37">
        <f>M$11*Loads!$B62*LAFs!D253*(1-Contrib!M110)/(24*Input!$F$58)*100</f>
        <v>7.3565708347260561E-2</v>
      </c>
      <c r="N39" s="37">
        <f>N$11*Loads!$B62*LAFs!E253*(1-Contrib!N110)/(24*Input!$F$58)*100</f>
        <v>0.18575838724993313</v>
      </c>
      <c r="O39" s="37">
        <f>O$11*Loads!$B62*LAFs!F253*(1-Contrib!O110)/(24*Input!$F$58)*100</f>
        <v>0.11717702168676791</v>
      </c>
      <c r="P39" s="37">
        <f>P$11*Loads!$B62*LAFs!G253*(1-Contrib!P110)/(24*Input!$F$58)*100</f>
        <v>0</v>
      </c>
      <c r="Q39" s="37">
        <f>Q$11*Loads!$B62*LAFs!H253*(1-Contrib!Q110)/(24*Input!$F$58)*100</f>
        <v>0.2127326180641633</v>
      </c>
      <c r="R39" s="37">
        <f>R$11*Loads!$B62*LAFs!I253*(1-Contrib!R110)/(24*Input!$F$58)*100</f>
        <v>0.1931442841621</v>
      </c>
      <c r="S39" s="37">
        <f>S$11*Loads!$B62*LAFs!J253*(1-Contrib!S110)/(24*Input!$F$58)*100</f>
        <v>0.10707179545443016</v>
      </c>
      <c r="T39" s="17"/>
    </row>
    <row r="40" spans="1:20" x14ac:dyDescent="0.25">
      <c r="A40" s="4" t="s">
        <v>218</v>
      </c>
      <c r="B40" s="37">
        <f>B$11*Loads!$B63*LAFs!B254*(1-Contrib!B111)/(24*Input!$F$58)*100</f>
        <v>0</v>
      </c>
      <c r="C40" s="37">
        <f>C$11*Loads!$B63*LAFs!C254*(1-Contrib!C111)/(24*Input!$F$58)*100</f>
        <v>0</v>
      </c>
      <c r="D40" s="37">
        <f>D$11*Loads!$B63*LAFs!D254*(1-Contrib!D111)/(24*Input!$F$58)*100</f>
        <v>0</v>
      </c>
      <c r="E40" s="37">
        <f>E$11*Loads!$B63*LAFs!E254*(1-Contrib!E111)/(24*Input!$F$58)*100</f>
        <v>0</v>
      </c>
      <c r="F40" s="37">
        <f>F$11*Loads!$B63*LAFs!F254*(1-Contrib!F111)/(24*Input!$F$58)*100</f>
        <v>0</v>
      </c>
      <c r="G40" s="37">
        <f>G$11*Loads!$B63*LAFs!G254*(1-Contrib!G111)/(24*Input!$F$58)*100</f>
        <v>0</v>
      </c>
      <c r="H40" s="37">
        <f>H$11*Loads!$B63*LAFs!H254*(1-Contrib!H111)/(24*Input!$F$58)*100</f>
        <v>0</v>
      </c>
      <c r="I40" s="37">
        <f>I$11*Loads!$B63*LAFs!I254*(1-Contrib!I111)/(24*Input!$F$58)*100</f>
        <v>0</v>
      </c>
      <c r="J40" s="37">
        <f>J$11*Loads!$B63*LAFs!J254*(1-Contrib!J111)/(24*Input!$F$58)*100</f>
        <v>0</v>
      </c>
      <c r="K40" s="37">
        <f>K$11*Loads!$B63*LAFs!B254*(1-Contrib!K111)/(24*Input!$F$58)*100</f>
        <v>0</v>
      </c>
      <c r="L40" s="37">
        <f>L$11*Loads!$B63*LAFs!C254*(1-Contrib!L111)/(24*Input!$F$58)*100</f>
        <v>0</v>
      </c>
      <c r="M40" s="37">
        <f>M$11*Loads!$B63*LAFs!D254*(1-Contrib!M111)/(24*Input!$F$58)*100</f>
        <v>0</v>
      </c>
      <c r="N40" s="37">
        <f>N$11*Loads!$B63*LAFs!E254*(1-Contrib!N111)/(24*Input!$F$58)*100</f>
        <v>0</v>
      </c>
      <c r="O40" s="37">
        <f>O$11*Loads!$B63*LAFs!F254*(1-Contrib!O111)/(24*Input!$F$58)*100</f>
        <v>0</v>
      </c>
      <c r="P40" s="37">
        <f>P$11*Loads!$B63*LAFs!G254*(1-Contrib!P111)/(24*Input!$F$58)*100</f>
        <v>0</v>
      </c>
      <c r="Q40" s="37">
        <f>Q$11*Loads!$B63*LAFs!H254*(1-Contrib!Q111)/(24*Input!$F$58)*100</f>
        <v>0</v>
      </c>
      <c r="R40" s="37">
        <f>R$11*Loads!$B63*LAFs!I254*(1-Contrib!R111)/(24*Input!$F$58)*100</f>
        <v>0</v>
      </c>
      <c r="S40" s="37">
        <f>S$11*Loads!$B63*LAFs!J254*(1-Contrib!S111)/(24*Input!$F$58)*100</f>
        <v>0</v>
      </c>
      <c r="T40" s="17"/>
    </row>
    <row r="41" spans="1:20" x14ac:dyDescent="0.25">
      <c r="A41" s="4" t="s">
        <v>219</v>
      </c>
      <c r="B41" s="37">
        <f>B$11*Loads!$B64*LAFs!B255*(1-Contrib!B112)/(24*Input!$F$58)*100</f>
        <v>0</v>
      </c>
      <c r="C41" s="37">
        <f>C$11*Loads!$B64*LAFs!C255*(1-Contrib!C112)/(24*Input!$F$58)*100</f>
        <v>0.26986203370259071</v>
      </c>
      <c r="D41" s="37">
        <f>D$11*Loads!$B64*LAFs!D255*(1-Contrib!D112)/(24*Input!$F$58)*100</f>
        <v>0.10674537982375705</v>
      </c>
      <c r="E41" s="37">
        <f>E$11*Loads!$B64*LAFs!E255*(1-Contrib!E112)/(24*Input!$F$58)*100</f>
        <v>0.26953930095857032</v>
      </c>
      <c r="F41" s="37">
        <f>F$11*Loads!$B64*LAFs!F255*(1-Contrib!F112)/(24*Input!$F$58)*100</f>
        <v>0.17002630665264895</v>
      </c>
      <c r="G41" s="37">
        <f>G$11*Loads!$B64*LAFs!G255*(1-Contrib!G112)/(24*Input!$F$58)*100</f>
        <v>0</v>
      </c>
      <c r="H41" s="37">
        <f>H$11*Loads!$B64*LAFs!H255*(1-Contrib!H112)/(24*Input!$F$58)*100</f>
        <v>0.21607563141074382</v>
      </c>
      <c r="I41" s="37">
        <f>I$11*Loads!$B64*LAFs!I255*(1-Contrib!I112)/(24*Input!$F$58)*100</f>
        <v>0.19617947418441659</v>
      </c>
      <c r="J41" s="37">
        <f>J$11*Loads!$B64*LAFs!J255*(1-Contrib!J112)/(24*Input!$F$58)*100</f>
        <v>4.6609023678164828E-3</v>
      </c>
      <c r="K41" s="37">
        <f>K$11*Loads!$B64*LAFs!B255*(1-Contrib!K112)/(24*Input!$F$58)*100</f>
        <v>0.12933566602027052</v>
      </c>
      <c r="L41" s="37">
        <f>L$11*Loads!$B64*LAFs!C255*(1-Contrib!L112)/(24*Input!$F$58)*100</f>
        <v>9.8384725740835829E-2</v>
      </c>
      <c r="M41" s="37">
        <f>M$11*Loads!$B64*LAFs!D255*(1-Contrib!M112)/(24*Input!$F$58)*100</f>
        <v>3.8916607771643227E-2</v>
      </c>
      <c r="N41" s="37">
        <f>N$11*Loads!$B64*LAFs!E255*(1-Contrib!N112)/(24*Input!$F$58)*100</f>
        <v>9.826706572000074E-2</v>
      </c>
      <c r="O41" s="37">
        <f>O$11*Loads!$B64*LAFs!F255*(1-Contrib!O112)/(24*Input!$F$58)*100</f>
        <v>6.1987198863192768E-2</v>
      </c>
      <c r="P41" s="37">
        <f>P$11*Loads!$B64*LAFs!G255*(1-Contrib!P112)/(24*Input!$F$58)*100</f>
        <v>0</v>
      </c>
      <c r="Q41" s="37">
        <f>Q$11*Loads!$B64*LAFs!H255*(1-Contrib!Q112)/(24*Input!$F$58)*100</f>
        <v>0.11253656144189245</v>
      </c>
      <c r="R41" s="37">
        <f>R$11*Loads!$B64*LAFs!I255*(1-Contrib!R112)/(24*Input!$F$58)*100</f>
        <v>0.10217424013087954</v>
      </c>
      <c r="S41" s="37">
        <f>S$11*Loads!$B64*LAFs!J255*(1-Contrib!S112)/(24*Input!$F$58)*100</f>
        <v>5.6641486376183818E-2</v>
      </c>
      <c r="T41" s="17"/>
    </row>
    <row r="42" spans="1:20" x14ac:dyDescent="0.25">
      <c r="A42" s="4" t="s">
        <v>181</v>
      </c>
      <c r="B42" s="37">
        <f>B$11*Loads!$B65*LAFs!B256*(1-Contrib!B113)/(24*Input!$F$58)*100</f>
        <v>0</v>
      </c>
      <c r="C42" s="37">
        <f>C$11*Loads!$B65*LAFs!C256*(1-Contrib!C113)/(24*Input!$F$58)*100</f>
        <v>-0.1316209213830333</v>
      </c>
      <c r="D42" s="37">
        <f>D$11*Loads!$B65*LAFs!D256*(1-Contrib!D113)/(24*Input!$F$58)*100</f>
        <v>-5.2063363834532167E-2</v>
      </c>
      <c r="E42" s="37">
        <f>E$11*Loads!$B65*LAFs!E256*(1-Contrib!E113)/(24*Input!$F$58)*100</f>
        <v>-0.13146351361230832</v>
      </c>
      <c r="F42" s="37">
        <f>F$11*Loads!$B65*LAFs!F256*(1-Contrib!F113)/(24*Input!$F$58)*100</f>
        <v>-8.2927630959897358E-2</v>
      </c>
      <c r="G42" s="37">
        <f>G$11*Loads!$B65*LAFs!G256*(1-Contrib!G113)/(24*Input!$F$58)*100</f>
        <v>0</v>
      </c>
      <c r="H42" s="37">
        <f>H$11*Loads!$B65*LAFs!H256*(1-Contrib!H113)/(24*Input!$F$58)*100</f>
        <v>-0.10538745782241457</v>
      </c>
      <c r="I42" s="37">
        <f>I$11*Loads!$B65*LAFs!I256*(1-Contrib!I113)/(24*Input!$F$58)*100</f>
        <v>-9.5683423097037229E-2</v>
      </c>
      <c r="J42" s="37">
        <f>J$11*Loads!$B65*LAFs!J256*(1-Contrib!J113)/(24*Input!$F$58)*100</f>
        <v>0</v>
      </c>
      <c r="K42" s="37">
        <f>K$11*Loads!$B65*LAFs!B256*(1-Contrib!K113)/(24*Input!$F$58)*100</f>
        <v>-6.308141718088911E-2</v>
      </c>
      <c r="L42" s="37">
        <f>L$11*Loads!$B65*LAFs!C256*(1-Contrib!L113)/(24*Input!$F$58)*100</f>
        <v>-4.7985587577307025E-2</v>
      </c>
      <c r="M42" s="37">
        <f>M$11*Loads!$B65*LAFs!D256*(1-Contrib!M113)/(24*Input!$F$58)*100</f>
        <v>-1.8980957423788299E-2</v>
      </c>
      <c r="N42" s="37">
        <f>N$11*Loads!$B65*LAFs!E256*(1-Contrib!N113)/(24*Input!$F$58)*100</f>
        <v>-4.7928200770649652E-2</v>
      </c>
      <c r="O42" s="37">
        <f>O$11*Loads!$B65*LAFs!F256*(1-Contrib!O113)/(24*Input!$F$58)*100</f>
        <v>-3.0233271855196951E-2</v>
      </c>
      <c r="P42" s="37">
        <f>P$11*Loads!$B65*LAFs!G256*(1-Contrib!P113)/(24*Input!$F$58)*100</f>
        <v>0</v>
      </c>
      <c r="Q42" s="37">
        <f>Q$11*Loads!$B65*LAFs!H256*(1-Contrib!Q113)/(24*Input!$F$58)*100</f>
        <v>-5.4887920701673823E-2</v>
      </c>
      <c r="R42" s="37">
        <f>R$11*Loads!$B65*LAFs!I256*(1-Contrib!R113)/(24*Input!$F$58)*100</f>
        <v>-4.9833863041507789E-2</v>
      </c>
      <c r="S42" s="37">
        <f>S$11*Loads!$B65*LAFs!J256*(1-Contrib!S113)/(24*Input!$F$58)*100</f>
        <v>0</v>
      </c>
      <c r="T42" s="17"/>
    </row>
    <row r="43" spans="1:20" x14ac:dyDescent="0.25">
      <c r="A43" s="4" t="s">
        <v>182</v>
      </c>
      <c r="B43" s="37">
        <f>B$11*Loads!$B66*LAFs!B257*(1-Contrib!B114)/(24*Input!$F$58)*100</f>
        <v>0</v>
      </c>
      <c r="C43" s="37">
        <f>C$11*Loads!$B66*LAFs!C257*(1-Contrib!C114)/(24*Input!$F$58)*100</f>
        <v>-0.12538109856161625</v>
      </c>
      <c r="D43" s="37">
        <f>D$11*Loads!$B66*LAFs!D257*(1-Contrib!D114)/(24*Input!$F$58)*100</f>
        <v>-4.9595168334904467E-2</v>
      </c>
      <c r="E43" s="37">
        <f>E$11*Loads!$B66*LAFs!E257*(1-Contrib!E114)/(24*Input!$F$58)*100</f>
        <v>-0.12523115310455474</v>
      </c>
      <c r="F43" s="37">
        <f>F$11*Loads!$B66*LAFs!F257*(1-Contrib!F114)/(24*Input!$F$58)*100</f>
        <v>-7.8996236780671386E-2</v>
      </c>
      <c r="G43" s="37">
        <f>G$11*Loads!$B66*LAFs!G257*(1-Contrib!G114)/(24*Input!$F$58)*100</f>
        <v>0</v>
      </c>
      <c r="H43" s="37">
        <f>H$11*Loads!$B66*LAFs!H257*(1-Contrib!H114)/(24*Input!$F$58)*100</f>
        <v>-0.10039129872018691</v>
      </c>
      <c r="I43" s="37">
        <f>I$11*Loads!$B66*LAFs!I257*(1-Contrib!I114)/(24*Input!$F$58)*100</f>
        <v>0</v>
      </c>
      <c r="J43" s="37">
        <f>J$11*Loads!$B66*LAFs!J257*(1-Contrib!J114)/(24*Input!$F$58)*100</f>
        <v>0</v>
      </c>
      <c r="K43" s="37">
        <f>K$11*Loads!$B66*LAFs!B257*(1-Contrib!K114)/(24*Input!$F$58)*100</f>
        <v>-6.0090882983159496E-2</v>
      </c>
      <c r="L43" s="37">
        <f>L$11*Loads!$B66*LAFs!C257*(1-Contrib!L114)/(24*Input!$F$58)*100</f>
        <v>-4.5710709379238233E-2</v>
      </c>
      <c r="M43" s="37">
        <f>M$11*Loads!$B66*LAFs!D257*(1-Contrib!M114)/(24*Input!$F$58)*100</f>
        <v>-1.8081117109187927E-2</v>
      </c>
      <c r="N43" s="37">
        <f>N$11*Loads!$B66*LAFs!E257*(1-Contrib!N114)/(24*Input!$F$58)*100</f>
        <v>-4.5656043139357526E-2</v>
      </c>
      <c r="O43" s="37">
        <f>O$11*Loads!$B66*LAFs!F257*(1-Contrib!O114)/(24*Input!$F$58)*100</f>
        <v>-2.8799987103001912E-2</v>
      </c>
      <c r="P43" s="37">
        <f>P$11*Loads!$B66*LAFs!G257*(1-Contrib!P114)/(24*Input!$F$58)*100</f>
        <v>0</v>
      </c>
      <c r="Q43" s="37">
        <f>Q$11*Loads!$B66*LAFs!H257*(1-Contrib!Q114)/(24*Input!$F$58)*100</f>
        <v>-5.2285819936722149E-2</v>
      </c>
      <c r="R43" s="37">
        <f>R$11*Loads!$B66*LAFs!I257*(1-Contrib!R114)/(24*Input!$F$58)*100</f>
        <v>0</v>
      </c>
      <c r="S43" s="37">
        <f>S$11*Loads!$B66*LAFs!J257*(1-Contrib!S114)/(24*Input!$F$58)*100</f>
        <v>0</v>
      </c>
      <c r="T43" s="17"/>
    </row>
    <row r="44" spans="1:20" x14ac:dyDescent="0.25">
      <c r="A44" s="4" t="s">
        <v>183</v>
      </c>
      <c r="B44" s="37">
        <f>B$11*Loads!$B67*LAFs!B258*(1-Contrib!B115)/(24*Input!$F$58)*100</f>
        <v>0</v>
      </c>
      <c r="C44" s="37">
        <f>C$11*Loads!$B67*LAFs!C258*(1-Contrib!C115)/(24*Input!$F$58)*100</f>
        <v>-0.1316209213830333</v>
      </c>
      <c r="D44" s="37">
        <f>D$11*Loads!$B67*LAFs!D258*(1-Contrib!D115)/(24*Input!$F$58)*100</f>
        <v>-5.2063363834532167E-2</v>
      </c>
      <c r="E44" s="37">
        <f>E$11*Loads!$B67*LAFs!E258*(1-Contrib!E115)/(24*Input!$F$58)*100</f>
        <v>-0.13146351361230832</v>
      </c>
      <c r="F44" s="37">
        <f>F$11*Loads!$B67*LAFs!F258*(1-Contrib!F115)/(24*Input!$F$58)*100</f>
        <v>-8.2927630959897358E-2</v>
      </c>
      <c r="G44" s="37">
        <f>G$11*Loads!$B67*LAFs!G258*(1-Contrib!G115)/(24*Input!$F$58)*100</f>
        <v>0</v>
      </c>
      <c r="H44" s="37">
        <f>H$11*Loads!$B67*LAFs!H258*(1-Contrib!H115)/(24*Input!$F$58)*100</f>
        <v>-0.10538745782241457</v>
      </c>
      <c r="I44" s="37">
        <f>I$11*Loads!$B67*LAFs!I258*(1-Contrib!I115)/(24*Input!$F$58)*100</f>
        <v>-9.5683423097037229E-2</v>
      </c>
      <c r="J44" s="37">
        <f>J$11*Loads!$B67*LAFs!J258*(1-Contrib!J115)/(24*Input!$F$58)*100</f>
        <v>0</v>
      </c>
      <c r="K44" s="37">
        <f>K$11*Loads!$B67*LAFs!B258*(1-Contrib!K115)/(24*Input!$F$58)*100</f>
        <v>-6.308141718088911E-2</v>
      </c>
      <c r="L44" s="37">
        <f>L$11*Loads!$B67*LAFs!C258*(1-Contrib!L115)/(24*Input!$F$58)*100</f>
        <v>-4.7985587577307025E-2</v>
      </c>
      <c r="M44" s="37">
        <f>M$11*Loads!$B67*LAFs!D258*(1-Contrib!M115)/(24*Input!$F$58)*100</f>
        <v>-1.8980957423788299E-2</v>
      </c>
      <c r="N44" s="37">
        <f>N$11*Loads!$B67*LAFs!E258*(1-Contrib!N115)/(24*Input!$F$58)*100</f>
        <v>-4.7928200770649652E-2</v>
      </c>
      <c r="O44" s="37">
        <f>O$11*Loads!$B67*LAFs!F258*(1-Contrib!O115)/(24*Input!$F$58)*100</f>
        <v>-3.0233271855196951E-2</v>
      </c>
      <c r="P44" s="37">
        <f>P$11*Loads!$B67*LAFs!G258*(1-Contrib!P115)/(24*Input!$F$58)*100</f>
        <v>0</v>
      </c>
      <c r="Q44" s="37">
        <f>Q$11*Loads!$B67*LAFs!H258*(1-Contrib!Q115)/(24*Input!$F$58)*100</f>
        <v>-5.4887920701673823E-2</v>
      </c>
      <c r="R44" s="37">
        <f>R$11*Loads!$B67*LAFs!I258*(1-Contrib!R115)/(24*Input!$F$58)*100</f>
        <v>-4.9833863041507789E-2</v>
      </c>
      <c r="S44" s="37">
        <f>S$11*Loads!$B67*LAFs!J258*(1-Contrib!S115)/(24*Input!$F$58)*100</f>
        <v>0</v>
      </c>
      <c r="T44" s="17"/>
    </row>
    <row r="45" spans="1:20" x14ac:dyDescent="0.25">
      <c r="A45" s="4" t="s">
        <v>184</v>
      </c>
      <c r="B45" s="37">
        <f>B$11*Loads!$B68*LAFs!B259*(1-Contrib!B116)/(24*Input!$F$58)*100</f>
        <v>0</v>
      </c>
      <c r="C45" s="37">
        <f>C$11*Loads!$B68*LAFs!C259*(1-Contrib!C116)/(24*Input!$F$58)*100</f>
        <v>-0.1316209213830333</v>
      </c>
      <c r="D45" s="37">
        <f>D$11*Loads!$B68*LAFs!D259*(1-Contrib!D116)/(24*Input!$F$58)*100</f>
        <v>-5.2063363834532167E-2</v>
      </c>
      <c r="E45" s="37">
        <f>E$11*Loads!$B68*LAFs!E259*(1-Contrib!E116)/(24*Input!$F$58)*100</f>
        <v>-0.13146351361230832</v>
      </c>
      <c r="F45" s="37">
        <f>F$11*Loads!$B68*LAFs!F259*(1-Contrib!F116)/(24*Input!$F$58)*100</f>
        <v>-8.2927630959897358E-2</v>
      </c>
      <c r="G45" s="37">
        <f>G$11*Loads!$B68*LAFs!G259*(1-Contrib!G116)/(24*Input!$F$58)*100</f>
        <v>0</v>
      </c>
      <c r="H45" s="37">
        <f>H$11*Loads!$B68*LAFs!H259*(1-Contrib!H116)/(24*Input!$F$58)*100</f>
        <v>-0.10538745782241457</v>
      </c>
      <c r="I45" s="37">
        <f>I$11*Loads!$B68*LAFs!I259*(1-Contrib!I116)/(24*Input!$F$58)*100</f>
        <v>-9.5683423097037229E-2</v>
      </c>
      <c r="J45" s="37">
        <f>J$11*Loads!$B68*LAFs!J259*(1-Contrib!J116)/(24*Input!$F$58)*100</f>
        <v>0</v>
      </c>
      <c r="K45" s="37">
        <f>K$11*Loads!$B68*LAFs!B259*(1-Contrib!K116)/(24*Input!$F$58)*100</f>
        <v>-6.308141718088911E-2</v>
      </c>
      <c r="L45" s="37">
        <f>L$11*Loads!$B68*LAFs!C259*(1-Contrib!L116)/(24*Input!$F$58)*100</f>
        <v>-4.7985587577307025E-2</v>
      </c>
      <c r="M45" s="37">
        <f>M$11*Loads!$B68*LAFs!D259*(1-Contrib!M116)/(24*Input!$F$58)*100</f>
        <v>-1.8980957423788299E-2</v>
      </c>
      <c r="N45" s="37">
        <f>N$11*Loads!$B68*LAFs!E259*(1-Contrib!N116)/(24*Input!$F$58)*100</f>
        <v>-4.7928200770649652E-2</v>
      </c>
      <c r="O45" s="37">
        <f>O$11*Loads!$B68*LAFs!F259*(1-Contrib!O116)/(24*Input!$F$58)*100</f>
        <v>-3.0233271855196951E-2</v>
      </c>
      <c r="P45" s="37">
        <f>P$11*Loads!$B68*LAFs!G259*(1-Contrib!P116)/(24*Input!$F$58)*100</f>
        <v>0</v>
      </c>
      <c r="Q45" s="37">
        <f>Q$11*Loads!$B68*LAFs!H259*(1-Contrib!Q116)/(24*Input!$F$58)*100</f>
        <v>-5.4887920701673823E-2</v>
      </c>
      <c r="R45" s="37">
        <f>R$11*Loads!$B68*LAFs!I259*(1-Contrib!R116)/(24*Input!$F$58)*100</f>
        <v>-4.9833863041507789E-2</v>
      </c>
      <c r="S45" s="37">
        <f>S$11*Loads!$B68*LAFs!J259*(1-Contrib!S116)/(24*Input!$F$58)*100</f>
        <v>0</v>
      </c>
      <c r="T45" s="17"/>
    </row>
    <row r="46" spans="1:20" x14ac:dyDescent="0.25">
      <c r="A46" s="4" t="s">
        <v>185</v>
      </c>
      <c r="B46" s="37">
        <f>B$11*Loads!$B69*LAFs!B260*(1-Contrib!B117)/(24*Input!$F$58)*100</f>
        <v>0</v>
      </c>
      <c r="C46" s="37">
        <f>C$11*Loads!$B69*LAFs!C260*(1-Contrib!C117)/(24*Input!$F$58)*100</f>
        <v>-0.12538109856161625</v>
      </c>
      <c r="D46" s="37">
        <f>D$11*Loads!$B69*LAFs!D260*(1-Contrib!D117)/(24*Input!$F$58)*100</f>
        <v>-4.9595168334904467E-2</v>
      </c>
      <c r="E46" s="37">
        <f>E$11*Loads!$B69*LAFs!E260*(1-Contrib!E117)/(24*Input!$F$58)*100</f>
        <v>-0.12523115310455474</v>
      </c>
      <c r="F46" s="37">
        <f>F$11*Loads!$B69*LAFs!F260*(1-Contrib!F117)/(24*Input!$F$58)*100</f>
        <v>-7.8996236780671386E-2</v>
      </c>
      <c r="G46" s="37">
        <f>G$11*Loads!$B69*LAFs!G260*(1-Contrib!G117)/(24*Input!$F$58)*100</f>
        <v>0</v>
      </c>
      <c r="H46" s="37">
        <f>H$11*Loads!$B69*LAFs!H260*(1-Contrib!H117)/(24*Input!$F$58)*100</f>
        <v>-0.10039129872018691</v>
      </c>
      <c r="I46" s="37">
        <f>I$11*Loads!$B69*LAFs!I260*(1-Contrib!I117)/(24*Input!$F$58)*100</f>
        <v>0</v>
      </c>
      <c r="J46" s="37">
        <f>J$11*Loads!$B69*LAFs!J260*(1-Contrib!J117)/(24*Input!$F$58)*100</f>
        <v>0</v>
      </c>
      <c r="K46" s="37">
        <f>K$11*Loads!$B69*LAFs!B260*(1-Contrib!K117)/(24*Input!$F$58)*100</f>
        <v>-6.0090882983159496E-2</v>
      </c>
      <c r="L46" s="37">
        <f>L$11*Loads!$B69*LAFs!C260*(1-Contrib!L117)/(24*Input!$F$58)*100</f>
        <v>-4.5710709379238233E-2</v>
      </c>
      <c r="M46" s="37">
        <f>M$11*Loads!$B69*LAFs!D260*(1-Contrib!M117)/(24*Input!$F$58)*100</f>
        <v>-1.8081117109187927E-2</v>
      </c>
      <c r="N46" s="37">
        <f>N$11*Loads!$B69*LAFs!E260*(1-Contrib!N117)/(24*Input!$F$58)*100</f>
        <v>-4.5656043139357526E-2</v>
      </c>
      <c r="O46" s="37">
        <f>O$11*Loads!$B69*LAFs!F260*(1-Contrib!O117)/(24*Input!$F$58)*100</f>
        <v>-2.8799987103001912E-2</v>
      </c>
      <c r="P46" s="37">
        <f>P$11*Loads!$B69*LAFs!G260*(1-Contrib!P117)/(24*Input!$F$58)*100</f>
        <v>0</v>
      </c>
      <c r="Q46" s="37">
        <f>Q$11*Loads!$B69*LAFs!H260*(1-Contrib!Q117)/(24*Input!$F$58)*100</f>
        <v>-5.2285819936722149E-2</v>
      </c>
      <c r="R46" s="37">
        <f>R$11*Loads!$B69*LAFs!I260*(1-Contrib!R117)/(24*Input!$F$58)*100</f>
        <v>0</v>
      </c>
      <c r="S46" s="37">
        <f>S$11*Loads!$B69*LAFs!J260*(1-Contrib!S117)/(24*Input!$F$58)*100</f>
        <v>0</v>
      </c>
      <c r="T46" s="17"/>
    </row>
    <row r="47" spans="1:20" x14ac:dyDescent="0.25">
      <c r="A47" s="4" t="s">
        <v>186</v>
      </c>
      <c r="B47" s="37">
        <f>B$11*Loads!$B70*LAFs!B261*(1-Contrib!B118)/(24*Input!$F$58)*100</f>
        <v>0</v>
      </c>
      <c r="C47" s="37">
        <f>C$11*Loads!$B70*LAFs!C261*(1-Contrib!C118)/(24*Input!$F$58)*100</f>
        <v>-0.12538109856161625</v>
      </c>
      <c r="D47" s="37">
        <f>D$11*Loads!$B70*LAFs!D261*(1-Contrib!D118)/(24*Input!$F$58)*100</f>
        <v>-4.9595168334904467E-2</v>
      </c>
      <c r="E47" s="37">
        <f>E$11*Loads!$B70*LAFs!E261*(1-Contrib!E118)/(24*Input!$F$58)*100</f>
        <v>-0.12523115310455474</v>
      </c>
      <c r="F47" s="37">
        <f>F$11*Loads!$B70*LAFs!F261*(1-Contrib!F118)/(24*Input!$F$58)*100</f>
        <v>-7.8996236780671386E-2</v>
      </c>
      <c r="G47" s="37">
        <f>G$11*Loads!$B70*LAFs!G261*(1-Contrib!G118)/(24*Input!$F$58)*100</f>
        <v>0</v>
      </c>
      <c r="H47" s="37">
        <f>H$11*Loads!$B70*LAFs!H261*(1-Contrib!H118)/(24*Input!$F$58)*100</f>
        <v>-0.10039129872018691</v>
      </c>
      <c r="I47" s="37">
        <f>I$11*Loads!$B70*LAFs!I261*(1-Contrib!I118)/(24*Input!$F$58)*100</f>
        <v>0</v>
      </c>
      <c r="J47" s="37">
        <f>J$11*Loads!$B70*LAFs!J261*(1-Contrib!J118)/(24*Input!$F$58)*100</f>
        <v>0</v>
      </c>
      <c r="K47" s="37">
        <f>K$11*Loads!$B70*LAFs!B261*(1-Contrib!K118)/(24*Input!$F$58)*100</f>
        <v>-6.0090882983159496E-2</v>
      </c>
      <c r="L47" s="37">
        <f>L$11*Loads!$B70*LAFs!C261*(1-Contrib!L118)/(24*Input!$F$58)*100</f>
        <v>-4.5710709379238233E-2</v>
      </c>
      <c r="M47" s="37">
        <f>M$11*Loads!$B70*LAFs!D261*(1-Contrib!M118)/(24*Input!$F$58)*100</f>
        <v>-1.8081117109187927E-2</v>
      </c>
      <c r="N47" s="37">
        <f>N$11*Loads!$B70*LAFs!E261*(1-Contrib!N118)/(24*Input!$F$58)*100</f>
        <v>-4.5656043139357526E-2</v>
      </c>
      <c r="O47" s="37">
        <f>O$11*Loads!$B70*LAFs!F261*(1-Contrib!O118)/(24*Input!$F$58)*100</f>
        <v>-2.8799987103001912E-2</v>
      </c>
      <c r="P47" s="37">
        <f>P$11*Loads!$B70*LAFs!G261*(1-Contrib!P118)/(24*Input!$F$58)*100</f>
        <v>0</v>
      </c>
      <c r="Q47" s="37">
        <f>Q$11*Loads!$B70*LAFs!H261*(1-Contrib!Q118)/(24*Input!$F$58)*100</f>
        <v>-5.2285819936722149E-2</v>
      </c>
      <c r="R47" s="37">
        <f>R$11*Loads!$B70*LAFs!I261*(1-Contrib!R118)/(24*Input!$F$58)*100</f>
        <v>0</v>
      </c>
      <c r="S47" s="37">
        <f>S$11*Loads!$B70*LAFs!J261*(1-Contrib!S118)/(24*Input!$F$58)*100</f>
        <v>0</v>
      </c>
      <c r="T47" s="17"/>
    </row>
    <row r="48" spans="1:20" x14ac:dyDescent="0.25">
      <c r="A48" s="4" t="s">
        <v>194</v>
      </c>
      <c r="B48" s="37">
        <f>B$11*Loads!$B71*LAFs!B262*(1-Contrib!B119)/(24*Input!$F$58)*100</f>
        <v>0</v>
      </c>
      <c r="C48" s="37">
        <f>C$11*Loads!$B71*LAFs!C262*(1-Contrib!C119)/(24*Input!$F$58)*100</f>
        <v>-0.12375824050967604</v>
      </c>
      <c r="D48" s="37">
        <f>D$11*Loads!$B71*LAFs!D262*(1-Contrib!D119)/(24*Input!$F$58)*100</f>
        <v>-4.8953238098266155E-2</v>
      </c>
      <c r="E48" s="37">
        <f>E$11*Loads!$B71*LAFs!E262*(1-Contrib!E119)/(24*Input!$F$58)*100</f>
        <v>-0.12361023585705107</v>
      </c>
      <c r="F48" s="37">
        <f>F$11*Loads!$B71*LAFs!F262*(1-Contrib!F119)/(24*Input!$F$58)*100</f>
        <v>-3.3528715370160792E-2</v>
      </c>
      <c r="G48" s="37">
        <f>G$11*Loads!$B71*LAFs!G262*(1-Contrib!G119)/(24*Input!$F$58)*100</f>
        <v>0</v>
      </c>
      <c r="H48" s="37">
        <f>H$11*Loads!$B71*LAFs!H262*(1-Contrib!H119)/(24*Input!$F$58)*100</f>
        <v>0</v>
      </c>
      <c r="I48" s="37">
        <f>I$11*Loads!$B71*LAFs!I262*(1-Contrib!I119)/(24*Input!$F$58)*100</f>
        <v>0</v>
      </c>
      <c r="J48" s="37">
        <f>J$11*Loads!$B71*LAFs!J262*(1-Contrib!J119)/(24*Input!$F$58)*100</f>
        <v>0</v>
      </c>
      <c r="K48" s="37">
        <f>K$11*Loads!$B71*LAFs!B262*(1-Contrib!K119)/(24*Input!$F$58)*100</f>
        <v>-5.9313102485012932E-2</v>
      </c>
      <c r="L48" s="37">
        <f>L$11*Loads!$B71*LAFs!C262*(1-Contrib!L119)/(24*Input!$F$58)*100</f>
        <v>-4.5119057259205654E-2</v>
      </c>
      <c r="M48" s="37">
        <f>M$11*Loads!$B71*LAFs!D262*(1-Contrib!M119)/(24*Input!$F$58)*100</f>
        <v>-1.7847085928847775E-2</v>
      </c>
      <c r="N48" s="37">
        <f>N$11*Loads!$B71*LAFs!E262*(1-Contrib!N119)/(24*Input!$F$58)*100</f>
        <v>-4.5065098586482805E-2</v>
      </c>
      <c r="O48" s="37">
        <f>O$11*Loads!$B71*LAFs!F262*(1-Contrib!O119)/(24*Input!$F$58)*100</f>
        <v>-2.8427217271647216E-2</v>
      </c>
      <c r="P48" s="37">
        <f>P$11*Loads!$B71*LAFs!G262*(1-Contrib!P119)/(24*Input!$F$58)*100</f>
        <v>0</v>
      </c>
      <c r="Q48" s="37">
        <f>Q$11*Loads!$B71*LAFs!H262*(1-Contrib!Q119)/(24*Input!$F$58)*100</f>
        <v>0</v>
      </c>
      <c r="R48" s="37">
        <f>R$11*Loads!$B71*LAFs!I262*(1-Contrib!R119)/(24*Input!$F$58)*100</f>
        <v>0</v>
      </c>
      <c r="S48" s="37">
        <f>S$11*Loads!$B71*LAFs!J262*(1-Contrib!S119)/(24*Input!$F$58)*100</f>
        <v>0</v>
      </c>
      <c r="T48" s="17"/>
    </row>
    <row r="49" spans="1:20" x14ac:dyDescent="0.25">
      <c r="A49" s="4" t="s">
        <v>195</v>
      </c>
      <c r="B49" s="37">
        <f>B$11*Loads!$B72*LAFs!B263*(1-Contrib!B120)/(24*Input!$F$58)*100</f>
        <v>0</v>
      </c>
      <c r="C49" s="37">
        <f>C$11*Loads!$B72*LAFs!C263*(1-Contrib!C120)/(24*Input!$F$58)*100</f>
        <v>-0.12375824050967604</v>
      </c>
      <c r="D49" s="37">
        <f>D$11*Loads!$B72*LAFs!D263*(1-Contrib!D120)/(24*Input!$F$58)*100</f>
        <v>-4.8953238098266155E-2</v>
      </c>
      <c r="E49" s="37">
        <f>E$11*Loads!$B72*LAFs!E263*(1-Contrib!E120)/(24*Input!$F$58)*100</f>
        <v>-0.12361023585705107</v>
      </c>
      <c r="F49" s="37">
        <f>F$11*Loads!$B72*LAFs!F263*(1-Contrib!F120)/(24*Input!$F$58)*100</f>
        <v>-3.3528715370160792E-2</v>
      </c>
      <c r="G49" s="37">
        <f>G$11*Loads!$B72*LAFs!G263*(1-Contrib!G120)/(24*Input!$F$58)*100</f>
        <v>0</v>
      </c>
      <c r="H49" s="37">
        <f>H$11*Loads!$B72*LAFs!H263*(1-Contrib!H120)/(24*Input!$F$58)*100</f>
        <v>0</v>
      </c>
      <c r="I49" s="37">
        <f>I$11*Loads!$B72*LAFs!I263*(1-Contrib!I120)/(24*Input!$F$58)*100</f>
        <v>0</v>
      </c>
      <c r="J49" s="37">
        <f>J$11*Loads!$B72*LAFs!J263*(1-Contrib!J120)/(24*Input!$F$58)*100</f>
        <v>0</v>
      </c>
      <c r="K49" s="37">
        <f>K$11*Loads!$B72*LAFs!B263*(1-Contrib!K120)/(24*Input!$F$58)*100</f>
        <v>-5.9313102485012932E-2</v>
      </c>
      <c r="L49" s="37">
        <f>L$11*Loads!$B72*LAFs!C263*(1-Contrib!L120)/(24*Input!$F$58)*100</f>
        <v>-4.5119057259205654E-2</v>
      </c>
      <c r="M49" s="37">
        <f>M$11*Loads!$B72*LAFs!D263*(1-Contrib!M120)/(24*Input!$F$58)*100</f>
        <v>-1.7847085928847775E-2</v>
      </c>
      <c r="N49" s="37">
        <f>N$11*Loads!$B72*LAFs!E263*(1-Contrib!N120)/(24*Input!$F$58)*100</f>
        <v>-4.5065098586482805E-2</v>
      </c>
      <c r="O49" s="37">
        <f>O$11*Loads!$B72*LAFs!F263*(1-Contrib!O120)/(24*Input!$F$58)*100</f>
        <v>-2.8427217271647216E-2</v>
      </c>
      <c r="P49" s="37">
        <f>P$11*Loads!$B72*LAFs!G263*(1-Contrib!P120)/(24*Input!$F$58)*100</f>
        <v>0</v>
      </c>
      <c r="Q49" s="37">
        <f>Q$11*Loads!$B72*LAFs!H263*(1-Contrib!Q120)/(24*Input!$F$58)*100</f>
        <v>0</v>
      </c>
      <c r="R49" s="37">
        <f>R$11*Loads!$B72*LAFs!I263*(1-Contrib!R120)/(24*Input!$F$58)*100</f>
        <v>0</v>
      </c>
      <c r="S49" s="37">
        <f>S$11*Loads!$B72*LAFs!J263*(1-Contrib!S120)/(24*Input!$F$58)*100</f>
        <v>0</v>
      </c>
      <c r="T49" s="17"/>
    </row>
    <row r="51" spans="1:20" ht="21" customHeight="1" x14ac:dyDescent="0.3">
      <c r="A51" s="1" t="s">
        <v>974</v>
      </c>
    </row>
    <row r="52" spans="1:20" x14ac:dyDescent="0.25">
      <c r="A52" s="2" t="s">
        <v>350</v>
      </c>
    </row>
    <row r="53" spans="1:20" x14ac:dyDescent="0.25">
      <c r="A53" s="32" t="s">
        <v>975</v>
      </c>
    </row>
    <row r="54" spans="1:20" x14ac:dyDescent="0.25">
      <c r="A54" s="32" t="s">
        <v>976</v>
      </c>
    </row>
    <row r="55" spans="1:20" x14ac:dyDescent="0.25">
      <c r="A55" s="32" t="s">
        <v>797</v>
      </c>
    </row>
    <row r="56" spans="1:20" x14ac:dyDescent="0.25">
      <c r="A56" s="32" t="s">
        <v>972</v>
      </c>
    </row>
    <row r="57" spans="1:20" x14ac:dyDescent="0.25">
      <c r="A57" s="32" t="s">
        <v>740</v>
      </c>
    </row>
    <row r="58" spans="1:20" x14ac:dyDescent="0.25">
      <c r="A58" s="2" t="s">
        <v>977</v>
      </c>
    </row>
    <row r="60" spans="1:20" ht="30" x14ac:dyDescent="0.25">
      <c r="B60" s="15" t="s">
        <v>139</v>
      </c>
      <c r="C60" s="15" t="s">
        <v>313</v>
      </c>
      <c r="D60" s="15" t="s">
        <v>314</v>
      </c>
      <c r="E60" s="15" t="s">
        <v>315</v>
      </c>
      <c r="F60" s="15" t="s">
        <v>316</v>
      </c>
      <c r="G60" s="15" t="s">
        <v>317</v>
      </c>
      <c r="H60" s="15" t="s">
        <v>318</v>
      </c>
      <c r="I60" s="15" t="s">
        <v>319</v>
      </c>
      <c r="J60" s="15" t="s">
        <v>320</v>
      </c>
      <c r="K60" s="15" t="s">
        <v>301</v>
      </c>
      <c r="L60" s="15" t="s">
        <v>876</v>
      </c>
      <c r="M60" s="15" t="s">
        <v>877</v>
      </c>
      <c r="N60" s="15" t="s">
        <v>878</v>
      </c>
      <c r="O60" s="15" t="s">
        <v>879</v>
      </c>
      <c r="P60" s="15" t="s">
        <v>880</v>
      </c>
      <c r="Q60" s="15" t="s">
        <v>881</v>
      </c>
      <c r="R60" s="15" t="s">
        <v>882</v>
      </c>
      <c r="S60" s="15" t="s">
        <v>883</v>
      </c>
    </row>
    <row r="61" spans="1:20" x14ac:dyDescent="0.25">
      <c r="A61" s="4" t="s">
        <v>171</v>
      </c>
      <c r="B61" s="37">
        <f>Multi!B852*B$11*LAFs!B$237*(1-Contrib!B$94)*100/(24*Input!$F$58)</f>
        <v>0</v>
      </c>
      <c r="C61" s="37">
        <f>Multi!C852*C$11*LAFs!C$237*(1-Contrib!C$94)*100/(24*Input!$F$58)</f>
        <v>0.24473780066130502</v>
      </c>
      <c r="D61" s="37">
        <f>Multi!D852*D$11*LAFs!D$237*(1-Contrib!D$94)*100/(24*Input!$F$58)</f>
        <v>9.6807354226098194E-2</v>
      </c>
      <c r="E61" s="37">
        <f>Multi!E852*E$11*LAFs!E$237*(1-Contrib!E$94)*100/(24*Input!$F$58)</f>
        <v>0.23758085467428902</v>
      </c>
      <c r="F61" s="37">
        <f>Multi!F852*F$11*LAFs!F$237*(1-Contrib!F$94)*100/(24*Input!$F$58)</f>
        <v>0.14986681017570061</v>
      </c>
      <c r="G61" s="37">
        <f>Multi!G852*G$11*LAFs!G$237*(1-Contrib!G$94)*100/(24*Input!$F$58)</f>
        <v>0</v>
      </c>
      <c r="H61" s="37">
        <f>Multi!H852*H$11*LAFs!H$237*(1-Contrib!H$94)*100/(24*Input!$F$58)</f>
        <v>0.19045620806422478</v>
      </c>
      <c r="I61" s="37">
        <f>Multi!I852*I$11*LAFs!I$237*(1-Contrib!I$94)*100/(24*Input!$F$58)</f>
        <v>0.17291907703452228</v>
      </c>
      <c r="J61" s="37">
        <f>Multi!J852*J$11*LAFs!J$237*(1-Contrib!J$94)*100/(24*Input!$F$58)</f>
        <v>4.1082735028294135E-3</v>
      </c>
      <c r="K61" s="37">
        <f>Multi!B852*K$11*LAFs!B$237*(1-Contrib!K$94)*100/(24*Input!$F$58)</f>
        <v>0.12292722584997501</v>
      </c>
      <c r="L61" s="37">
        <f>Multi!C852*L$11*LAFs!C$237*(1-Contrib!L$94)*100/(24*Input!$F$58)</f>
        <v>8.922507944564817E-2</v>
      </c>
      <c r="M61" s="37">
        <f>Multi!D852*M$11*LAFs!D$237*(1-Contrib!M$94)*100/(24*Input!$F$58)</f>
        <v>3.5293460382527231E-2</v>
      </c>
      <c r="N61" s="37">
        <f>Multi!E852*N$11*LAFs!E$237*(1-Contrib!N$94)*100/(24*Input!$F$58)</f>
        <v>8.6615841834808249E-2</v>
      </c>
      <c r="O61" s="37">
        <f>Multi!F852*O$11*LAFs!F$237*(1-Contrib!O$94)*100/(24*Input!$F$58)</f>
        <v>5.4637567257941611E-2</v>
      </c>
      <c r="P61" s="37">
        <f>Multi!G852*P$11*LAFs!G$237*(1-Contrib!P$94)*100/(24*Input!$F$58)</f>
        <v>0</v>
      </c>
      <c r="Q61" s="37">
        <f>Multi!H852*Q$11*LAFs!H$237*(1-Contrib!Q$94)*100/(24*Input!$F$58)</f>
        <v>9.9193447316909072E-2</v>
      </c>
      <c r="R61" s="37">
        <f>Multi!I852*R$11*LAFs!I$237*(1-Contrib!R$94)*100/(24*Input!$F$58)</f>
        <v>9.0059754587408183E-2</v>
      </c>
      <c r="S61" s="37">
        <f>Multi!J852*S$11*LAFs!J$237*(1-Contrib!S$94)*100/(24*Input!$F$58)</f>
        <v>4.9925679466476962E-2</v>
      </c>
      <c r="T61" s="17"/>
    </row>
    <row r="62" spans="1:20" x14ac:dyDescent="0.25">
      <c r="A62" s="4" t="s">
        <v>172</v>
      </c>
      <c r="B62" s="37">
        <f>Multi!B853*B$11*LAFs!B$238*(1-Contrib!B$95)*100/(24*Input!$F$58)</f>
        <v>0</v>
      </c>
      <c r="C62" s="37">
        <f>Multi!C853*C$11*LAFs!C$238*(1-Contrib!C$95)*100/(24*Input!$F$58)</f>
        <v>0.29121306262400481</v>
      </c>
      <c r="D62" s="37">
        <f>Multi!D853*D$11*LAFs!D$238*(1-Contrib!D$95)*100/(24*Input!$F$58)</f>
        <v>0.11519089422448282</v>
      </c>
      <c r="E62" s="37">
        <f>Multi!E853*E$11*LAFs!E$238*(1-Contrib!E$95)*100/(24*Input!$F$58)</f>
        <v>0.28172051720642932</v>
      </c>
      <c r="F62" s="37">
        <f>Multi!F853*F$11*LAFs!F$238*(1-Contrib!F$95)*100/(24*Input!$F$58)</f>
        <v>0.17771025924062075</v>
      </c>
      <c r="G62" s="37">
        <f>Multi!G853*G$11*LAFs!G$238*(1-Contrib!G$95)*100/(24*Input!$F$58)</f>
        <v>0</v>
      </c>
      <c r="H62" s="37">
        <f>Multi!H853*H$11*LAFs!H$238*(1-Contrib!H$95)*100/(24*Input!$F$58)</f>
        <v>0.22584067859587215</v>
      </c>
      <c r="I62" s="37">
        <f>Multi!I853*I$11*LAFs!I$238*(1-Contrib!I$95)*100/(24*Input!$F$58)</f>
        <v>0.20504535975261784</v>
      </c>
      <c r="J62" s="37">
        <f>Multi!J853*J$11*LAFs!J$238*(1-Contrib!J$95)*100/(24*Input!$F$58)</f>
        <v>4.8715412596241651E-3</v>
      </c>
      <c r="K62" s="37">
        <f>Multi!B853*K$11*LAFs!B$238*(1-Contrib!K$95)*100/(24*Input!$F$58)</f>
        <v>0.14709525077709942</v>
      </c>
      <c r="L62" s="37">
        <f>Multi!C853*L$11*LAFs!C$238*(1-Contrib!L$95)*100/(24*Input!$F$58)</f>
        <v>0.10616875929271004</v>
      </c>
      <c r="M62" s="37">
        <f>Multi!D853*M$11*LAFs!D$238*(1-Contrib!M$95)*100/(24*Input!$F$58)</f>
        <v>4.1995624136618115E-2</v>
      </c>
      <c r="N62" s="37">
        <f>Multi!E853*N$11*LAFs!E$238*(1-Contrib!N$95)*100/(24*Input!$F$58)</f>
        <v>0.10270802246850061</v>
      </c>
      <c r="O62" s="37">
        <f>Multi!F853*O$11*LAFs!F$238*(1-Contrib!O$95)*100/(24*Input!$F$58)</f>
        <v>6.4788569465796086E-2</v>
      </c>
      <c r="P62" s="37">
        <f>Multi!G853*P$11*LAFs!G$238*(1-Contrib!P$95)*100/(24*Input!$F$58)</f>
        <v>0</v>
      </c>
      <c r="Q62" s="37">
        <f>Multi!H853*Q$11*LAFs!H$238*(1-Contrib!Q$95)*100/(24*Input!$F$58)</f>
        <v>0.11762239562577223</v>
      </c>
      <c r="R62" s="37">
        <f>Multi!I853*R$11*LAFs!I$238*(1-Contrib!R$95)*100/(24*Input!$F$58)</f>
        <v>0.10679177274882684</v>
      </c>
      <c r="S62" s="37">
        <f>Multi!J853*S$11*LAFs!J$238*(1-Contrib!S$95)*100/(24*Input!$F$58)</f>
        <v>5.9201269649698011E-2</v>
      </c>
      <c r="T62" s="17"/>
    </row>
    <row r="63" spans="1:20" x14ac:dyDescent="0.25">
      <c r="A63" s="4" t="s">
        <v>213</v>
      </c>
      <c r="B63" s="37">
        <f>Multi!B854*B$11*LAFs!B$239*(1-Contrib!B$96)*100/(24*Input!$F$58)</f>
        <v>0</v>
      </c>
      <c r="C63" s="37">
        <f>Multi!C854*C$11*LAFs!C$239*(1-Contrib!C$96)*100/(24*Input!$F$58)</f>
        <v>2.7789969459307871E-2</v>
      </c>
      <c r="D63" s="37">
        <f>Multi!D854*D$11*LAFs!D$239*(1-Contrib!D$96)*100/(24*Input!$F$58)</f>
        <v>1.099247198475385E-2</v>
      </c>
      <c r="E63" s="37">
        <f>Multi!E854*E$11*LAFs!E$239*(1-Contrib!E$96)*100/(24*Input!$F$58)</f>
        <v>3.5393258882933598E-2</v>
      </c>
      <c r="F63" s="37">
        <f>Multi!F854*F$11*LAFs!F$239*(1-Contrib!F$96)*100/(24*Input!$F$58)</f>
        <v>2.2326187932019705E-2</v>
      </c>
      <c r="G63" s="37">
        <f>Multi!G854*G$11*LAFs!G$239*(1-Contrib!G$96)*100/(24*Input!$F$58)</f>
        <v>0</v>
      </c>
      <c r="H63" s="37">
        <f>Multi!H854*H$11*LAFs!H$239*(1-Contrib!H$96)*100/(24*Input!$F$58)</f>
        <v>2.8372933867589406E-2</v>
      </c>
      <c r="I63" s="37">
        <f>Multi!I854*I$11*LAFs!I$239*(1-Contrib!I$96)*100/(24*Input!$F$58)</f>
        <v>2.5760365529752881E-2</v>
      </c>
      <c r="J63" s="37">
        <f>Multi!J854*J$11*LAFs!J$239*(1-Contrib!J$96)*100/(24*Input!$F$58)</f>
        <v>6.1202401113877975E-4</v>
      </c>
      <c r="K63" s="37">
        <f>Multi!B854*K$11*LAFs!B$239*(1-Contrib!K$96)*100/(24*Input!$F$58)</f>
        <v>6.8342840883932549E-3</v>
      </c>
      <c r="L63" s="37">
        <f>Multi!C854*L$11*LAFs!C$239*(1-Contrib!L$96)*100/(24*Input!$F$58)</f>
        <v>1.0131504925266413E-2</v>
      </c>
      <c r="M63" s="37">
        <f>Multi!D854*M$11*LAFs!D$239*(1-Contrib!M$96)*100/(24*Input!$F$58)</f>
        <v>4.0075713007696277E-3</v>
      </c>
      <c r="N63" s="37">
        <f>Multi!E854*N$11*LAFs!E$239*(1-Contrib!N$96)*100/(24*Input!$F$58)</f>
        <v>1.2903467822040627E-2</v>
      </c>
      <c r="O63" s="37">
        <f>Multi!F854*O$11*LAFs!F$239*(1-Contrib!O$96)*100/(24*Input!$F$58)</f>
        <v>8.1395513344085114E-3</v>
      </c>
      <c r="P63" s="37">
        <f>Multi!G854*P$11*LAFs!G$239*(1-Contrib!P$96)*100/(24*Input!$F$58)</f>
        <v>0</v>
      </c>
      <c r="Q63" s="37">
        <f>Multi!H854*Q$11*LAFs!H$239*(1-Contrib!Q$96)*100/(24*Input!$F$58)</f>
        <v>1.4777198125627982E-2</v>
      </c>
      <c r="R63" s="37">
        <f>Multi!I854*R$11*LAFs!I$239*(1-Contrib!R$96)*100/(24*Input!$F$58)</f>
        <v>1.3416519666180647E-2</v>
      </c>
      <c r="S63" s="37">
        <f>Multi!J854*S$11*LAFs!J$239*(1-Contrib!S$96)*100/(24*Input!$F$58)</f>
        <v>7.4376047711668123E-3</v>
      </c>
      <c r="T63" s="17"/>
    </row>
    <row r="64" spans="1:20" x14ac:dyDescent="0.25">
      <c r="A64" s="4" t="s">
        <v>173</v>
      </c>
      <c r="B64" s="37">
        <f>Multi!B855*B$11*LAFs!B$240*(1-Contrib!B$97)*100/(24*Input!$F$58)</f>
        <v>0</v>
      </c>
      <c r="C64" s="37">
        <f>Multi!C855*C$11*LAFs!C$240*(1-Contrib!C$97)*100/(24*Input!$F$58)</f>
        <v>0.23376405624457947</v>
      </c>
      <c r="D64" s="37">
        <f>Multi!D855*D$11*LAFs!D$240*(1-Contrib!D$97)*100/(24*Input!$F$58)</f>
        <v>9.2466630561563831E-2</v>
      </c>
      <c r="E64" s="37">
        <f>Multi!E855*E$11*LAFs!E$240*(1-Contrib!E$97)*100/(24*Input!$F$58)</f>
        <v>0.23614798283201122</v>
      </c>
      <c r="F64" s="37">
        <f>Multi!F855*F$11*LAFs!F$240*(1-Contrib!F$97)*100/(24*Input!$F$58)</f>
        <v>0.14896294975021665</v>
      </c>
      <c r="G64" s="37">
        <f>Multi!G855*G$11*LAFs!G$240*(1-Contrib!G$97)*100/(24*Input!$F$58)</f>
        <v>0</v>
      </c>
      <c r="H64" s="37">
        <f>Multi!H855*H$11*LAFs!H$240*(1-Contrib!H$97)*100/(24*Input!$F$58)</f>
        <v>0.18930754927142618</v>
      </c>
      <c r="I64" s="37">
        <f>Multi!I855*I$11*LAFs!I$240*(1-Contrib!I$97)*100/(24*Input!$F$58)</f>
        <v>0.17187618628132961</v>
      </c>
      <c r="J64" s="37">
        <f>Multi!J855*J$11*LAFs!J$240*(1-Contrib!J$97)*100/(24*Input!$F$58)</f>
        <v>4.083496129961341E-3</v>
      </c>
      <c r="K64" s="37">
        <f>Multi!B855*K$11*LAFs!B$240*(1-Contrib!K$97)*100/(24*Input!$F$58)</f>
        <v>0.11027601341603332</v>
      </c>
      <c r="L64" s="37">
        <f>Multi!C855*L$11*LAFs!C$240*(1-Contrib!L$97)*100/(24*Input!$F$58)</f>
        <v>8.5224335732364542E-2</v>
      </c>
      <c r="M64" s="37">
        <f>Multi!D855*M$11*LAFs!D$240*(1-Contrib!M$97)*100/(24*Input!$F$58)</f>
        <v>3.3710944674805919E-2</v>
      </c>
      <c r="N64" s="37">
        <f>Multi!E855*N$11*LAFs!E$240*(1-Contrib!N$97)*100/(24*Input!$F$58)</f>
        <v>8.6093453778622361E-2</v>
      </c>
      <c r="O64" s="37">
        <f>Multi!F855*O$11*LAFs!F$240*(1-Contrib!O$97)*100/(24*Input!$F$58)</f>
        <v>5.4308043097580319E-2</v>
      </c>
      <c r="P64" s="37">
        <f>Multi!G855*P$11*LAFs!G$240*(1-Contrib!P$97)*100/(24*Input!$F$58)</f>
        <v>0</v>
      </c>
      <c r="Q64" s="37">
        <f>Multi!H855*Q$11*LAFs!H$240*(1-Contrib!Q$97)*100/(24*Input!$F$58)</f>
        <v>9.859520257284618E-2</v>
      </c>
      <c r="R64" s="37">
        <f>Multi!I855*R$11*LAFs!I$240*(1-Contrib!R$97)*100/(24*Input!$F$58)</f>
        <v>8.9516595978741439E-2</v>
      </c>
      <c r="S64" s="37">
        <f>Multi!J855*S$11*LAFs!J$240*(1-Contrib!S$97)*100/(24*Input!$F$58)</f>
        <v>4.9624573131910682E-2</v>
      </c>
      <c r="T64" s="17"/>
    </row>
    <row r="65" spans="1:20" x14ac:dyDescent="0.25">
      <c r="A65" s="4" t="s">
        <v>174</v>
      </c>
      <c r="B65" s="37">
        <f>Multi!B856*B$11*LAFs!B$241*(1-Contrib!B$98)*100/(24*Input!$F$58)</f>
        <v>0</v>
      </c>
      <c r="C65" s="37">
        <f>Multi!C856*C$11*LAFs!C$241*(1-Contrib!C$98)*100/(24*Input!$F$58)</f>
        <v>0.23997705525371493</v>
      </c>
      <c r="D65" s="37">
        <f>Multi!D856*D$11*LAFs!D$241*(1-Contrib!D$98)*100/(24*Input!$F$58)</f>
        <v>9.4924215757878266E-2</v>
      </c>
      <c r="E65" s="37">
        <f>Multi!E856*E$11*LAFs!E$241*(1-Contrib!E$98)*100/(24*Input!$F$58)</f>
        <v>0.23985469908773799</v>
      </c>
      <c r="F65" s="37">
        <f>Multi!F856*F$11*LAFs!F$241*(1-Contrib!F$98)*100/(24*Input!$F$58)</f>
        <v>0.15130115895581009</v>
      </c>
      <c r="G65" s="37">
        <f>Multi!G856*G$11*LAFs!G$241*(1-Contrib!G$98)*100/(24*Input!$F$58)</f>
        <v>0</v>
      </c>
      <c r="H65" s="37">
        <f>Multi!H856*H$11*LAFs!H$241*(1-Contrib!H$98)*100/(24*Input!$F$58)</f>
        <v>0.19227903080517006</v>
      </c>
      <c r="I65" s="37">
        <f>Multi!I856*I$11*LAFs!I$241*(1-Contrib!I$98)*100/(24*Input!$F$58)</f>
        <v>0.17457405499069115</v>
      </c>
      <c r="J65" s="37">
        <f>Multi!J856*J$11*LAFs!J$241*(1-Contrib!J$98)*100/(24*Input!$F$58)</f>
        <v>4.1475930631792403E-3</v>
      </c>
      <c r="K65" s="37">
        <f>Multi!B856*K$11*LAFs!B$241*(1-Contrib!K$98)*100/(24*Input!$F$58)</f>
        <v>0.1152737298019279</v>
      </c>
      <c r="L65" s="37">
        <f>Multi!C856*L$11*LAFs!C$241*(1-Contrib!L$98)*100/(24*Input!$F$58)</f>
        <v>8.748943466145491E-2</v>
      </c>
      <c r="M65" s="37">
        <f>Multi!D856*M$11*LAFs!D$241*(1-Contrib!M$98)*100/(24*Input!$F$58)</f>
        <v>3.4606916746930019E-2</v>
      </c>
      <c r="N65" s="37">
        <f>Multi!E856*N$11*LAFs!E$241*(1-Contrib!N$98)*100/(24*Input!$F$58)</f>
        <v>8.7444826764348421E-2</v>
      </c>
      <c r="O65" s="37">
        <f>Multi!F856*O$11*LAFs!F$241*(1-Contrib!O$98)*100/(24*Input!$F$58)</f>
        <v>5.5160493767504995E-2</v>
      </c>
      <c r="P65" s="37">
        <f>Multi!G856*P$11*LAFs!G$241*(1-Contrib!P$98)*100/(24*Input!$F$58)</f>
        <v>0</v>
      </c>
      <c r="Q65" s="37">
        <f>Multi!H856*Q$11*LAFs!H$241*(1-Contrib!Q$98)*100/(24*Input!$F$58)</f>
        <v>0.10014281028785012</v>
      </c>
      <c r="R65" s="37">
        <f>Multi!I856*R$11*LAFs!I$241*(1-Contrib!R$98)*100/(24*Input!$F$58)</f>
        <v>9.0921700597855509E-2</v>
      </c>
      <c r="S65" s="37">
        <f>Multi!J856*S$11*LAFs!J$241*(1-Contrib!S$98)*100/(24*Input!$F$58)</f>
        <v>5.0403509329906525E-2</v>
      </c>
      <c r="T65" s="17"/>
    </row>
    <row r="66" spans="1:20" x14ac:dyDescent="0.25">
      <c r="A66" s="4" t="s">
        <v>214</v>
      </c>
      <c r="B66" s="37">
        <f>Multi!B857*B$11*LAFs!B$242*(1-Contrib!B$99)*100/(24*Input!$F$58)</f>
        <v>0</v>
      </c>
      <c r="C66" s="37">
        <f>Multi!C857*C$11*LAFs!C$242*(1-Contrib!C$99)*100/(24*Input!$F$58)</f>
        <v>2.0096052821219831E-2</v>
      </c>
      <c r="D66" s="37">
        <f>Multi!D857*D$11*LAFs!D$242*(1-Contrib!D$99)*100/(24*Input!$F$58)</f>
        <v>7.949101850034718E-3</v>
      </c>
      <c r="E66" s="37">
        <f>Multi!E857*E$11*LAFs!E$242*(1-Contrib!E$99)*100/(24*Input!$F$58)</f>
        <v>2.6913175578026922E-2</v>
      </c>
      <c r="F66" s="37">
        <f>Multi!F857*F$11*LAFs!F$242*(1-Contrib!F$99)*100/(24*Input!$F$58)</f>
        <v>1.6976922576977142E-2</v>
      </c>
      <c r="G66" s="37">
        <f>Multi!G857*G$11*LAFs!G$242*(1-Contrib!G$99)*100/(24*Input!$F$58)</f>
        <v>0</v>
      </c>
      <c r="H66" s="37">
        <f>Multi!H857*H$11*LAFs!H$242*(1-Contrib!H$99)*100/(24*Input!$F$58)</f>
        <v>2.1574892364895681E-2</v>
      </c>
      <c r="I66" s="37">
        <f>Multi!I857*I$11*LAFs!I$242*(1-Contrib!I$99)*100/(24*Input!$F$58)</f>
        <v>1.9588284954192042E-2</v>
      </c>
      <c r="J66" s="37">
        <f>Multi!J857*J$11*LAFs!J$242*(1-Contrib!J$99)*100/(24*Input!$F$58)</f>
        <v>4.6538550530843438E-4</v>
      </c>
      <c r="K66" s="37">
        <f>Multi!B857*K$11*LAFs!B$242*(1-Contrib!K$99)*100/(24*Input!$F$58)</f>
        <v>3.7107101695606896E-3</v>
      </c>
      <c r="L66" s="37">
        <f>Multi!C857*L$11*LAFs!C$242*(1-Contrib!L$99)*100/(24*Input!$F$58)</f>
        <v>7.3265016874068051E-3</v>
      </c>
      <c r="M66" s="37">
        <f>Multi!D857*M$11*LAFs!D$242*(1-Contrib!M$99)*100/(24*Input!$F$58)</f>
        <v>2.8980371735563945E-3</v>
      </c>
      <c r="N66" s="37">
        <f>Multi!E857*N$11*LAFs!E$242*(1-Contrib!N$99)*100/(24*Input!$F$58)</f>
        <v>9.8118485276712675E-3</v>
      </c>
      <c r="O66" s="37">
        <f>Multi!F857*O$11*LAFs!F$242*(1-Contrib!O$99)*100/(24*Input!$F$58)</f>
        <v>6.1893473814848251E-3</v>
      </c>
      <c r="P66" s="37">
        <f>Multi!G857*P$11*LAFs!G$242*(1-Contrib!P$99)*100/(24*Input!$F$58)</f>
        <v>0</v>
      </c>
      <c r="Q66" s="37">
        <f>Multi!H857*Q$11*LAFs!H$242*(1-Contrib!Q$99)*100/(24*Input!$F$58)</f>
        <v>1.1236640542814929E-2</v>
      </c>
      <c r="R66" s="37">
        <f>Multi!I857*R$11*LAFs!I$242*(1-Contrib!R$99)*100/(24*Input!$F$58)</f>
        <v>1.0201975201443853E-2</v>
      </c>
      <c r="S66" s="37">
        <f>Multi!J857*S$11*LAFs!J$242*(1-Contrib!S$99)*100/(24*Input!$F$58)</f>
        <v>5.6555844079931193E-3</v>
      </c>
      <c r="T66" s="17"/>
    </row>
    <row r="67" spans="1:20" x14ac:dyDescent="0.25">
      <c r="A67" s="4" t="s">
        <v>175</v>
      </c>
      <c r="B67" s="37">
        <f>Multi!B858*B$11*LAFs!B$243*(1-Contrib!B$100)*100/(24*Input!$F$58)</f>
        <v>0</v>
      </c>
      <c r="C67" s="37">
        <f>Multi!C858*C$11*LAFs!C$243*(1-Contrib!C$100)*100/(24*Input!$F$58)</f>
        <v>0.19779214962442537</v>
      </c>
      <c r="D67" s="37">
        <f>Multi!D858*D$11*LAFs!D$243*(1-Contrib!D$100)*100/(24*Input!$F$58)</f>
        <v>7.8237749297796033E-2</v>
      </c>
      <c r="E67" s="37">
        <f>Multi!E858*E$11*LAFs!E$243*(1-Contrib!E$100)*100/(24*Input!$F$58)</f>
        <v>0.19620022360905109</v>
      </c>
      <c r="F67" s="37">
        <f>Multi!F858*F$11*LAFs!F$243*(1-Contrib!F$100)*100/(24*Input!$F$58)</f>
        <v>0.12376376753235814</v>
      </c>
      <c r="G67" s="37">
        <f>Multi!G858*G$11*LAFs!G$243*(1-Contrib!G$100)*100/(24*Input!$F$58)</f>
        <v>0</v>
      </c>
      <c r="H67" s="37">
        <f>Multi!H858*H$11*LAFs!H$243*(1-Contrib!H$100)*100/(24*Input!$F$58)</f>
        <v>0.1572835094863255</v>
      </c>
      <c r="I67" s="37">
        <f>Multi!I858*I$11*LAFs!I$243*(1-Contrib!I$100)*100/(24*Input!$F$58)</f>
        <v>0.14280090719833391</v>
      </c>
      <c r="J67" s="37">
        <f>Multi!J858*J$11*LAFs!J$243*(1-Contrib!J$100)*100/(24*Input!$F$58)</f>
        <v>3.3927152127107003E-3</v>
      </c>
      <c r="K67" s="37">
        <f>Multi!B858*K$11*LAFs!B$243*(1-Contrib!K$100)*100/(24*Input!$F$58)</f>
        <v>9.6226668781822775E-2</v>
      </c>
      <c r="L67" s="37">
        <f>Multi!C858*L$11*LAFs!C$243*(1-Contrib!L$100)*100/(24*Input!$F$58)</f>
        <v>7.210990789440061E-2</v>
      </c>
      <c r="M67" s="37">
        <f>Multi!D858*M$11*LAFs!D$243*(1-Contrib!M$100)*100/(24*Input!$F$58)</f>
        <v>2.8523462161880373E-2</v>
      </c>
      <c r="N67" s="37">
        <f>Multi!E858*N$11*LAFs!E$243*(1-Contrib!N$100)*100/(24*Input!$F$58)</f>
        <v>7.1529532795786666E-2</v>
      </c>
      <c r="O67" s="37">
        <f>Multi!F858*O$11*LAFs!F$243*(1-Contrib!O$100)*100/(24*Input!$F$58)</f>
        <v>4.5121072268887744E-2</v>
      </c>
      <c r="P67" s="37">
        <f>Multi!G858*P$11*LAFs!G$243*(1-Contrib!P$100)*100/(24*Input!$F$58)</f>
        <v>0</v>
      </c>
      <c r="Q67" s="37">
        <f>Multi!H858*Q$11*LAFs!H$243*(1-Contrib!Q$100)*100/(24*Input!$F$58)</f>
        <v>8.1916434599965005E-2</v>
      </c>
      <c r="R67" s="37">
        <f>Multi!I858*R$11*LAFs!I$243*(1-Contrib!R$100)*100/(24*Input!$F$58)</f>
        <v>7.4373602251957757E-2</v>
      </c>
      <c r="S67" s="37">
        <f>Multi!J858*S$11*LAFs!J$243*(1-Contrib!S$100)*100/(24*Input!$F$58)</f>
        <v>4.1229877249939241E-2</v>
      </c>
      <c r="T67" s="17"/>
    </row>
    <row r="68" spans="1:20" x14ac:dyDescent="0.25">
      <c r="A68" s="4" t="s">
        <v>176</v>
      </c>
      <c r="B68" s="37">
        <f>Multi!B859*B$11*LAFs!B$244*(1-Contrib!B$101)*100/(24*Input!$F$58)</f>
        <v>0</v>
      </c>
      <c r="C68" s="37">
        <f>Multi!C859*C$11*LAFs!C$244*(1-Contrib!C$101)*100/(24*Input!$F$58)</f>
        <v>0.18591581442897259</v>
      </c>
      <c r="D68" s="37">
        <f>Multi!D859*D$11*LAFs!D$244*(1-Contrib!D$101)*100/(24*Input!$F$58)</f>
        <v>7.3540000993008517E-2</v>
      </c>
      <c r="E68" s="37">
        <f>Multi!E859*E$11*LAFs!E$244*(1-Contrib!E$101)*100/(24*Input!$F$58)</f>
        <v>0.18464733789187124</v>
      </c>
      <c r="F68" s="37">
        <f>Multi!F859*F$11*LAFs!F$244*(1-Contrib!F$101)*100/(24*Input!$F$58)</f>
        <v>0.11647616797753794</v>
      </c>
      <c r="G68" s="37">
        <f>Multi!G859*G$11*LAFs!G$244*(1-Contrib!G$101)*100/(24*Input!$F$58)</f>
        <v>0</v>
      </c>
      <c r="H68" s="37">
        <f>Multi!H859*H$11*LAFs!H$244*(1-Contrib!H$101)*100/(24*Input!$F$58)</f>
        <v>0.14802216219085451</v>
      </c>
      <c r="I68" s="37">
        <f>Multi!I859*I$11*LAFs!I$244*(1-Contrib!I$101)*100/(24*Input!$F$58)</f>
        <v>5.759671758709629E-3</v>
      </c>
      <c r="J68" s="37">
        <f>Multi!J859*J$11*LAFs!J$244*(1-Contrib!J$101)*100/(24*Input!$F$58)</f>
        <v>0</v>
      </c>
      <c r="K68" s="37">
        <f>Multi!B859*K$11*LAFs!B$244*(1-Contrib!K$101)*100/(24*Input!$F$58)</f>
        <v>9.0263733153391687E-2</v>
      </c>
      <c r="L68" s="37">
        <f>Multi!C859*L$11*LAFs!C$244*(1-Contrib!L$101)*100/(24*Input!$F$58)</f>
        <v>6.7780102901162542E-2</v>
      </c>
      <c r="M68" s="37">
        <f>Multi!D859*M$11*LAFs!D$244*(1-Contrib!M$101)*100/(24*Input!$F$58)</f>
        <v>2.6810784493871087E-2</v>
      </c>
      <c r="N68" s="37">
        <f>Multi!E859*N$11*LAFs!E$244*(1-Contrib!N$101)*100/(24*Input!$F$58)</f>
        <v>6.7317649126175647E-2</v>
      </c>
      <c r="O68" s="37">
        <f>Multi!F859*O$11*LAFs!F$244*(1-Contrib!O$101)*100/(24*Input!$F$58)</f>
        <v>4.2464201742594306E-2</v>
      </c>
      <c r="P68" s="37">
        <f>Multi!G859*P$11*LAFs!G$244*(1-Contrib!P$101)*100/(24*Input!$F$58)</f>
        <v>0</v>
      </c>
      <c r="Q68" s="37">
        <f>Multi!H859*Q$11*LAFs!H$244*(1-Contrib!Q$101)*100/(24*Input!$F$58)</f>
        <v>7.7092937511715129E-2</v>
      </c>
      <c r="R68" s="37">
        <f>Multi!I859*R$11*LAFs!I$244*(1-Contrib!R$101)*100/(24*Input!$F$58)</f>
        <v>6.9994250835396898E-2</v>
      </c>
      <c r="S68" s="37">
        <f>Multi!J859*S$11*LAFs!J$244*(1-Contrib!S$101)*100/(24*Input!$F$58)</f>
        <v>0</v>
      </c>
      <c r="T68" s="17"/>
    </row>
    <row r="69" spans="1:20" x14ac:dyDescent="0.25">
      <c r="A69" s="4" t="s">
        <v>192</v>
      </c>
      <c r="B69" s="37">
        <f>Multi!B860*B$11*LAFs!B$245*(1-Contrib!B$102)*100/(24*Input!$F$58)</f>
        <v>0</v>
      </c>
      <c r="C69" s="37">
        <f>Multi!C860*C$11*LAFs!C$245*(1-Contrib!C$102)*100/(24*Input!$F$58)</f>
        <v>0.22928536210086228</v>
      </c>
      <c r="D69" s="37">
        <f>Multi!D860*D$11*LAFs!D$245*(1-Contrib!D$102)*100/(24*Input!$F$58)</f>
        <v>9.0695058988763746E-2</v>
      </c>
      <c r="E69" s="37">
        <f>Multi!E860*E$11*LAFs!E$245*(1-Contrib!E$102)*100/(24*Input!$F$58)</f>
        <v>0.22857872645596253</v>
      </c>
      <c r="F69" s="37">
        <f>Multi!F860*F$11*LAFs!F$245*(1-Contrib!F$102)*100/(24*Input!$F$58)</f>
        <v>6.200094195984529E-2</v>
      </c>
      <c r="G69" s="37">
        <f>Multi!G860*G$11*LAFs!G$245*(1-Contrib!G$102)*100/(24*Input!$F$58)</f>
        <v>0</v>
      </c>
      <c r="H69" s="37">
        <f>Multi!H860*H$11*LAFs!H$245*(1-Contrib!H$102)*100/(24*Input!$F$58)</f>
        <v>2.3559386184049652E-2</v>
      </c>
      <c r="I69" s="37">
        <f>Multi!I860*I$11*LAFs!I$245*(1-Contrib!I$102)*100/(24*Input!$F$58)</f>
        <v>0</v>
      </c>
      <c r="J69" s="37">
        <f>Multi!J860*J$11*LAFs!J$245*(1-Contrib!J$102)*100/(24*Input!$F$58)</f>
        <v>0</v>
      </c>
      <c r="K69" s="37">
        <f>Multi!B860*K$11*LAFs!B$245*(1-Contrib!K$102)*100/(24*Input!$F$58)</f>
        <v>0.11065003460819496</v>
      </c>
      <c r="L69" s="37">
        <f>Multi!C860*L$11*LAFs!C$245*(1-Contrib!L$102)*100/(24*Input!$F$58)</f>
        <v>8.3591519552329685E-2</v>
      </c>
      <c r="M69" s="37">
        <f>Multi!D860*M$11*LAFs!D$245*(1-Contrib!M$102)*100/(24*Input!$F$58)</f>
        <v>3.3065075447005307E-2</v>
      </c>
      <c r="N69" s="37">
        <f>Multi!E860*N$11*LAFs!E$245*(1-Contrib!N$102)*100/(24*Input!$F$58)</f>
        <v>8.3333898451768418E-2</v>
      </c>
      <c r="O69" s="37">
        <f>Multi!F860*O$11*LAFs!F$245*(1-Contrib!O$102)*100/(24*Input!$F$58)</f>
        <v>5.2567306223365695E-2</v>
      </c>
      <c r="P69" s="37">
        <f>Multi!G860*P$11*LAFs!G$245*(1-Contrib!P$102)*100/(24*Input!$F$58)</f>
        <v>0</v>
      </c>
      <c r="Q69" s="37">
        <f>Multi!H860*Q$11*LAFs!H$245*(1-Contrib!Q$102)*100/(24*Input!$F$58)</f>
        <v>9.5434928422830606E-2</v>
      </c>
      <c r="R69" s="37">
        <f>Multi!I860*R$11*LAFs!I$245*(1-Contrib!R$102)*100/(24*Input!$F$58)</f>
        <v>0</v>
      </c>
      <c r="S69" s="37">
        <f>Multi!J860*S$11*LAFs!J$245*(1-Contrib!S$102)*100/(24*Input!$F$58)</f>
        <v>0</v>
      </c>
      <c r="T69" s="17"/>
    </row>
    <row r="70" spans="1:20" x14ac:dyDescent="0.25">
      <c r="A70" s="4" t="s">
        <v>177</v>
      </c>
      <c r="B70" s="37">
        <f>Multi!B861*B$11*LAFs!B$246*(1-Contrib!B$103)*100/(24*Input!$F$58)</f>
        <v>0</v>
      </c>
      <c r="C70" s="37">
        <f>Multi!C861*C$11*LAFs!C$246*(1-Contrib!C$103)*100/(24*Input!$F$58)</f>
        <v>1.4784799496840595</v>
      </c>
      <c r="D70" s="37">
        <f>Multi!D861*D$11*LAFs!D$246*(1-Contrib!D$103)*100/(24*Input!$F$58)</f>
        <v>0.58482070125049646</v>
      </c>
      <c r="E70" s="37">
        <f>Multi!E861*E$11*LAFs!E$246*(1-Contrib!E$103)*100/(24*Input!$F$58)</f>
        <v>1.246222066065904</v>
      </c>
      <c r="F70" s="37">
        <f>Multi!F861*F$11*LAFs!F$246*(1-Contrib!F$103)*100/(24*Input!$F$58)</f>
        <v>0.78612111261202655</v>
      </c>
      <c r="G70" s="37">
        <f>Multi!G861*G$11*LAFs!G$246*(1-Contrib!G$103)*100/(24*Input!$F$58)</f>
        <v>0</v>
      </c>
      <c r="H70" s="37">
        <f>Multi!H861*H$11*LAFs!H$246*(1-Contrib!H$103)*100/(24*Input!$F$58)</f>
        <v>0.99903138000859293</v>
      </c>
      <c r="I70" s="37">
        <f>Multi!I861*I$11*LAFs!I$246*(1-Contrib!I$103)*100/(24*Input!$F$58)</f>
        <v>0.90704097238645265</v>
      </c>
      <c r="J70" s="37">
        <f>Multi!J861*J$11*LAFs!J$246*(1-Contrib!J$103)*100/(24*Input!$F$58)</f>
        <v>2.1549805011346092E-2</v>
      </c>
      <c r="K70" s="37">
        <f>Multi!B861*K$11*LAFs!B$246*(1-Contrib!K$103)*100/(24*Input!$F$58)</f>
        <v>0.89335459064121203</v>
      </c>
      <c r="L70" s="37">
        <f>Multi!C861*L$11*LAFs!C$246*(1-Contrib!L$103)*100/(24*Input!$F$58)</f>
        <v>0.53901559388416675</v>
      </c>
      <c r="M70" s="37">
        <f>Multi!D861*M$11*LAFs!D$246*(1-Contrib!M$103)*100/(24*Input!$F$58)</f>
        <v>0.21321051913328484</v>
      </c>
      <c r="N70" s="37">
        <f>Multi!E861*N$11*LAFs!E$246*(1-Contrib!N$103)*100/(24*Input!$F$58)</f>
        <v>0.45434036978019948</v>
      </c>
      <c r="O70" s="37">
        <f>Multi!F861*O$11*LAFs!F$246*(1-Contrib!O$103)*100/(24*Input!$F$58)</f>
        <v>0.28659944862289249</v>
      </c>
      <c r="P70" s="37">
        <f>Multi!G861*P$11*LAFs!G$246*(1-Contrib!P$103)*100/(24*Input!$F$58)</f>
        <v>0</v>
      </c>
      <c r="Q70" s="37">
        <f>Multi!H861*Q$11*LAFs!H$246*(1-Contrib!Q$103)*100/(24*Input!$F$58)</f>
        <v>0.52031575955457521</v>
      </c>
      <c r="R70" s="37">
        <f>Multi!I861*R$11*LAFs!I$246*(1-Contrib!R$103)*100/(24*Input!$F$58)</f>
        <v>0.47240529370590795</v>
      </c>
      <c r="S70" s="37">
        <f>Multi!J861*S$11*LAFs!J$246*(1-Contrib!S$103)*100/(24*Input!$F$58)</f>
        <v>0.26188340596617232</v>
      </c>
      <c r="T70" s="17"/>
    </row>
    <row r="71" spans="1:20" x14ac:dyDescent="0.25">
      <c r="A71" s="4" t="s">
        <v>178</v>
      </c>
      <c r="B71" s="37">
        <f>Multi!B862*B$11*LAFs!B$247*(1-Contrib!B$104)*100/(24*Input!$F$58)</f>
        <v>0</v>
      </c>
      <c r="C71" s="37">
        <f>Multi!C862*C$11*LAFs!C$247*(1-Contrib!C$104)*100/(24*Input!$F$58)</f>
        <v>1.4377608106111681</v>
      </c>
      <c r="D71" s="37">
        <f>Multi!D862*D$11*LAFs!D$247*(1-Contrib!D$104)*100/(24*Input!$F$58)</f>
        <v>0.56871402664052717</v>
      </c>
      <c r="E71" s="37">
        <f>Multi!E862*E$11*LAFs!E$247*(1-Contrib!E$104)*100/(24*Input!$F$58)</f>
        <v>1.2115343993951717</v>
      </c>
      <c r="F71" s="37">
        <f>Multi!F862*F$11*LAFs!F$247*(1-Contrib!F$104)*100/(24*Input!$F$58)</f>
        <v>0.76424001464431568</v>
      </c>
      <c r="G71" s="37">
        <f>Multi!G862*G$11*LAFs!G$247*(1-Contrib!G$104)*100/(24*Input!$F$58)</f>
        <v>0</v>
      </c>
      <c r="H71" s="37">
        <f>Multi!H862*H$11*LAFs!H$247*(1-Contrib!H$104)*100/(24*Input!$F$58)</f>
        <v>0.97122408270022764</v>
      </c>
      <c r="I71" s="37">
        <f>Multi!I862*I$11*LAFs!I$247*(1-Contrib!I$104)*100/(24*Input!$F$58)</f>
        <v>0.88179415982907139</v>
      </c>
      <c r="J71" s="37">
        <f>Multi!J862*J$11*LAFs!J$247*(1-Contrib!J$104)*100/(24*Input!$F$58)</f>
        <v>2.0949982176068735E-2</v>
      </c>
      <c r="K71" s="37">
        <f>Multi!B862*K$11*LAFs!B$247*(1-Contrib!K$104)*100/(24*Input!$F$58)</f>
        <v>0.86923511740343762</v>
      </c>
      <c r="L71" s="37">
        <f>Multi!C862*L$11*LAFs!C$247*(1-Contrib!L$104)*100/(24*Input!$F$58)</f>
        <v>0.52417044773624843</v>
      </c>
      <c r="M71" s="37">
        <f>Multi!D862*M$11*LAFs!D$247*(1-Contrib!M$104)*100/(24*Input!$F$58)</f>
        <v>0.20733844167816148</v>
      </c>
      <c r="N71" s="37">
        <f>Multi!E862*N$11*LAFs!E$247*(1-Contrib!N$104)*100/(24*Input!$F$58)</f>
        <v>0.44169414265011481</v>
      </c>
      <c r="O71" s="37">
        <f>Multi!F862*O$11*LAFs!F$247*(1-Contrib!O$104)*100/(24*Input!$F$58)</f>
        <v>0.27862216559080022</v>
      </c>
      <c r="P71" s="37">
        <f>Multi!G862*P$11*LAFs!G$247*(1-Contrib!P$104)*100/(24*Input!$F$58)</f>
        <v>0</v>
      </c>
      <c r="Q71" s="37">
        <f>Multi!H862*Q$11*LAFs!H$247*(1-Contrib!Q$104)*100/(24*Input!$F$58)</f>
        <v>0.50583315639546567</v>
      </c>
      <c r="R71" s="37">
        <f>Multi!I862*R$11*LAFs!I$247*(1-Contrib!R$104)*100/(24*Input!$F$58)</f>
        <v>0.45925624282022615</v>
      </c>
      <c r="S71" s="37">
        <f>Multi!J862*S$11*LAFs!J$247*(1-Contrib!S$104)*100/(24*Input!$F$58)</f>
        <v>0.25459407564527081</v>
      </c>
      <c r="T71" s="17"/>
    </row>
    <row r="72" spans="1:20" x14ac:dyDescent="0.25">
      <c r="A72" s="4" t="s">
        <v>179</v>
      </c>
      <c r="B72" s="37">
        <f>Multi!B863*B$11*LAFs!B$248*(1-Contrib!B$105)*100/(24*Input!$F$58)</f>
        <v>0</v>
      </c>
      <c r="C72" s="37">
        <f>Multi!C863*C$11*LAFs!C$248*(1-Contrib!C$105)*100/(24*Input!$F$58)</f>
        <v>1.2511903381653109</v>
      </c>
      <c r="D72" s="37">
        <f>Multi!D863*D$11*LAFs!D$248*(1-Contrib!D$105)*100/(24*Input!$F$58)</f>
        <v>0.49491507214558206</v>
      </c>
      <c r="E72" s="37">
        <f>Multi!E863*E$11*LAFs!E$248*(1-Contrib!E$105)*100/(24*Input!$F$58)</f>
        <v>1.0544343765560118</v>
      </c>
      <c r="F72" s="37">
        <f>Multi!F863*F$11*LAFs!F$248*(1-Contrib!F$105)*100/(24*Input!$F$58)</f>
        <v>0.66514078657851738</v>
      </c>
      <c r="G72" s="37">
        <f>Multi!G863*G$11*LAFs!G$248*(1-Contrib!G$105)*100/(24*Input!$F$58)</f>
        <v>0</v>
      </c>
      <c r="H72" s="37">
        <f>Multi!H863*H$11*LAFs!H$248*(1-Contrib!H$105)*100/(24*Input!$F$58)</f>
        <v>0.84528516949205157</v>
      </c>
      <c r="I72" s="37">
        <f>Multi!I863*I$11*LAFs!I$248*(1-Contrib!I$105)*100/(24*Input!$F$58)</f>
        <v>0.76745165109160374</v>
      </c>
      <c r="J72" s="37">
        <f>Multi!J863*J$11*LAFs!J$248*(1-Contrib!J$105)*100/(24*Input!$F$58)</f>
        <v>1.8233391809354047E-2</v>
      </c>
      <c r="K72" s="37">
        <f>Multi!B863*K$11*LAFs!B$248*(1-Contrib!K$105)*100/(24*Input!$F$58)</f>
        <v>0.75627491169386463</v>
      </c>
      <c r="L72" s="37">
        <f>Multi!C863*L$11*LAFs!C$248*(1-Contrib!L$105)*100/(24*Input!$F$58)</f>
        <v>0.45615167343488372</v>
      </c>
      <c r="M72" s="37">
        <f>Multi!D863*M$11*LAFs!D$248*(1-Contrib!M$105)*100/(24*Input!$F$58)</f>
        <v>0.18043324942741512</v>
      </c>
      <c r="N72" s="37">
        <f>Multi!E863*N$11*LAFs!E$248*(1-Contrib!N$105)*100/(24*Input!$F$58)</f>
        <v>0.38441953292141251</v>
      </c>
      <c r="O72" s="37">
        <f>Multi!F863*O$11*LAFs!F$248*(1-Contrib!O$105)*100/(24*Input!$F$58)</f>
        <v>0.24249314721570267</v>
      </c>
      <c r="P72" s="37">
        <f>Multi!G863*P$11*LAFs!G$248*(1-Contrib!P$105)*100/(24*Input!$F$58)</f>
        <v>0</v>
      </c>
      <c r="Q72" s="37">
        <f>Multi!H863*Q$11*LAFs!H$248*(1-Contrib!Q$105)*100/(24*Input!$F$58)</f>
        <v>0.44024162184043891</v>
      </c>
      <c r="R72" s="37">
        <f>Multi!I863*R$11*LAFs!I$248*(1-Contrib!R$105)*100/(24*Input!$F$58)</f>
        <v>0.39970435038357477</v>
      </c>
      <c r="S72" s="37">
        <f>Multi!J863*S$11*LAFs!J$248*(1-Contrib!S$105)*100/(24*Input!$F$58)</f>
        <v>0.22158078677905765</v>
      </c>
      <c r="T72" s="17"/>
    </row>
    <row r="73" spans="1:20" x14ac:dyDescent="0.25">
      <c r="A73" s="4" t="s">
        <v>180</v>
      </c>
      <c r="B73" s="37">
        <f>Multi!B864*B$11*LAFs!B$249*(1-Contrib!B$106)*100/(24*Input!$F$58)</f>
        <v>0</v>
      </c>
      <c r="C73" s="37">
        <f>Multi!C864*C$11*LAFs!C$249*(1-Contrib!C$106)*100/(24*Input!$F$58)</f>
        <v>1.182182286785568</v>
      </c>
      <c r="D73" s="37">
        <f>Multi!D864*D$11*LAFs!D$249*(1-Contrib!D$106)*100/(24*Input!$F$58)</f>
        <v>0.46761856602221141</v>
      </c>
      <c r="E73" s="37">
        <f>Multi!E864*E$11*LAFs!E$249*(1-Contrib!E$106)*100/(24*Input!$F$58)</f>
        <v>0.99627818767379672</v>
      </c>
      <c r="F73" s="37">
        <f>Multi!F864*F$11*LAFs!F$249*(1-Contrib!F$106)*100/(24*Input!$F$58)</f>
        <v>0.62845566507871553</v>
      </c>
      <c r="G73" s="37">
        <f>Multi!G864*G$11*LAFs!G$249*(1-Contrib!G$106)*100/(24*Input!$F$58)</f>
        <v>0</v>
      </c>
      <c r="H73" s="37">
        <f>Multi!H864*H$11*LAFs!H$249*(1-Contrib!H$106)*100/(24*Input!$F$58)</f>
        <v>0.79866437917139066</v>
      </c>
      <c r="I73" s="37">
        <f>Multi!I864*I$11*LAFs!I$249*(1-Contrib!I$106)*100/(24*Input!$F$58)</f>
        <v>3.1076729331042229E-2</v>
      </c>
      <c r="J73" s="37">
        <f>Multi!J864*J$11*LAFs!J$249*(1-Contrib!J$106)*100/(24*Input!$F$58)</f>
        <v>0</v>
      </c>
      <c r="K73" s="37">
        <f>Multi!B864*K$11*LAFs!B$249*(1-Contrib!K$106)*100/(24*Input!$F$58)</f>
        <v>0.71456338597995261</v>
      </c>
      <c r="L73" s="37">
        <f>Multi!C864*L$11*LAFs!C$249*(1-Contrib!L$106)*100/(24*Input!$F$58)</f>
        <v>0.43099312068941709</v>
      </c>
      <c r="M73" s="37">
        <f>Multi!D864*M$11*LAFs!D$249*(1-Contrib!M$106)*100/(24*Input!$F$58)</f>
        <v>0.17048164848605946</v>
      </c>
      <c r="N73" s="37">
        <f>Multi!E864*N$11*LAFs!E$249*(1-Contrib!N$106)*100/(24*Input!$F$58)</f>
        <v>0.3632172888902469</v>
      </c>
      <c r="O73" s="37">
        <f>Multi!F864*O$11*LAFs!F$249*(1-Contrib!O$106)*100/(24*Input!$F$58)</f>
        <v>0.22911869965815945</v>
      </c>
      <c r="P73" s="37">
        <f>Multi!G864*P$11*LAFs!G$249*(1-Contrib!P$106)*100/(24*Input!$F$58)</f>
        <v>0</v>
      </c>
      <c r="Q73" s="37">
        <f>Multi!H864*Q$11*LAFs!H$249*(1-Contrib!Q$106)*100/(24*Input!$F$58)</f>
        <v>0.41596057080226162</v>
      </c>
      <c r="R73" s="37">
        <f>Multi!I864*R$11*LAFs!I$249*(1-Contrib!R$106)*100/(24*Input!$F$58)</f>
        <v>0.37765908875821524</v>
      </c>
      <c r="S73" s="37">
        <f>Multi!J864*S$11*LAFs!J$249*(1-Contrib!S$106)*100/(24*Input!$F$58)</f>
        <v>0</v>
      </c>
      <c r="T73" s="17"/>
    </row>
    <row r="74" spans="1:20" x14ac:dyDescent="0.25">
      <c r="A74" s="4" t="s">
        <v>193</v>
      </c>
      <c r="B74" s="37">
        <f>Multi!B865*B$11*LAFs!B$250*(1-Contrib!B$107)*100/(24*Input!$F$58)</f>
        <v>0</v>
      </c>
      <c r="C74" s="37">
        <f>Multi!C865*C$11*LAFs!C$250*(1-Contrib!C$107)*100/(24*Input!$F$58)</f>
        <v>1.0545369000505067</v>
      </c>
      <c r="D74" s="37">
        <f>Multi!D865*D$11*LAFs!D$250*(1-Contrib!D$107)*100/(24*Input!$F$58)</f>
        <v>0.41712774631394189</v>
      </c>
      <c r="E74" s="37">
        <f>Multi!E865*E$11*LAFs!E$250*(1-Contrib!E$107)*100/(24*Input!$F$58)</f>
        <v>0.88870567877830964</v>
      </c>
      <c r="F74" s="37">
        <f>Multi!F865*F$11*LAFs!F$250*(1-Contrib!F$107)*100/(24*Input!$F$58)</f>
        <v>0.24105738125168197</v>
      </c>
      <c r="G74" s="37">
        <f>Multi!G865*G$11*LAFs!G$250*(1-Contrib!G$107)*100/(24*Input!$F$58)</f>
        <v>0</v>
      </c>
      <c r="H74" s="37">
        <f>Multi!H865*H$11*LAFs!H$250*(1-Contrib!H$107)*100/(24*Input!$F$58)</f>
        <v>9.1598026705822622E-2</v>
      </c>
      <c r="I74" s="37">
        <f>Multi!I865*I$11*LAFs!I$250*(1-Contrib!I$107)*100/(24*Input!$F$58)</f>
        <v>0</v>
      </c>
      <c r="J74" s="37">
        <f>Multi!J865*J$11*LAFs!J$250*(1-Contrib!J$107)*100/(24*Input!$F$58)</f>
        <v>0</v>
      </c>
      <c r="K74" s="37">
        <f>Multi!B865*K$11*LAFs!B$250*(1-Contrib!K$107)*100/(24*Input!$F$58)</f>
        <v>0.63740885510118772</v>
      </c>
      <c r="L74" s="37">
        <f>Multi!C865*L$11*LAFs!C$250*(1-Contrib!L$107)*100/(24*Input!$F$58)</f>
        <v>0.38445691033886353</v>
      </c>
      <c r="M74" s="37">
        <f>Multi!D865*M$11*LAFs!D$250*(1-Contrib!M$107)*100/(24*Input!$F$58)</f>
        <v>0.15207400002483615</v>
      </c>
      <c r="N74" s="37">
        <f>Multi!E865*N$11*LAFs!E$250*(1-Contrib!N$107)*100/(24*Input!$F$58)</f>
        <v>0.3239991312275059</v>
      </c>
      <c r="O74" s="37">
        <f>Multi!F865*O$11*LAFs!F$250*(1-Contrib!O$107)*100/(24*Input!$F$58)</f>
        <v>0.2043797525828977</v>
      </c>
      <c r="P74" s="37">
        <f>Multi!G865*P$11*LAFs!G$250*(1-Contrib!P$107)*100/(24*Input!$F$58)</f>
        <v>0</v>
      </c>
      <c r="Q74" s="37">
        <f>Multi!H865*Q$11*LAFs!H$250*(1-Contrib!Q$107)*100/(24*Input!$F$58)</f>
        <v>0.37104749054374953</v>
      </c>
      <c r="R74" s="37">
        <f>Multi!I865*R$11*LAFs!I$250*(1-Contrib!R$107)*100/(24*Input!$F$58)</f>
        <v>0</v>
      </c>
      <c r="S74" s="37">
        <f>Multi!J865*S$11*LAFs!J$250*(1-Contrib!S$107)*100/(24*Input!$F$58)</f>
        <v>0</v>
      </c>
      <c r="T74" s="17"/>
    </row>
    <row r="75" spans="1:20" x14ac:dyDescent="0.25">
      <c r="A75" s="4" t="s">
        <v>215</v>
      </c>
      <c r="B75" s="37">
        <f>Multi!B866*B$11*LAFs!B$251*(1-Contrib!B$108)*100/(24*Input!$F$58)</f>
        <v>0</v>
      </c>
      <c r="C75" s="37">
        <f>Multi!C866*C$11*LAFs!C$251*(1-Contrib!C$108)*100/(24*Input!$F$58)</f>
        <v>0.14473086992146619</v>
      </c>
      <c r="D75" s="37">
        <f>Multi!D866*D$11*LAFs!D$251*(1-Contrib!D$108)*100/(24*Input!$F$58)</f>
        <v>5.7249074536420683E-2</v>
      </c>
      <c r="E75" s="37">
        <f>Multi!E866*E$11*LAFs!E$251*(1-Contrib!E$108)*100/(24*Input!$F$58)</f>
        <v>0.14459058440025307</v>
      </c>
      <c r="F75" s="37">
        <f>Multi!F866*F$11*LAFs!F$251*(1-Contrib!F$108)*100/(24*Input!$F$58)</f>
        <v>9.120823180476334E-2</v>
      </c>
      <c r="G75" s="37">
        <f>Multi!G866*G$11*LAFs!G$251*(1-Contrib!G$108)*100/(24*Input!$F$58)</f>
        <v>0</v>
      </c>
      <c r="H75" s="37">
        <f>Multi!H866*H$11*LAFs!H$251*(1-Contrib!H$108)*100/(24*Input!$F$58)</f>
        <v>0.11591074737236656</v>
      </c>
      <c r="I75" s="37">
        <f>Multi!I866*I$11*LAFs!I$251*(1-Contrib!I$108)*100/(24*Input!$F$58)</f>
        <v>0.1052377323781036</v>
      </c>
      <c r="J75" s="37">
        <f>Multi!J866*J$11*LAFs!J$251*(1-Contrib!J$108)*100/(24*Input!$F$58)</f>
        <v>2.5002758217388637E-3</v>
      </c>
      <c r="K75" s="37">
        <f>Multi!B866*K$11*LAFs!B$251*(1-Contrib!K$108)*100/(24*Input!$F$58)</f>
        <v>6.9335116942766173E-2</v>
      </c>
      <c r="L75" s="37">
        <f>Multi!C866*L$11*LAFs!C$251*(1-Contrib!L$108)*100/(24*Input!$F$58)</f>
        <v>5.2765136125628088E-2</v>
      </c>
      <c r="M75" s="37">
        <f>Multi!D866*M$11*LAFs!D$251*(1-Contrib!M$108)*100/(24*Input!$F$58)</f>
        <v>2.0871533575522534E-2</v>
      </c>
      <c r="N75" s="37">
        <f>Multi!E866*N$11*LAFs!E$251*(1-Contrib!N$108)*100/(24*Input!$F$58)</f>
        <v>5.2713991648798211E-2</v>
      </c>
      <c r="O75" s="37">
        <f>Multi!F866*O$11*LAFs!F$251*(1-Contrib!O$108)*100/(24*Input!$F$58)</f>
        <v>3.3252164998162435E-2</v>
      </c>
      <c r="P75" s="37">
        <f>Multi!G866*P$11*LAFs!G$251*(1-Contrib!P$108)*100/(24*Input!$F$58)</f>
        <v>0</v>
      </c>
      <c r="Q75" s="37">
        <f>Multi!H866*Q$11*LAFs!H$251*(1-Contrib!Q$108)*100/(24*Input!$F$58)</f>
        <v>6.0368662853285605E-2</v>
      </c>
      <c r="R75" s="37">
        <f>Multi!I866*R$11*LAFs!I$251*(1-Contrib!R$108)*100/(24*Input!$F$58)</f>
        <v>5.480994066036559E-2</v>
      </c>
      <c r="S75" s="37">
        <f>Multi!J866*S$11*LAFs!J$251*(1-Contrib!S$108)*100/(24*Input!$F$58)</f>
        <v>3.0384532375448331E-2</v>
      </c>
      <c r="T75" s="17"/>
    </row>
    <row r="76" spans="1:20" x14ac:dyDescent="0.25">
      <c r="A76" s="4" t="s">
        <v>216</v>
      </c>
      <c r="B76" s="37">
        <f>Multi!B867*B$11*LAFs!B$252*(1-Contrib!B$109)*100/(24*Input!$F$58)</f>
        <v>0</v>
      </c>
      <c r="C76" s="37">
        <f>Multi!C867*C$11*LAFs!C$252*(1-Contrib!C$109)*100/(24*Input!$F$58)</f>
        <v>0.18580457164139302</v>
      </c>
      <c r="D76" s="37">
        <f>Multi!D867*D$11*LAFs!D$252*(1-Contrib!D$109)*100/(24*Input!$F$58)</f>
        <v>7.3495998309674695E-2</v>
      </c>
      <c r="E76" s="37">
        <f>Multi!E867*E$11*LAFs!E$252*(1-Contrib!E$109)*100/(24*Input!$F$58)</f>
        <v>0.16428290636294571</v>
      </c>
      <c r="F76" s="37">
        <f>Multi!F867*F$11*LAFs!F$252*(1-Contrib!F$109)*100/(24*Input!$F$58)</f>
        <v>0.10363021539240391</v>
      </c>
      <c r="G76" s="37">
        <f>Multi!G867*G$11*LAFs!G$252*(1-Contrib!G$109)*100/(24*Input!$F$58)</f>
        <v>0</v>
      </c>
      <c r="H76" s="37">
        <f>Multi!H867*H$11*LAFs!H$252*(1-Contrib!H$109)*100/(24*Input!$F$58)</f>
        <v>0.13169705714945729</v>
      </c>
      <c r="I76" s="37">
        <f>Multi!I867*I$11*LAFs!I$252*(1-Contrib!I$109)*100/(24*Input!$F$58)</f>
        <v>0.11957044510078403</v>
      </c>
      <c r="J76" s="37">
        <f>Multi!J867*J$11*LAFs!J$252*(1-Contrib!J$109)*100/(24*Input!$F$58)</f>
        <v>2.8407975554426497E-3</v>
      </c>
      <c r="K76" s="37">
        <f>Multi!B867*K$11*LAFs!B$252*(1-Contrib!K$109)*100/(24*Input!$F$58)</f>
        <v>0.10817301584023543</v>
      </c>
      <c r="L76" s="37">
        <f>Multi!C867*L$11*LAFs!C$252*(1-Contrib!L$109)*100/(24*Input!$F$58)</f>
        <v>6.7739546654711366E-2</v>
      </c>
      <c r="M76" s="37">
        <f>Multi!D867*M$11*LAFs!D$252*(1-Contrib!M$109)*100/(24*Input!$F$58)</f>
        <v>2.6794742252314322E-2</v>
      </c>
      <c r="N76" s="37">
        <f>Multi!E867*N$11*LAFs!E$252*(1-Contrib!N$109)*100/(24*Input!$F$58)</f>
        <v>5.9893303495365521E-2</v>
      </c>
      <c r="O76" s="37">
        <f>Multi!F867*O$11*LAFs!F$252*(1-Contrib!O$109)*100/(24*Input!$F$58)</f>
        <v>3.7780899298646038E-2</v>
      </c>
      <c r="P76" s="37">
        <f>Multi!G867*P$11*LAFs!G$252*(1-Contrib!P$109)*100/(24*Input!$F$58)</f>
        <v>0</v>
      </c>
      <c r="Q76" s="37">
        <f>Multi!H867*Q$11*LAFs!H$252*(1-Contrib!Q$109)*100/(24*Input!$F$58)</f>
        <v>6.8590492444023904E-2</v>
      </c>
      <c r="R76" s="37">
        <f>Multi!I867*R$11*LAFs!I$252*(1-Contrib!R$109)*100/(24*Input!$F$58)</f>
        <v>6.2274707489526494E-2</v>
      </c>
      <c r="S76" s="37">
        <f>Multi!J867*S$11*LAFs!J$252*(1-Contrib!S$109)*100/(24*Input!$F$58)</f>
        <v>3.4522713272254632E-2</v>
      </c>
      <c r="T76" s="17"/>
    </row>
    <row r="77" spans="1:20" x14ac:dyDescent="0.25">
      <c r="A77" s="4" t="s">
        <v>217</v>
      </c>
      <c r="B77" s="37">
        <f>Multi!B868*B$11*LAFs!B$253*(1-Contrib!B$110)*100/(24*Input!$F$58)</f>
        <v>0</v>
      </c>
      <c r="C77" s="37">
        <f>Multi!C868*C$11*LAFs!C$253*(1-Contrib!C$110)*100/(24*Input!$F$58)</f>
        <v>0.34238167139775755</v>
      </c>
      <c r="D77" s="37">
        <f>Multi!D868*D$11*LAFs!D$253*(1-Contrib!D$110)*100/(24*Input!$F$58)</f>
        <v>0.13543091281348907</v>
      </c>
      <c r="E77" s="37">
        <f>Multi!E868*E$11*LAFs!E$253*(1-Contrib!E$110)*100/(24*Input!$F$58)</f>
        <v>0.29588563151891761</v>
      </c>
      <c r="F77" s="37">
        <f>Multi!F868*F$11*LAFs!F$253*(1-Contrib!F$110)*100/(24*Input!$F$58)</f>
        <v>0.18664566146693706</v>
      </c>
      <c r="G77" s="37">
        <f>Multi!G868*G$11*LAFs!G$253*(1-Contrib!G$110)*100/(24*Input!$F$58)</f>
        <v>0</v>
      </c>
      <c r="H77" s="37">
        <f>Multi!H868*H$11*LAFs!H$253*(1-Contrib!H$110)*100/(24*Input!$F$58)</f>
        <v>0.23719611362219772</v>
      </c>
      <c r="I77" s="37">
        <f>Multi!I868*I$11*LAFs!I$253*(1-Contrib!I$110)*100/(24*Input!$F$58)</f>
        <v>0.2153551908893144</v>
      </c>
      <c r="J77" s="37">
        <f>Multi!J868*J$11*LAFs!J$253*(1-Contrib!J$110)*100/(24*Input!$F$58)</f>
        <v>5.1164859285636136E-3</v>
      </c>
      <c r="K77" s="37">
        <f>Multi!B868*K$11*LAFs!B$253*(1-Contrib!K$110)*100/(24*Input!$F$58)</f>
        <v>0.20546824826577392</v>
      </c>
      <c r="L77" s="37">
        <f>Multi!C868*L$11*LAFs!C$253*(1-Contrib!L$110)*100/(24*Input!$F$58)</f>
        <v>0.12482351213687594</v>
      </c>
      <c r="M77" s="37">
        <f>Multi!D868*M$11*LAFs!D$253*(1-Contrib!M$110)*100/(24*Input!$F$58)</f>
        <v>4.9374612023678141E-2</v>
      </c>
      <c r="N77" s="37">
        <f>Multi!E868*N$11*LAFs!E$253*(1-Contrib!N$110)*100/(24*Input!$F$58)</f>
        <v>0.10787225719837609</v>
      </c>
      <c r="O77" s="37">
        <f>Multi!F868*O$11*LAFs!F$253*(1-Contrib!O$110)*100/(24*Input!$F$58)</f>
        <v>6.8046186275980775E-2</v>
      </c>
      <c r="P77" s="37">
        <f>Multi!G868*P$11*LAFs!G$253*(1-Contrib!P$110)*100/(24*Input!$F$58)</f>
        <v>0</v>
      </c>
      <c r="Q77" s="37">
        <f>Multi!H868*Q$11*LAFs!H$253*(1-Contrib!Q$110)*100/(24*Input!$F$58)</f>
        <v>0.12353653598114767</v>
      </c>
      <c r="R77" s="37">
        <f>Multi!I868*R$11*LAFs!I$253*(1-Contrib!R$110)*100/(24*Input!$F$58)</f>
        <v>0.11216134143917526</v>
      </c>
      <c r="S77" s="37">
        <f>Multi!J868*S$11*LAFs!J$253*(1-Contrib!S$110)*100/(24*Input!$F$58)</f>
        <v>6.2177952925548799E-2</v>
      </c>
      <c r="T77" s="17"/>
    </row>
    <row r="78" spans="1:20" x14ac:dyDescent="0.25">
      <c r="A78" s="4" t="s">
        <v>218</v>
      </c>
      <c r="B78" s="37">
        <f>Multi!B869*B$11*LAFs!B$254*(1-Contrib!B$111)*100/(24*Input!$F$58)</f>
        <v>0</v>
      </c>
      <c r="C78" s="37">
        <f>Multi!C869*C$11*LAFs!C$254*(1-Contrib!C$111)*100/(24*Input!$F$58)</f>
        <v>0.12467790522273946</v>
      </c>
      <c r="D78" s="37">
        <f>Multi!D869*D$11*LAFs!D$254*(1-Contrib!D$111)*100/(24*Input!$F$58)</f>
        <v>4.9317016425137625E-2</v>
      </c>
      <c r="E78" s="37">
        <f>Multi!E869*E$11*LAFs!E$254*(1-Contrib!E$111)*100/(24*Input!$F$58)</f>
        <v>0.13960441771613083</v>
      </c>
      <c r="F78" s="37">
        <f>Multi!F869*F$11*LAFs!F$254*(1-Contrib!F$111)*100/(24*Input!$F$58)</f>
        <v>8.8062940922725708E-2</v>
      </c>
      <c r="G78" s="37">
        <f>Multi!G869*G$11*LAFs!G$254*(1-Contrib!G$111)*100/(24*Input!$F$58)</f>
        <v>0</v>
      </c>
      <c r="H78" s="37">
        <f>Multi!H869*H$11*LAFs!H$254*(1-Contrib!H$111)*100/(24*Input!$F$58)</f>
        <v>0.1119135970096574</v>
      </c>
      <c r="I78" s="37">
        <f>Multi!I869*I$11*LAFs!I$254*(1-Contrib!I$111)*100/(24*Input!$F$58)</f>
        <v>0.10160863801298428</v>
      </c>
      <c r="J78" s="37">
        <f>Multi!J869*J$11*LAFs!J$254*(1-Contrib!J$111)*100/(24*Input!$F$58)</f>
        <v>2.4140544951208025E-3</v>
      </c>
      <c r="K78" s="37">
        <f>Multi!B869*K$11*LAFs!B$254*(1-Contrib!K$111)*100/(24*Input!$F$58)</f>
        <v>4.621845829133004E-2</v>
      </c>
      <c r="L78" s="37">
        <f>Multi!C869*L$11*LAFs!C$254*(1-Contrib!L$111)*100/(24*Input!$F$58)</f>
        <v>4.5454343254522744E-2</v>
      </c>
      <c r="M78" s="37">
        <f>Multi!D869*M$11*LAFs!D$254*(1-Contrib!M$111)*100/(24*Input!$F$58)</f>
        <v>1.7979710108798754E-2</v>
      </c>
      <c r="N78" s="37">
        <f>Multi!E869*N$11*LAFs!E$254*(1-Contrib!N$111)*100/(24*Input!$F$58)</f>
        <v>5.0896164090824286E-2</v>
      </c>
      <c r="O78" s="37">
        <f>Multi!F869*O$11*LAFs!F$254*(1-Contrib!O$111)*100/(24*Input!$F$58)</f>
        <v>3.2105473199547076E-2</v>
      </c>
      <c r="P78" s="37">
        <f>Multi!G869*P$11*LAFs!G$254*(1-Contrib!P$111)*100/(24*Input!$F$58)</f>
        <v>0</v>
      </c>
      <c r="Q78" s="37">
        <f>Multi!H869*Q$11*LAFs!H$254*(1-Contrib!Q$111)*100/(24*Input!$F$58)</f>
        <v>5.8286866056263098E-2</v>
      </c>
      <c r="R78" s="37">
        <f>Multi!I869*R$11*LAFs!I$254*(1-Contrib!R$111)*100/(24*Input!$F$58)</f>
        <v>5.2919834875033739E-2</v>
      </c>
      <c r="S78" s="37">
        <f>Multi!J869*S$11*LAFs!J$254*(1-Contrib!S$111)*100/(24*Input!$F$58)</f>
        <v>2.9336730102074098E-2</v>
      </c>
      <c r="T78" s="17"/>
    </row>
    <row r="79" spans="1:20" x14ac:dyDescent="0.25">
      <c r="A79" s="4" t="s">
        <v>219</v>
      </c>
      <c r="B79" s="37">
        <f>Multi!B870*B$11*LAFs!B$255*(1-Contrib!B$112)*100/(24*Input!$F$58)</f>
        <v>0</v>
      </c>
      <c r="C79" s="37">
        <f>Multi!C870*C$11*LAFs!C$255*(1-Contrib!C$112)*100/(24*Input!$F$58)</f>
        <v>3.2606928792662275</v>
      </c>
      <c r="D79" s="37">
        <f>Multi!D870*D$11*LAFs!D$255*(1-Contrib!D$112)*100/(24*Input!$F$58)</f>
        <v>1.2897846173852208</v>
      </c>
      <c r="E79" s="37">
        <f>Multi!E870*E$11*LAFs!E$255*(1-Contrib!E$112)*100/(24*Input!$F$58)</f>
        <v>2.6621753070880865</v>
      </c>
      <c r="F79" s="37">
        <f>Multi!F870*F$11*LAFs!F$255*(1-Contrib!F$112)*100/(24*Input!$F$58)</f>
        <v>1.6793092269525558</v>
      </c>
      <c r="G79" s="37">
        <f>Multi!G870*G$11*LAFs!G$255*(1-Contrib!G$112)*100/(24*Input!$F$58)</f>
        <v>0</v>
      </c>
      <c r="H79" s="37">
        <f>Multi!H870*H$11*LAFs!H$255*(1-Contrib!H$112)*100/(24*Input!$F$58)</f>
        <v>2.1341274105833099</v>
      </c>
      <c r="I79" s="37">
        <f>Multi!I870*I$11*LAFs!I$255*(1-Contrib!I$112)*100/(24*Input!$F$58)</f>
        <v>1.9376178170453644</v>
      </c>
      <c r="J79" s="37">
        <f>Multi!J870*J$11*LAFs!J$255*(1-Contrib!J$112)*100/(24*Input!$F$58)</f>
        <v>4.6034619620300317E-2</v>
      </c>
      <c r="K79" s="37">
        <f>Multi!B870*K$11*LAFs!B$255*(1-Contrib!K$112)*100/(24*Input!$F$58)</f>
        <v>2.0965780496722233</v>
      </c>
      <c r="L79" s="37">
        <f>Multi!C870*L$11*LAFs!C$255*(1-Contrib!L$112)*100/(24*Input!$F$58)</f>
        <v>1.188764385453545</v>
      </c>
      <c r="M79" s="37">
        <f>Multi!D870*M$11*LAFs!D$255*(1-Contrib!M$112)*100/(24*Input!$F$58)</f>
        <v>0.47022215057506844</v>
      </c>
      <c r="N79" s="37">
        <f>Multi!E870*N$11*LAFs!E$255*(1-Contrib!N$112)*100/(24*Input!$F$58)</f>
        <v>0.9705603410316711</v>
      </c>
      <c r="O79" s="37">
        <f>Multi!F870*O$11*LAFs!F$255*(1-Contrib!O$112)*100/(24*Input!$F$58)</f>
        <v>0.61223276005496163</v>
      </c>
      <c r="P79" s="37">
        <f>Multi!G870*P$11*LAFs!G$255*(1-Contrib!P$112)*100/(24*Input!$F$58)</f>
        <v>0</v>
      </c>
      <c r="Q79" s="37">
        <f>Multi!H870*Q$11*LAFs!H$255*(1-Contrib!Q$112)*100/(24*Input!$F$58)</f>
        <v>1.1114967425891495</v>
      </c>
      <c r="R79" s="37">
        <f>Multi!I870*R$11*LAFs!I$255*(1-Contrib!R$112)*100/(24*Input!$F$58)</f>
        <v>1.0091505696185097</v>
      </c>
      <c r="S79" s="37">
        <f>Multi!J870*S$11*LAFs!J$255*(1-Contrib!S$112)*100/(24*Input!$F$58)</f>
        <v>0.55943443442639196</v>
      </c>
      <c r="T79" s="17"/>
    </row>
    <row r="80" spans="1:20" x14ac:dyDescent="0.25">
      <c r="A80" s="4" t="s">
        <v>184</v>
      </c>
      <c r="B80" s="37">
        <f>Multi!B871*B$11*LAFs!B$259*(1-Contrib!B$116)*100/(24*Input!$F$58)</f>
        <v>0</v>
      </c>
      <c r="C80" s="37">
        <f>Multi!C871*C$11*LAFs!C$259*(1-Contrib!C$116)*100/(24*Input!$F$58)</f>
        <v>-1.0438585486970788</v>
      </c>
      <c r="D80" s="37">
        <f>Multi!D871*D$11*LAFs!D$259*(1-Contrib!D$116)*100/(24*Input!$F$58)</f>
        <v>-0.41290386696539505</v>
      </c>
      <c r="E80" s="37">
        <f>Multi!E871*E$11*LAFs!E$259*(1-Contrib!E$116)*100/(24*Input!$F$58)</f>
        <v>-0.87970655178016766</v>
      </c>
      <c r="F80" s="37">
        <f>Multi!F871*F$11*LAFs!F$259*(1-Contrib!F$116)*100/(24*Input!$F$58)</f>
        <v>-0.55492188117052899</v>
      </c>
      <c r="G80" s="37">
        <f>Multi!G871*G$11*LAFs!G$259*(1-Contrib!G$116)*100/(24*Input!$F$58)</f>
        <v>0</v>
      </c>
      <c r="H80" s="37">
        <f>Multi!H871*H$11*LAFs!H$259*(1-Contrib!H$116)*100/(24*Input!$F$58)</f>
        <v>-0.70521496477905021</v>
      </c>
      <c r="I80" s="37">
        <f>Multi!I871*I$11*LAFs!I$259*(1-Contrib!I$116)*100/(24*Input!$F$58)</f>
        <v>-0.64027905448692291</v>
      </c>
      <c r="J80" s="37">
        <f>Multi!J871*J$11*LAFs!J$259*(1-Contrib!J$116)*100/(24*Input!$F$58)</f>
        <v>0</v>
      </c>
      <c r="K80" s="37">
        <f>Multi!B871*K$11*LAFs!B$259*(1-Contrib!K$116)*100/(24*Input!$F$58)</f>
        <v>-0.63095438612031973</v>
      </c>
      <c r="L80" s="37">
        <f>Multi!C871*L$11*LAFs!C$259*(1-Contrib!L$116)*100/(24*Input!$F$58)</f>
        <v>-0.38056385930513009</v>
      </c>
      <c r="M80" s="37">
        <f>Multi!D871*M$11*LAFs!D$259*(1-Contrib!M$116)*100/(24*Input!$F$58)</f>
        <v>-0.15053408273611096</v>
      </c>
      <c r="N80" s="37">
        <f>Multi!E871*N$11*LAFs!E$259*(1-Contrib!N$116)*100/(24*Input!$F$58)</f>
        <v>-0.32071828201181041</v>
      </c>
      <c r="O80" s="37">
        <f>Multi!F871*O$11*LAFs!F$259*(1-Contrib!O$116)*100/(24*Input!$F$58)</f>
        <v>-0.20231018175279933</v>
      </c>
      <c r="P80" s="37">
        <f>Multi!G871*P$11*LAFs!G$259*(1-Contrib!P$116)*100/(24*Input!$F$58)</f>
        <v>0</v>
      </c>
      <c r="Q80" s="37">
        <f>Multi!H871*Q$11*LAFs!H$259*(1-Contrib!Q$116)*100/(24*Input!$F$58)</f>
        <v>-0.36729022470255984</v>
      </c>
      <c r="R80" s="37">
        <f>Multi!I871*R$11*LAFs!I$259*(1-Contrib!R$116)*100/(24*Input!$F$58)</f>
        <v>-0.33347028855027883</v>
      </c>
      <c r="S80" s="37">
        <f>Multi!J871*S$11*LAFs!J$259*(1-Contrib!S$116)*100/(24*Input!$F$58)</f>
        <v>0</v>
      </c>
      <c r="T80" s="17"/>
    </row>
    <row r="81" spans="1:20" x14ac:dyDescent="0.25">
      <c r="A81" s="4" t="s">
        <v>186</v>
      </c>
      <c r="B81" s="37">
        <f>Multi!B872*B$11*LAFs!B$261*(1-Contrib!B$118)*100/(24*Input!$F$58)</f>
        <v>0</v>
      </c>
      <c r="C81" s="37">
        <f>Multi!C872*C$11*LAFs!C$261*(1-Contrib!C$118)*100/(24*Input!$F$58)</f>
        <v>-0.99437179289830824</v>
      </c>
      <c r="D81" s="37">
        <f>Multi!D872*D$11*LAFs!D$261*(1-Contrib!D$118)*100/(24*Input!$F$58)</f>
        <v>-0.39332911437234619</v>
      </c>
      <c r="E81" s="37">
        <f>Multi!E872*E$11*LAFs!E$261*(1-Contrib!E$118)*100/(24*Input!$F$58)</f>
        <v>-0.83800183675257955</v>
      </c>
      <c r="F81" s="37">
        <f>Multi!F872*F$11*LAFs!F$261*(1-Contrib!F$118)*100/(24*Input!$F$58)</f>
        <v>-0.52861440526284331</v>
      </c>
      <c r="G81" s="37">
        <f>Multi!G872*G$11*LAFs!G$261*(1-Contrib!G$118)*100/(24*Input!$F$58)</f>
        <v>0</v>
      </c>
      <c r="H81" s="37">
        <f>Multi!H872*H$11*LAFs!H$261*(1-Contrib!H$118)*100/(24*Input!$F$58)</f>
        <v>-0.67178246495307337</v>
      </c>
      <c r="I81" s="37">
        <f>Multi!I872*I$11*LAFs!I$261*(1-Contrib!I$118)*100/(24*Input!$F$58)</f>
        <v>0</v>
      </c>
      <c r="J81" s="37">
        <f>Multi!J872*J$11*LAFs!J$261*(1-Contrib!J$118)*100/(24*Input!$F$58)</f>
        <v>0</v>
      </c>
      <c r="K81" s="37">
        <f>Multi!B872*K$11*LAFs!B$261*(1-Contrib!K$118)*100/(24*Input!$F$58)</f>
        <v>-0.60104239692880312</v>
      </c>
      <c r="L81" s="37">
        <f>Multi!C872*L$11*LAFs!C$261*(1-Contrib!L$118)*100/(24*Input!$F$58)</f>
        <v>-0.36252226660583436</v>
      </c>
      <c r="M81" s="37">
        <f>Multi!D872*M$11*LAFs!D$261*(1-Contrib!M$118)*100/(24*Input!$F$58)</f>
        <v>-0.14339763364437144</v>
      </c>
      <c r="N81" s="37">
        <f>Multi!E872*N$11*LAFs!E$261*(1-Contrib!N$118)*100/(24*Input!$F$58)</f>
        <v>-0.30551382033265867</v>
      </c>
      <c r="O81" s="37">
        <f>Multi!F872*O$11*LAFs!F$261*(1-Contrib!O$118)*100/(24*Input!$F$58)</f>
        <v>-0.19271915567699432</v>
      </c>
      <c r="P81" s="37">
        <f>Multi!G872*P$11*LAFs!G$261*(1-Contrib!P$118)*100/(24*Input!$F$58)</f>
        <v>0</v>
      </c>
      <c r="Q81" s="37">
        <f>Multi!H872*Q$11*LAFs!H$261*(1-Contrib!Q$118)*100/(24*Input!$F$58)</f>
        <v>-0.34987790223816273</v>
      </c>
      <c r="R81" s="37">
        <f>Multi!I872*R$11*LAFs!I$261*(1-Contrib!R$118)*100/(24*Input!$F$58)</f>
        <v>0</v>
      </c>
      <c r="S81" s="37">
        <f>Multi!J872*S$11*LAFs!J$261*(1-Contrib!S$118)*100/(24*Input!$F$58)</f>
        <v>0</v>
      </c>
      <c r="T81" s="17"/>
    </row>
    <row r="82" spans="1:20" x14ac:dyDescent="0.25">
      <c r="A82" s="4" t="s">
        <v>195</v>
      </c>
      <c r="B82" s="37">
        <f>Multi!B873*B$11*LAFs!B$263*(1-Contrib!B$120)*100/(24*Input!$F$58)</f>
        <v>0</v>
      </c>
      <c r="C82" s="37">
        <f>Multi!C873*C$11*LAFs!C$263*(1-Contrib!C$120)*100/(24*Input!$F$58)</f>
        <v>-0.98150123833115233</v>
      </c>
      <c r="D82" s="37">
        <f>Multi!D873*D$11*LAFs!D$263*(1-Contrib!D$120)*100/(24*Input!$F$58)</f>
        <v>-0.38823809724421038</v>
      </c>
      <c r="E82" s="37">
        <f>Multi!E873*E$11*LAFs!E$263*(1-Contrib!E$120)*100/(24*Input!$F$58)</f>
        <v>-0.8271552415008534</v>
      </c>
      <c r="F82" s="37">
        <f>Multi!F873*F$11*LAFs!F$263*(1-Contrib!F$120)*100/(24*Input!$F$58)</f>
        <v>-0.22436210453712793</v>
      </c>
      <c r="G82" s="37">
        <f>Multi!G873*G$11*LAFs!G$263*(1-Contrib!G$120)*100/(24*Input!$F$58)</f>
        <v>0</v>
      </c>
      <c r="H82" s="37">
        <f>Multi!H873*H$11*LAFs!H$263*(1-Contrib!H$120)*100/(24*Input!$F$58)</f>
        <v>0</v>
      </c>
      <c r="I82" s="37">
        <f>Multi!I873*I$11*LAFs!I$263*(1-Contrib!I$120)*100/(24*Input!$F$58)</f>
        <v>0</v>
      </c>
      <c r="J82" s="37">
        <f>Multi!J873*J$11*LAFs!J$263*(1-Contrib!J$120)*100/(24*Input!$F$58)</f>
        <v>0</v>
      </c>
      <c r="K82" s="37">
        <f>Multi!B873*K$11*LAFs!B$263*(1-Contrib!K$120)*100/(24*Input!$F$58)</f>
        <v>-0.59326286313460841</v>
      </c>
      <c r="L82" s="37">
        <f>Multi!C873*L$11*LAFs!C$263*(1-Contrib!L$120)*100/(24*Input!$F$58)</f>
        <v>-0.35782999491482054</v>
      </c>
      <c r="M82" s="37">
        <f>Multi!D873*M$11*LAFs!D$263*(1-Contrib!M$120)*100/(24*Input!$F$58)</f>
        <v>-0.14154158032326758</v>
      </c>
      <c r="N82" s="37">
        <f>Multi!E873*N$11*LAFs!E$263*(1-Contrib!N$120)*100/(24*Input!$F$58)</f>
        <v>-0.30155943192010048</v>
      </c>
      <c r="O82" s="37">
        <f>Multi!F873*O$11*LAFs!F$263*(1-Contrib!O$120)*100/(24*Input!$F$58)</f>
        <v>-0.19022471403354496</v>
      </c>
      <c r="P82" s="37">
        <f>Multi!G873*P$11*LAFs!G$263*(1-Contrib!P$120)*100/(24*Input!$F$58)</f>
        <v>0</v>
      </c>
      <c r="Q82" s="37">
        <f>Multi!H873*Q$11*LAFs!H$263*(1-Contrib!Q$120)*100/(24*Input!$F$58)</f>
        <v>0</v>
      </c>
      <c r="R82" s="37">
        <f>Multi!I873*R$11*LAFs!I$263*(1-Contrib!R$120)*100/(24*Input!$F$58)</f>
        <v>0</v>
      </c>
      <c r="S82" s="37">
        <f>Multi!J873*S$11*LAFs!J$263*(1-Contrib!S$120)*100/(24*Input!$F$58)</f>
        <v>0</v>
      </c>
      <c r="T82" s="17"/>
    </row>
    <row r="84" spans="1:20" ht="21" customHeight="1" x14ac:dyDescent="0.3">
      <c r="A84" s="1" t="s">
        <v>978</v>
      </c>
    </row>
    <row r="85" spans="1:20" x14ac:dyDescent="0.25">
      <c r="A85" s="2" t="s">
        <v>350</v>
      </c>
    </row>
    <row r="86" spans="1:20" x14ac:dyDescent="0.25">
      <c r="A86" s="32" t="s">
        <v>979</v>
      </c>
    </row>
    <row r="87" spans="1:20" x14ac:dyDescent="0.25">
      <c r="A87" s="32" t="s">
        <v>976</v>
      </c>
    </row>
    <row r="88" spans="1:20" x14ac:dyDescent="0.25">
      <c r="A88" s="32" t="s">
        <v>797</v>
      </c>
    </row>
    <row r="89" spans="1:20" x14ac:dyDescent="0.25">
      <c r="A89" s="32" t="s">
        <v>972</v>
      </c>
    </row>
    <row r="90" spans="1:20" x14ac:dyDescent="0.25">
      <c r="A90" s="32" t="s">
        <v>740</v>
      </c>
    </row>
    <row r="91" spans="1:20" x14ac:dyDescent="0.25">
      <c r="A91" s="2" t="s">
        <v>977</v>
      </c>
    </row>
    <row r="93" spans="1:20" ht="30" x14ac:dyDescent="0.25">
      <c r="B93" s="15" t="s">
        <v>139</v>
      </c>
      <c r="C93" s="15" t="s">
        <v>313</v>
      </c>
      <c r="D93" s="15" t="s">
        <v>314</v>
      </c>
      <c r="E93" s="15" t="s">
        <v>315</v>
      </c>
      <c r="F93" s="15" t="s">
        <v>316</v>
      </c>
      <c r="G93" s="15" t="s">
        <v>317</v>
      </c>
      <c r="H93" s="15" t="s">
        <v>318</v>
      </c>
      <c r="I93" s="15" t="s">
        <v>319</v>
      </c>
      <c r="J93" s="15" t="s">
        <v>320</v>
      </c>
      <c r="K93" s="15" t="s">
        <v>301</v>
      </c>
      <c r="L93" s="15" t="s">
        <v>876</v>
      </c>
      <c r="M93" s="15" t="s">
        <v>877</v>
      </c>
      <c r="N93" s="15" t="s">
        <v>878</v>
      </c>
      <c r="O93" s="15" t="s">
        <v>879</v>
      </c>
      <c r="P93" s="15" t="s">
        <v>880</v>
      </c>
      <c r="Q93" s="15" t="s">
        <v>881</v>
      </c>
      <c r="R93" s="15" t="s">
        <v>882</v>
      </c>
      <c r="S93" s="15" t="s">
        <v>883</v>
      </c>
    </row>
    <row r="94" spans="1:20" x14ac:dyDescent="0.25">
      <c r="A94" s="4" t="s">
        <v>172</v>
      </c>
      <c r="B94" s="37">
        <f>Multi!B882*B$11*LAFs!B$238*(1-Contrib!B$95)*100/(24*Input!$F$58)</f>
        <v>0</v>
      </c>
      <c r="C94" s="37">
        <f>Multi!C882*C$11*LAFs!C$238*(1-Contrib!C$95)*100/(24*Input!$F$58)</f>
        <v>2.1762410221114321E-2</v>
      </c>
      <c r="D94" s="37">
        <f>Multi!D882*D$11*LAFs!D$238*(1-Contrib!D$95)*100/(24*Input!$F$58)</f>
        <v>8.6082384878690705E-3</v>
      </c>
      <c r="E94" s="37">
        <f>Multi!E882*E$11*LAFs!E$238*(1-Contrib!E$95)*100/(24*Input!$F$58)</f>
        <v>3.0237137464179883E-2</v>
      </c>
      <c r="F94" s="37">
        <f>Multi!F882*F$11*LAFs!F$238*(1-Contrib!F$95)*100/(24*Input!$F$58)</f>
        <v>1.9073689026051038E-2</v>
      </c>
      <c r="G94" s="37">
        <f>Multi!G882*G$11*LAFs!G$238*(1-Contrib!G$95)*100/(24*Input!$F$58)</f>
        <v>0</v>
      </c>
      <c r="H94" s="37">
        <f>Multi!H882*H$11*LAFs!H$238*(1-Contrib!H$95)*100/(24*Input!$F$58)</f>
        <v>2.4239539638156005E-2</v>
      </c>
      <c r="I94" s="37">
        <f>Multi!I882*I$11*LAFs!I$238*(1-Contrib!I$95)*100/(24*Input!$F$58)</f>
        <v>2.2007572578354725E-2</v>
      </c>
      <c r="J94" s="37">
        <f>Multi!J882*J$11*LAFs!J$238*(1-Contrib!J$95)*100/(24*Input!$F$58)</f>
        <v>5.2286380910533941E-4</v>
      </c>
      <c r="K94" s="37">
        <f>Multi!B882*K$11*LAFs!B$238*(1-Contrib!K$95)*100/(24*Input!$F$58)</f>
        <v>2.7999104116190974E-3</v>
      </c>
      <c r="L94" s="37">
        <f>Multi!C882*L$11*LAFs!C$238*(1-Contrib!L$95)*100/(24*Input!$F$58)</f>
        <v>7.9340125459202004E-3</v>
      </c>
      <c r="M94" s="37">
        <f>Multi!D882*M$11*LAFs!D$238*(1-Contrib!M$95)*100/(24*Input!$F$58)</f>
        <v>3.1383413632540755E-3</v>
      </c>
      <c r="N94" s="37">
        <f>Multi!E882*N$11*LAFs!E$238*(1-Contrib!N$95)*100/(24*Input!$F$58)</f>
        <v>1.1023679158513398E-2</v>
      </c>
      <c r="O94" s="37">
        <f>Multi!F882*O$11*LAFs!F$238*(1-Contrib!O$95)*100/(24*Input!$F$58)</f>
        <v>6.9537742599321628E-3</v>
      </c>
      <c r="P94" s="37">
        <f>Multi!G882*P$11*LAFs!G$238*(1-Contrib!P$95)*100/(24*Input!$F$58)</f>
        <v>0</v>
      </c>
      <c r="Q94" s="37">
        <f>Multi!H882*Q$11*LAFs!H$238*(1-Contrib!Q$95)*100/(24*Input!$F$58)</f>
        <v>1.2624442765723635E-2</v>
      </c>
      <c r="R94" s="37">
        <f>Multi!I882*R$11*LAFs!I$238*(1-Contrib!R$95)*100/(24*Input!$F$58)</f>
        <v>1.1461989153894842E-2</v>
      </c>
      <c r="S94" s="37">
        <f>Multi!J882*S$11*LAFs!J$238*(1-Contrib!S$95)*100/(24*Input!$F$58)</f>
        <v>6.3540878960556121E-3</v>
      </c>
      <c r="T94" s="17"/>
    </row>
    <row r="95" spans="1:20" x14ac:dyDescent="0.25">
      <c r="A95" s="4" t="s">
        <v>174</v>
      </c>
      <c r="B95" s="37">
        <f>Multi!B883*B$11*LAFs!B$241*(1-Contrib!B$98)*100/(24*Input!$F$58)</f>
        <v>0</v>
      </c>
      <c r="C95" s="37">
        <f>Multi!C883*C$11*LAFs!C$241*(1-Contrib!C$98)*100/(24*Input!$F$58)</f>
        <v>1.8251136138600545E-2</v>
      </c>
      <c r="D95" s="37">
        <f>Multi!D883*D$11*LAFs!D$241*(1-Contrib!D$98)*100/(24*Input!$F$58)</f>
        <v>7.2193351269156719E-3</v>
      </c>
      <c r="E95" s="37">
        <f>Multi!E883*E$11*LAFs!E$241*(1-Contrib!E$98)*100/(24*Input!$F$58)</f>
        <v>2.5358130335189827E-2</v>
      </c>
      <c r="F95" s="37">
        <f>Multi!F883*F$11*LAFs!F$241*(1-Contrib!F$98)*100/(24*Input!$F$58)</f>
        <v>1.5995994755405019E-2</v>
      </c>
      <c r="G95" s="37">
        <f>Multi!G883*G$11*LAFs!G$241*(1-Contrib!G$98)*100/(24*Input!$F$58)</f>
        <v>0</v>
      </c>
      <c r="H95" s="37">
        <f>Multi!H883*H$11*LAFs!H$241*(1-Contrib!H$98)*100/(24*Input!$F$58)</f>
        <v>2.0328293514474439E-2</v>
      </c>
      <c r="I95" s="37">
        <f>Multi!I883*I$11*LAFs!I$241*(1-Contrib!I$98)*100/(24*Input!$F$58)</f>
        <v>1.8456472424487325E-2</v>
      </c>
      <c r="J95" s="37">
        <f>Multi!J883*J$11*LAFs!J$241*(1-Contrib!J$98)*100/(24*Input!$F$58)</f>
        <v>4.3849549695482799E-4</v>
      </c>
      <c r="K95" s="37">
        <f>Multi!B883*K$11*LAFs!B$241*(1-Contrib!K$98)*100/(24*Input!$F$58)</f>
        <v>2.3481923874902875E-3</v>
      </c>
      <c r="L95" s="37">
        <f>Multi!C883*L$11*LAFs!C$241*(1-Contrib!L$98)*100/(24*Input!$F$58)</f>
        <v>6.6538927273993697E-3</v>
      </c>
      <c r="M95" s="37">
        <f>Multi!D883*M$11*LAFs!D$241*(1-Contrib!M$98)*100/(24*Input!$F$58)</f>
        <v>2.631983079455915E-3</v>
      </c>
      <c r="N95" s="37">
        <f>Multi!E883*N$11*LAFs!E$241*(1-Contrib!N$98)*100/(24*Input!$F$58)</f>
        <v>9.2449192059285545E-3</v>
      </c>
      <c r="O95" s="37">
        <f>Multi!F883*O$11*LAFs!F$241*(1-Contrib!O$98)*100/(24*Input!$F$58)</f>
        <v>5.8317264395064206E-3</v>
      </c>
      <c r="P95" s="37">
        <f>Multi!G883*P$11*LAFs!G$241*(1-Contrib!P$98)*100/(24*Input!$F$58)</f>
        <v>0</v>
      </c>
      <c r="Q95" s="37">
        <f>Multi!H883*Q$11*LAFs!H$241*(1-Contrib!Q$98)*100/(24*Input!$F$58)</f>
        <v>1.0587386634783322E-2</v>
      </c>
      <c r="R95" s="37">
        <f>Multi!I883*R$11*LAFs!I$241*(1-Contrib!R$98)*100/(24*Input!$F$58)</f>
        <v>9.6125043321087702E-3</v>
      </c>
      <c r="S95" s="37">
        <f>Multi!J883*S$11*LAFs!J$241*(1-Contrib!S$98)*100/(24*Input!$F$58)</f>
        <v>5.3288043294544224E-3</v>
      </c>
      <c r="T95" s="17"/>
    </row>
    <row r="96" spans="1:20" x14ac:dyDescent="0.25">
      <c r="A96" s="4" t="s">
        <v>175</v>
      </c>
      <c r="B96" s="37">
        <f>Multi!B884*B$11*LAFs!B$243*(1-Contrib!B$100)*100/(24*Input!$F$58)</f>
        <v>0</v>
      </c>
      <c r="C96" s="37">
        <f>Multi!C884*C$11*LAFs!C$243*(1-Contrib!C$100)*100/(24*Input!$F$58)</f>
        <v>1.3813342942816083E-2</v>
      </c>
      <c r="D96" s="37">
        <f>Multi!D884*D$11*LAFs!D$243*(1-Contrib!D$100)*100/(24*Input!$F$58)</f>
        <v>5.4639421441985579E-3</v>
      </c>
      <c r="E96" s="37">
        <f>Multi!E884*E$11*LAFs!E$243*(1-Contrib!E$100)*100/(24*Input!$F$58)</f>
        <v>1.9192540952865204E-2</v>
      </c>
      <c r="F96" s="37">
        <f>Multi!F884*F$11*LAFs!F$243*(1-Contrib!F$100)*100/(24*Input!$F$58)</f>
        <v>1.2106720028916898E-2</v>
      </c>
      <c r="G96" s="37">
        <f>Multi!G884*G$11*LAFs!G$243*(1-Contrib!G$100)*100/(24*Input!$F$58)</f>
        <v>0</v>
      </c>
      <c r="H96" s="37">
        <f>Multi!H884*H$11*LAFs!H$243*(1-Contrib!H$100)*100/(24*Input!$F$58)</f>
        <v>1.5385661348896689E-2</v>
      </c>
      <c r="I96" s="37">
        <f>Multi!I884*I$11*LAFs!I$243*(1-Contrib!I$100)*100/(24*Input!$F$58)</f>
        <v>1.39689558405982E-2</v>
      </c>
      <c r="J96" s="37">
        <f>Multi!J884*J$11*LAFs!J$243*(1-Contrib!J$100)*100/(24*Input!$F$58)</f>
        <v>3.3187946712592348E-4</v>
      </c>
      <c r="K96" s="37">
        <f>Multi!B884*K$11*LAFs!B$243*(1-Contrib!K$100)*100/(24*Input!$F$58)</f>
        <v>1.7771984964850801E-3</v>
      </c>
      <c r="L96" s="37">
        <f>Multi!C884*L$11*LAFs!C$243*(1-Contrib!L$100)*100/(24*Input!$F$58)</f>
        <v>5.0359879763257837E-3</v>
      </c>
      <c r="M96" s="37">
        <f>Multi!D884*M$11*LAFs!D$243*(1-Contrib!M$100)*100/(24*Input!$F$58)</f>
        <v>1.9920121476339737E-3</v>
      </c>
      <c r="N96" s="37">
        <f>Multi!E884*N$11*LAFs!E$243*(1-Contrib!N$100)*100/(24*Input!$F$58)</f>
        <v>6.9971046019700793E-3</v>
      </c>
      <c r="O96" s="37">
        <f>Multi!F884*O$11*LAFs!F$243*(1-Contrib!O$100)*100/(24*Input!$F$58)</f>
        <v>4.4137973516451632E-3</v>
      </c>
      <c r="P96" s="37">
        <f>Multi!G884*P$11*LAFs!G$243*(1-Contrib!P$100)*100/(24*Input!$F$58)</f>
        <v>0</v>
      </c>
      <c r="Q96" s="37">
        <f>Multi!H884*Q$11*LAFs!H$243*(1-Contrib!Q$100)*100/(24*Input!$F$58)</f>
        <v>8.0131637816339626E-3</v>
      </c>
      <c r="R96" s="37">
        <f>Multi!I884*R$11*LAFs!I$243*(1-Contrib!R$100)*100/(24*Input!$F$58)</f>
        <v>7.2753148838254319E-3</v>
      </c>
      <c r="S96" s="37">
        <f>Multi!J884*S$11*LAFs!J$243*(1-Contrib!S$100)*100/(24*Input!$F$58)</f>
        <v>4.0331559926140674E-3</v>
      </c>
      <c r="T96" s="17"/>
    </row>
    <row r="97" spans="1:20" x14ac:dyDescent="0.25">
      <c r="A97" s="4" t="s">
        <v>176</v>
      </c>
      <c r="B97" s="37">
        <f>Multi!B885*B$11*LAFs!B$244*(1-Contrib!B$101)*100/(24*Input!$F$58)</f>
        <v>0</v>
      </c>
      <c r="C97" s="37">
        <f>Multi!C885*C$11*LAFs!C$244*(1-Contrib!C$101)*100/(24*Input!$F$58)</f>
        <v>1.3158486468412502E-2</v>
      </c>
      <c r="D97" s="37">
        <f>Multi!D885*D$11*LAFs!D$244*(1-Contrib!D$101)*100/(24*Input!$F$58)</f>
        <v>5.2049101413222474E-3</v>
      </c>
      <c r="E97" s="37">
        <f>Multi!E885*E$11*LAFs!E$244*(1-Contrib!E$101)*100/(24*Input!$F$58)</f>
        <v>1.8282669985694572E-2</v>
      </c>
      <c r="F97" s="37">
        <f>Multi!F885*F$11*LAFs!F$244*(1-Contrib!F$101)*100/(24*Input!$F$58)</f>
        <v>1.1532770332051454E-2</v>
      </c>
      <c r="G97" s="37">
        <f>Multi!G885*G$11*LAFs!G$244*(1-Contrib!G$101)*100/(24*Input!$F$58)</f>
        <v>0</v>
      </c>
      <c r="H97" s="37">
        <f>Multi!H885*H$11*LAFs!H$244*(1-Contrib!H$101)*100/(24*Input!$F$58)</f>
        <v>1.4656265141981704E-2</v>
      </c>
      <c r="I97" s="37">
        <f>Multi!I885*I$11*LAFs!I$244*(1-Contrib!I$101)*100/(24*Input!$F$58)</f>
        <v>5.7028809184391156E-4</v>
      </c>
      <c r="J97" s="37">
        <f>Multi!J885*J$11*LAFs!J$244*(1-Contrib!J$101)*100/(24*Input!$F$58)</f>
        <v>0</v>
      </c>
      <c r="K97" s="37">
        <f>Multi!B885*K$11*LAFs!B$244*(1-Contrib!K$101)*100/(24*Input!$F$58)</f>
        <v>1.6929459048755432E-3</v>
      </c>
      <c r="L97" s="37">
        <f>Multi!C885*L$11*LAFs!C$244*(1-Contrib!L$101)*100/(24*Input!$F$58)</f>
        <v>4.7972442236391358E-3</v>
      </c>
      <c r="M97" s="37">
        <f>Multi!D885*M$11*LAFs!D$244*(1-Contrib!M$101)*100/(24*Input!$F$58)</f>
        <v>1.8975757713441117E-3</v>
      </c>
      <c r="N97" s="37">
        <f>Multi!E885*N$11*LAFs!E$244*(1-Contrib!N$101)*100/(24*Input!$F$58)</f>
        <v>6.6653891533890973E-3</v>
      </c>
      <c r="O97" s="37">
        <f>Multi!F885*O$11*LAFs!F$244*(1-Contrib!O$101)*100/(24*Input!$F$58)</f>
        <v>4.2045501198638502E-3</v>
      </c>
      <c r="P97" s="37">
        <f>Multi!G885*P$11*LAFs!G$244*(1-Contrib!P$101)*100/(24*Input!$F$58)</f>
        <v>0</v>
      </c>
      <c r="Q97" s="37">
        <f>Multi!H885*Q$11*LAFs!H$244*(1-Contrib!Q$101)*100/(24*Input!$F$58)</f>
        <v>7.6332794766845683E-3</v>
      </c>
      <c r="R97" s="37">
        <f>Multi!I885*R$11*LAFs!I$244*(1-Contrib!R$101)*100/(24*Input!$F$58)</f>
        <v>6.9304101728716221E-3</v>
      </c>
      <c r="S97" s="37">
        <f>Multi!J885*S$11*LAFs!J$244*(1-Contrib!S$101)*100/(24*Input!$F$58)</f>
        <v>0</v>
      </c>
      <c r="T97" s="17"/>
    </row>
    <row r="98" spans="1:20" x14ac:dyDescent="0.25">
      <c r="A98" s="4" t="s">
        <v>192</v>
      </c>
      <c r="B98" s="37">
        <f>Multi!B886*B$11*LAFs!B$245*(1-Contrib!B$102)*100/(24*Input!$F$58)</f>
        <v>0</v>
      </c>
      <c r="C98" s="37">
        <f>Multi!C886*C$11*LAFs!C$245*(1-Contrib!C$102)*100/(24*Input!$F$58)</f>
        <v>1.6410360099574885E-2</v>
      </c>
      <c r="D98" s="37">
        <f>Multi!D886*D$11*LAFs!D$245*(1-Contrib!D$102)*100/(24*Input!$F$58)</f>
        <v>6.4912062576549549E-3</v>
      </c>
      <c r="E98" s="37">
        <f>Multi!E886*E$11*LAFs!E$245*(1-Contrib!E$102)*100/(24*Input!$F$58)</f>
        <v>2.2800889659092684E-2</v>
      </c>
      <c r="F98" s="37">
        <f>Multi!F886*F$11*LAFs!F$245*(1-Contrib!F$102)*100/(24*Input!$F$58)</f>
        <v>6.1846378195592839E-3</v>
      </c>
      <c r="G98" s="37">
        <f>Multi!G886*G$11*LAFs!G$245*(1-Contrib!G$102)*100/(24*Input!$F$58)</f>
        <v>0</v>
      </c>
      <c r="H98" s="37">
        <f>Multi!H886*H$11*LAFs!H$245*(1-Contrib!H$102)*100/(24*Input!$F$58)</f>
        <v>2.3500654376161279E-3</v>
      </c>
      <c r="I98" s="37">
        <f>Multi!I886*I$11*LAFs!I$245*(1-Contrib!I$102)*100/(24*Input!$F$58)</f>
        <v>0</v>
      </c>
      <c r="J98" s="37">
        <f>Multi!J886*J$11*LAFs!J$245*(1-Contrib!J$102)*100/(24*Input!$F$58)</f>
        <v>0</v>
      </c>
      <c r="K98" s="37">
        <f>Multi!B886*K$11*LAFs!B$245*(1-Contrib!K$102)*100/(24*Input!$F$58)</f>
        <v>2.1113257968383989E-3</v>
      </c>
      <c r="L98" s="37">
        <f>Multi!C886*L$11*LAFs!C$245*(1-Contrib!L$102)*100/(24*Input!$F$58)</f>
        <v>5.9827933390747684E-3</v>
      </c>
      <c r="M98" s="37">
        <f>Multi!D886*M$11*LAFs!D$245*(1-Contrib!M$102)*100/(24*Input!$F$58)</f>
        <v>2.3665261045590687E-3</v>
      </c>
      <c r="N98" s="37">
        <f>Multi!E886*N$11*LAFs!E$245*(1-Contrib!N$102)*100/(24*Input!$F$58)</f>
        <v>8.3126153204238495E-3</v>
      </c>
      <c r="O98" s="37">
        <f>Multi!F886*O$11*LAFs!F$245*(1-Contrib!O$102)*100/(24*Input!$F$58)</f>
        <v>5.2436259815526335E-3</v>
      </c>
      <c r="P98" s="37">
        <f>Multi!G886*P$11*LAFs!G$245*(1-Contrib!P$102)*100/(24*Input!$F$58)</f>
        <v>0</v>
      </c>
      <c r="Q98" s="37">
        <f>Multi!H886*Q$11*LAFs!H$245*(1-Contrib!Q$102)*100/(24*Input!$F$58)</f>
        <v>9.5197016202275154E-3</v>
      </c>
      <c r="R98" s="37">
        <f>Multi!I886*R$11*LAFs!I$245*(1-Contrib!R$102)*100/(24*Input!$F$58)</f>
        <v>0</v>
      </c>
      <c r="S98" s="37">
        <f>Multi!J886*S$11*LAFs!J$245*(1-Contrib!S$102)*100/(24*Input!$F$58)</f>
        <v>0</v>
      </c>
      <c r="T98" s="17"/>
    </row>
    <row r="99" spans="1:20" x14ac:dyDescent="0.25">
      <c r="A99" s="4" t="s">
        <v>177</v>
      </c>
      <c r="B99" s="37">
        <f>Multi!B887*B$11*LAFs!B$246*(1-Contrib!B$103)*100/(24*Input!$F$58)</f>
        <v>0</v>
      </c>
      <c r="C99" s="37">
        <f>Multi!C887*C$11*LAFs!C$246*(1-Contrib!C$103)*100/(24*Input!$F$58)</f>
        <v>0.14777144645466794</v>
      </c>
      <c r="D99" s="37">
        <f>Multi!D887*D$11*LAFs!D$246*(1-Contrib!D$103)*100/(24*Input!$F$58)</f>
        <v>5.8451790948457802E-2</v>
      </c>
      <c r="E99" s="37">
        <f>Multi!E887*E$11*LAFs!E$246*(1-Contrib!E$103)*100/(24*Input!$F$58)</f>
        <v>0.20239851997197436</v>
      </c>
      <c r="F99" s="37">
        <f>Multi!F887*F$11*LAFs!F$246*(1-Contrib!F$103)*100/(24*Input!$F$58)</f>
        <v>0.1276736739333115</v>
      </c>
      <c r="G99" s="37">
        <f>Multi!G887*G$11*LAFs!G$246*(1-Contrib!G$103)*100/(24*Input!$F$58)</f>
        <v>0</v>
      </c>
      <c r="H99" s="37">
        <f>Multi!H887*H$11*LAFs!H$246*(1-Contrib!H$103)*100/(24*Input!$F$58)</f>
        <v>0.16225236113625774</v>
      </c>
      <c r="I99" s="37">
        <f>Multi!I887*I$11*LAFs!I$246*(1-Contrib!I$103)*100/(24*Input!$F$58)</f>
        <v>0.14731222898700463</v>
      </c>
      <c r="J99" s="37">
        <f>Multi!J887*J$11*LAFs!J$246*(1-Contrib!J$103)*100/(24*Input!$F$58)</f>
        <v>3.4998968151398694E-3</v>
      </c>
      <c r="K99" s="37">
        <f>Multi!B887*K$11*LAFs!B$246*(1-Contrib!K$103)*100/(24*Input!$F$58)</f>
        <v>2.8460092324639086E-2</v>
      </c>
      <c r="L99" s="37">
        <f>Multi!C887*L$11*LAFs!C$246*(1-Contrib!L$103)*100/(24*Input!$F$58)</f>
        <v>5.3873651777899344E-2</v>
      </c>
      <c r="M99" s="37">
        <f>Multi!D887*M$11*LAFs!D$246*(1-Contrib!M$103)*100/(24*Input!$F$58)</f>
        <v>2.1310012907790086E-2</v>
      </c>
      <c r="N99" s="37">
        <f>Multi!E887*N$11*LAFs!E$246*(1-Contrib!N$103)*100/(24*Input!$F$58)</f>
        <v>7.378927151990336E-2</v>
      </c>
      <c r="O99" s="37">
        <f>Multi!F887*O$11*LAFs!F$246*(1-Contrib!O$103)*100/(24*Input!$F$58)</f>
        <v>4.6546523132250293E-2</v>
      </c>
      <c r="P99" s="37">
        <f>Multi!G887*P$11*LAFs!G$246*(1-Contrib!P$103)*100/(24*Input!$F$58)</f>
        <v>0</v>
      </c>
      <c r="Q99" s="37">
        <f>Multi!H887*Q$11*LAFs!H$246*(1-Contrib!Q$103)*100/(24*Input!$F$58)</f>
        <v>8.4504313091155414E-2</v>
      </c>
      <c r="R99" s="37">
        <f>Multi!I887*R$11*LAFs!I$246*(1-Contrib!R$103)*100/(24*Input!$F$58)</f>
        <v>7.6723189932624142E-2</v>
      </c>
      <c r="S99" s="37">
        <f>Multi!J887*S$11*LAFs!J$246*(1-Contrib!S$103)*100/(24*Input!$F$58)</f>
        <v>4.2532398692072225E-2</v>
      </c>
      <c r="T99" s="17"/>
    </row>
    <row r="100" spans="1:20" x14ac:dyDescent="0.25">
      <c r="A100" s="4" t="s">
        <v>178</v>
      </c>
      <c r="B100" s="37">
        <f>Multi!B888*B$11*LAFs!B$247*(1-Contrib!B$104)*100/(24*Input!$F$58)</f>
        <v>0</v>
      </c>
      <c r="C100" s="37">
        <f>Multi!C888*C$11*LAFs!C$247*(1-Contrib!C$104)*100/(24*Input!$F$58)</f>
        <v>0.14370164078670752</v>
      </c>
      <c r="D100" s="37">
        <f>Multi!D888*D$11*LAFs!D$247*(1-Contrib!D$104)*100/(24*Input!$F$58)</f>
        <v>5.6841957412873872E-2</v>
      </c>
      <c r="E100" s="37">
        <f>Multi!E888*E$11*LAFs!E$247*(1-Contrib!E$104)*100/(24*Input!$F$58)</f>
        <v>0.19676490732250448</v>
      </c>
      <c r="F100" s="37">
        <f>Multi!F888*F$11*LAFs!F$247*(1-Contrib!F$104)*100/(24*Input!$F$58)</f>
        <v>0.1241199719369995</v>
      </c>
      <c r="G100" s="37">
        <f>Multi!G888*G$11*LAFs!G$247*(1-Contrib!G$104)*100/(24*Input!$F$58)</f>
        <v>0</v>
      </c>
      <c r="H100" s="37">
        <f>Multi!H888*H$11*LAFs!H$247*(1-Contrib!H$104)*100/(24*Input!$F$58)</f>
        <v>0.15773618703463807</v>
      </c>
      <c r="I100" s="37">
        <f>Multi!I888*I$11*LAFs!I$247*(1-Contrib!I$104)*100/(24*Input!$F$58)</f>
        <v>0.14321190238008227</v>
      </c>
      <c r="J100" s="37">
        <f>Multi!J888*J$11*LAFs!J$247*(1-Contrib!J$104)*100/(24*Input!$F$58)</f>
        <v>3.4024797837685851E-3</v>
      </c>
      <c r="K100" s="37">
        <f>Multi!B888*K$11*LAFs!B$247*(1-Contrib!K$104)*100/(24*Input!$F$58)</f>
        <v>2.7691704897787661E-2</v>
      </c>
      <c r="L100" s="37">
        <f>Multi!C888*L$11*LAFs!C$247*(1-Contrib!L$104)*100/(24*Input!$F$58)</f>
        <v>5.2389905772701501E-2</v>
      </c>
      <c r="M100" s="37">
        <f>Multi!D888*M$11*LAFs!D$247*(1-Contrib!M$104)*100/(24*Input!$F$58)</f>
        <v>2.0723109189939293E-2</v>
      </c>
      <c r="N100" s="37">
        <f>Multi!E888*N$11*LAFs!E$247*(1-Contrib!N$104)*100/(24*Input!$F$58)</f>
        <v>7.1735401889397851E-2</v>
      </c>
      <c r="O100" s="37">
        <f>Multi!F888*O$11*LAFs!F$247*(1-Contrib!O$104)*100/(24*Input!$F$58)</f>
        <v>4.5250935192462011E-2</v>
      </c>
      <c r="P100" s="37">
        <f>Multi!G888*P$11*LAFs!G$247*(1-Contrib!P$104)*100/(24*Input!$F$58)</f>
        <v>0</v>
      </c>
      <c r="Q100" s="37">
        <f>Multi!H888*Q$11*LAFs!H$247*(1-Contrib!Q$104)*100/(24*Input!$F$58)</f>
        <v>8.2152198227711651E-2</v>
      </c>
      <c r="R100" s="37">
        <f>Multi!I888*R$11*LAFs!I$247*(1-Contrib!R$104)*100/(24*Input!$F$58)</f>
        <v>7.4587656859694734E-2</v>
      </c>
      <c r="S100" s="37">
        <f>Multi!J888*S$11*LAFs!J$247*(1-Contrib!S$104)*100/(24*Input!$F$58)</f>
        <v>4.1348540928106685E-2</v>
      </c>
      <c r="T100" s="17"/>
    </row>
    <row r="101" spans="1:20" x14ac:dyDescent="0.25">
      <c r="A101" s="4" t="s">
        <v>179</v>
      </c>
      <c r="B101" s="37">
        <f>Multi!B889*B$11*LAFs!B$248*(1-Contrib!B$105)*100/(24*Input!$F$58)</f>
        <v>0</v>
      </c>
      <c r="C101" s="37">
        <f>Multi!C889*C$11*LAFs!C$248*(1-Contrib!C$105)*100/(24*Input!$F$58)</f>
        <v>0.12505425325538078</v>
      </c>
      <c r="D101" s="37">
        <f>Multi!D889*D$11*LAFs!D$248*(1-Contrib!D$105)*100/(24*Input!$F$58)</f>
        <v>4.9465882914947364E-2</v>
      </c>
      <c r="E101" s="37">
        <f>Multi!E889*E$11*LAFs!E$248*(1-Contrib!E$105)*100/(24*Input!$F$58)</f>
        <v>0.17125034376595785</v>
      </c>
      <c r="F101" s="37">
        <f>Multi!F889*F$11*LAFs!F$248*(1-Contrib!F$105)*100/(24*Input!$F$58)</f>
        <v>0.10802529857416882</v>
      </c>
      <c r="G101" s="37">
        <f>Multi!G889*G$11*LAFs!G$248*(1-Contrib!G$105)*100/(24*Input!$F$58)</f>
        <v>0</v>
      </c>
      <c r="H101" s="37">
        <f>Multi!H889*H$11*LAFs!H$248*(1-Contrib!H$105)*100/(24*Input!$F$58)</f>
        <v>0.13728248914700514</v>
      </c>
      <c r="I101" s="37">
        <f>Multi!I889*I$11*LAFs!I$248*(1-Contrib!I$105)*100/(24*Input!$F$58)</f>
        <v>0.12464157276667437</v>
      </c>
      <c r="J101" s="37">
        <f>Multi!J889*J$11*LAFs!J$248*(1-Contrib!J$105)*100/(24*Input!$F$58)</f>
        <v>2.9612792268494618E-3</v>
      </c>
      <c r="K101" s="37">
        <f>Multi!B889*K$11*LAFs!B$248*(1-Contrib!K$105)*100/(24*Input!$F$58)</f>
        <v>2.4093069017719928E-2</v>
      </c>
      <c r="L101" s="37">
        <f>Multi!C889*L$11*LAFs!C$248*(1-Contrib!L$105)*100/(24*Input!$F$58)</f>
        <v>4.5591550024465521E-2</v>
      </c>
      <c r="M101" s="37">
        <f>Multi!D889*M$11*LAFs!D$248*(1-Contrib!M$105)*100/(24*Input!$F$58)</f>
        <v>1.8033982985094031E-2</v>
      </c>
      <c r="N101" s="37">
        <f>Multi!E889*N$11*LAFs!E$248*(1-Contrib!N$105)*100/(24*Input!$F$58)</f>
        <v>6.2433451172334606E-2</v>
      </c>
      <c r="O101" s="37">
        <f>Multi!F889*O$11*LAFs!F$248*(1-Contrib!O$105)*100/(24*Input!$F$58)</f>
        <v>3.9383233081999369E-2</v>
      </c>
      <c r="P101" s="37">
        <f>Multi!G889*P$11*LAFs!G$248*(1-Contrib!P$105)*100/(24*Input!$F$58)</f>
        <v>0</v>
      </c>
      <c r="Q101" s="37">
        <f>Multi!H889*Q$11*LAFs!H$248*(1-Contrib!Q$105)*100/(24*Input!$F$58)</f>
        <v>7.1499498457648372E-2</v>
      </c>
      <c r="R101" s="37">
        <f>Multi!I889*R$11*LAFs!I$248*(1-Contrib!R$105)*100/(24*Input!$F$58)</f>
        <v>6.4915853399531112E-2</v>
      </c>
      <c r="S101" s="37">
        <f>Multi!J889*S$11*LAFs!J$248*(1-Contrib!S$105)*100/(24*Input!$F$58)</f>
        <v>3.5986863432680719E-2</v>
      </c>
      <c r="T101" s="17"/>
    </row>
    <row r="102" spans="1:20" x14ac:dyDescent="0.25">
      <c r="A102" s="4" t="s">
        <v>180</v>
      </c>
      <c r="B102" s="37">
        <f>Multi!B890*B$11*LAFs!B$249*(1-Contrib!B$106)*100/(24*Input!$F$58)</f>
        <v>0</v>
      </c>
      <c r="C102" s="37">
        <f>Multi!C890*C$11*LAFs!C$249*(1-Contrib!C$106)*100/(24*Input!$F$58)</f>
        <v>0.11815702101927118</v>
      </c>
      <c r="D102" s="37">
        <f>Multi!D890*D$11*LAFs!D$249*(1-Contrib!D$106)*100/(24*Input!$F$58)</f>
        <v>4.6737645583172178E-2</v>
      </c>
      <c r="E102" s="37">
        <f>Multi!E890*E$11*LAFs!E$249*(1-Contrib!E$106)*100/(24*Input!$F$58)</f>
        <v>0.16180521606562029</v>
      </c>
      <c r="F102" s="37">
        <f>Multi!F890*F$11*LAFs!F$249*(1-Contrib!F$106)*100/(24*Input!$F$58)</f>
        <v>0.10206727993629362</v>
      </c>
      <c r="G102" s="37">
        <f>Multi!G890*G$11*LAFs!G$249*(1-Contrib!G$106)*100/(24*Input!$F$58)</f>
        <v>0</v>
      </c>
      <c r="H102" s="37">
        <f>Multi!H890*H$11*LAFs!H$249*(1-Contrib!H$106)*100/(24*Input!$F$58)</f>
        <v>0.12971082177105081</v>
      </c>
      <c r="I102" s="37">
        <f>Multi!I890*I$11*LAFs!I$249*(1-Contrib!I$106)*100/(24*Input!$F$58)</f>
        <v>5.0471614918748851E-3</v>
      </c>
      <c r="J102" s="37">
        <f>Multi!J890*J$11*LAFs!J$249*(1-Contrib!J$106)*100/(24*Input!$F$58)</f>
        <v>0</v>
      </c>
      <c r="K102" s="37">
        <f>Multi!B890*K$11*LAFs!B$249*(1-Contrib!K$106)*100/(24*Input!$F$58)</f>
        <v>2.2764241824961642E-2</v>
      </c>
      <c r="L102" s="37">
        <f>Multi!C890*L$11*LAFs!C$249*(1-Contrib!L$106)*100/(24*Input!$F$58)</f>
        <v>4.3076997337634634E-2</v>
      </c>
      <c r="M102" s="37">
        <f>Multi!D890*M$11*LAFs!D$249*(1-Contrib!M$106)*100/(24*Input!$F$58)</f>
        <v>1.7039338136539944E-2</v>
      </c>
      <c r="N102" s="37">
        <f>Multi!E890*N$11*LAFs!E$249*(1-Contrib!N$106)*100/(24*Input!$F$58)</f>
        <v>5.8990001622817777E-2</v>
      </c>
      <c r="O102" s="37">
        <f>Multi!F890*O$11*LAFs!F$249*(1-Contrib!O$106)*100/(24*Input!$F$58)</f>
        <v>3.7211093408983514E-2</v>
      </c>
      <c r="P102" s="37">
        <f>Multi!G890*P$11*LAFs!G$249*(1-Contrib!P$106)*100/(24*Input!$F$58)</f>
        <v>0</v>
      </c>
      <c r="Q102" s="37">
        <f>Multi!H890*Q$11*LAFs!H$249*(1-Contrib!Q$106)*100/(24*Input!$F$58)</f>
        <v>6.7556020864601801E-2</v>
      </c>
      <c r="R102" s="37">
        <f>Multi!I890*R$11*LAFs!I$249*(1-Contrib!R$106)*100/(24*Input!$F$58)</f>
        <v>6.1335489637033114E-2</v>
      </c>
      <c r="S102" s="37">
        <f>Multi!J890*S$11*LAFs!J$249*(1-Contrib!S$106)*100/(24*Input!$F$58)</f>
        <v>0</v>
      </c>
      <c r="T102" s="17"/>
    </row>
    <row r="103" spans="1:20" x14ac:dyDescent="0.25">
      <c r="A103" s="4" t="s">
        <v>193</v>
      </c>
      <c r="B103" s="37">
        <f>Multi!B891*B$11*LAFs!B$250*(1-Contrib!B$107)*100/(24*Input!$F$58)</f>
        <v>0</v>
      </c>
      <c r="C103" s="37">
        <f>Multi!C891*C$11*LAFs!C$250*(1-Contrib!C$107)*100/(24*Input!$F$58)</f>
        <v>0.10539909120416868</v>
      </c>
      <c r="D103" s="37">
        <f>Multi!D891*D$11*LAFs!D$250*(1-Contrib!D$107)*100/(24*Input!$F$58)</f>
        <v>4.1691177781855542E-2</v>
      </c>
      <c r="E103" s="37">
        <f>Multi!E891*E$11*LAFs!E$250*(1-Contrib!E$107)*100/(24*Input!$F$58)</f>
        <v>0.14433439992219371</v>
      </c>
      <c r="F103" s="37">
        <f>Multi!F891*F$11*LAFs!F$250*(1-Contrib!F$107)*100/(24*Input!$F$58)</f>
        <v>3.9150050799277247E-2</v>
      </c>
      <c r="G103" s="37">
        <f>Multi!G891*G$11*LAFs!G$250*(1-Contrib!G$107)*100/(24*Input!$F$58)</f>
        <v>0</v>
      </c>
      <c r="H103" s="37">
        <f>Multi!H891*H$11*LAFs!H$250*(1-Contrib!H$107)*100/(24*Input!$F$58)</f>
        <v>1.4876405692395645E-2</v>
      </c>
      <c r="I103" s="37">
        <f>Multi!I891*I$11*LAFs!I$250*(1-Contrib!I$107)*100/(24*Input!$F$58)</f>
        <v>0</v>
      </c>
      <c r="J103" s="37">
        <f>Multi!J891*J$11*LAFs!J$250*(1-Contrib!J$107)*100/(24*Input!$F$58)</f>
        <v>0</v>
      </c>
      <c r="K103" s="37">
        <f>Multi!B891*K$11*LAFs!B$250*(1-Contrib!K$107)*100/(24*Input!$F$58)</f>
        <v>2.0306287172825364E-2</v>
      </c>
      <c r="L103" s="37">
        <f>Multi!C891*L$11*LAFs!C$250*(1-Contrib!L$107)*100/(24*Input!$F$58)</f>
        <v>3.8425785721616784E-2</v>
      </c>
      <c r="M103" s="37">
        <f>Multi!D891*M$11*LAFs!D$250*(1-Contrib!M$107)*100/(24*Input!$F$58)</f>
        <v>1.5199526349085345E-2</v>
      </c>
      <c r="N103" s="37">
        <f>Multi!E891*N$11*LAFs!E$250*(1-Contrib!N$107)*100/(24*Input!$F$58)</f>
        <v>5.2620593406492271E-2</v>
      </c>
      <c r="O103" s="37">
        <f>Multi!F891*O$11*LAFs!F$250*(1-Contrib!O$107)*100/(24*Input!$F$58)</f>
        <v>3.3193249069647927E-2</v>
      </c>
      <c r="P103" s="37">
        <f>Multi!G891*P$11*LAFs!G$250*(1-Contrib!P$107)*100/(24*Input!$F$58)</f>
        <v>0</v>
      </c>
      <c r="Q103" s="37">
        <f>Multi!H891*Q$11*LAFs!H$250*(1-Contrib!Q$107)*100/(24*Input!$F$58)</f>
        <v>6.0261702123799943E-2</v>
      </c>
      <c r="R103" s="37">
        <f>Multi!I891*R$11*LAFs!I$250*(1-Contrib!R$107)*100/(24*Input!$F$58)</f>
        <v>0</v>
      </c>
      <c r="S103" s="37">
        <f>Multi!J891*S$11*LAFs!J$250*(1-Contrib!S$107)*100/(24*Input!$F$58)</f>
        <v>0</v>
      </c>
      <c r="T103" s="17"/>
    </row>
    <row r="104" spans="1:20" x14ac:dyDescent="0.25">
      <c r="A104" s="4" t="s">
        <v>219</v>
      </c>
      <c r="B104" s="37">
        <f>Multi!B892*B$11*LAFs!B$255*(1-Contrib!B$112)*100/(24*Input!$F$58)</f>
        <v>0</v>
      </c>
      <c r="C104" s="37">
        <f>Multi!C892*C$11*LAFs!C$255*(1-Contrib!C$112)*100/(24*Input!$F$58)</f>
        <v>0.11255429905679941</v>
      </c>
      <c r="D104" s="37">
        <f>Multi!D892*D$11*LAFs!D$255*(1-Contrib!D$112)*100/(24*Input!$F$58)</f>
        <v>4.4521458757165865E-2</v>
      </c>
      <c r="E104" s="37">
        <f>Multi!E892*E$11*LAFs!E$255*(1-Contrib!E$112)*100/(24*Input!$F$58)</f>
        <v>0.15215295350547192</v>
      </c>
      <c r="F104" s="37">
        <f>Multi!F892*F$11*LAFs!F$255*(1-Contrib!F$112)*100/(24*Input!$F$58)</f>
        <v>9.5978599925225644E-2</v>
      </c>
      <c r="G104" s="37">
        <f>Multi!G892*G$11*LAFs!G$255*(1-Contrib!G$112)*100/(24*Input!$F$58)</f>
        <v>0</v>
      </c>
      <c r="H104" s="37">
        <f>Multi!H892*H$11*LAFs!H$255*(1-Contrib!H$112)*100/(24*Input!$F$58)</f>
        <v>0.12197310515677899</v>
      </c>
      <c r="I104" s="37">
        <f>Multi!I892*I$11*LAFs!I$255*(1-Contrib!I$112)*100/(24*Input!$F$58)</f>
        <v>0.11074187069624206</v>
      </c>
      <c r="J104" s="37">
        <f>Multi!J892*J$11*LAFs!J$255*(1-Contrib!J$112)*100/(24*Input!$F$58)</f>
        <v>2.6310451156543162E-3</v>
      </c>
      <c r="K104" s="37">
        <f>Multi!B892*K$11*LAFs!B$255*(1-Contrib!K$112)*100/(24*Input!$F$58)</f>
        <v>1.8269287517982544E-2</v>
      </c>
      <c r="L104" s="37">
        <f>Multi!C892*L$11*LAFs!C$255*(1-Contrib!L$112)*100/(24*Input!$F$58)</f>
        <v>4.1034389653563624E-2</v>
      </c>
      <c r="M104" s="37">
        <f>Multi!D892*M$11*LAFs!D$255*(1-Contrib!M$112)*100/(24*Input!$F$58)</f>
        <v>1.6231373673827189E-2</v>
      </c>
      <c r="N104" s="37">
        <f>Multi!E892*N$11*LAFs!E$255*(1-Contrib!N$112)*100/(24*Input!$F$58)</f>
        <v>5.5471036054636706E-2</v>
      </c>
      <c r="O104" s="37">
        <f>Multi!F892*O$11*LAFs!F$255*(1-Contrib!O$112)*100/(24*Input!$F$58)</f>
        <v>3.4991317974871088E-2</v>
      </c>
      <c r="P104" s="37">
        <f>Multi!G892*P$11*LAFs!G$255*(1-Contrib!P$112)*100/(24*Input!$F$58)</f>
        <v>0</v>
      </c>
      <c r="Q104" s="37">
        <f>Multi!H892*Q$11*LAFs!H$255*(1-Contrib!Q$112)*100/(24*Input!$F$58)</f>
        <v>6.3526061467992778E-2</v>
      </c>
      <c r="R104" s="37">
        <f>Multi!I892*R$11*LAFs!I$255*(1-Contrib!R$112)*100/(24*Input!$F$58)</f>
        <v>5.7676607280658342E-2</v>
      </c>
      <c r="S104" s="37">
        <f>Multi!J892*S$11*LAFs!J$255*(1-Contrib!S$112)*100/(24*Input!$F$58)</f>
        <v>3.197370258224784E-2</v>
      </c>
      <c r="T104" s="17"/>
    </row>
    <row r="105" spans="1:20" x14ac:dyDescent="0.25">
      <c r="A105" s="4" t="s">
        <v>184</v>
      </c>
      <c r="B105" s="37">
        <f>Multi!B893*B$11*LAFs!B$259*(1-Contrib!B$116)*100/(24*Input!$F$58)</f>
        <v>0</v>
      </c>
      <c r="C105" s="37">
        <f>Multi!C893*C$11*LAFs!C$259*(1-Contrib!C$116)*100/(24*Input!$F$58)</f>
        <v>-0.10433180894201531</v>
      </c>
      <c r="D105" s="37">
        <f>Multi!D893*D$11*LAFs!D$259*(1-Contrib!D$116)*100/(24*Input!$F$58)</f>
        <v>-4.1269008538966492E-2</v>
      </c>
      <c r="E105" s="37">
        <f>Multi!E893*E$11*LAFs!E$259*(1-Contrib!E$116)*100/(24*Input!$F$58)</f>
        <v>-0.14287285463659821</v>
      </c>
      <c r="F105" s="37">
        <f>Multi!F893*F$11*LAFs!F$259*(1-Contrib!F$116)*100/(24*Input!$F$58)</f>
        <v>-9.0124682034830331E-2</v>
      </c>
      <c r="G105" s="37">
        <f>Multi!G893*G$11*LAFs!G$259*(1-Contrib!G$116)*100/(24*Input!$F$58)</f>
        <v>0</v>
      </c>
      <c r="H105" s="37">
        <f>Multi!H893*H$11*LAFs!H$259*(1-Contrib!H$116)*100/(24*Input!$F$58)</f>
        <v>-0.11453373280731134</v>
      </c>
      <c r="I105" s="37">
        <f>Multi!I893*I$11*LAFs!I$259*(1-Contrib!I$116)*100/(24*Input!$F$58)</f>
        <v>-0.10398751276031018</v>
      </c>
      <c r="J105" s="37">
        <f>Multi!J893*J$11*LAFs!J$259*(1-Contrib!J$116)*100/(24*Input!$F$58)</f>
        <v>0</v>
      </c>
      <c r="K105" s="37">
        <f>Multi!B893*K$11*LAFs!B$259*(1-Contrib!K$116)*100/(24*Input!$F$58)</f>
        <v>-2.0100663577193343E-2</v>
      </c>
      <c r="L105" s="37">
        <f>Multi!C893*L$11*LAFs!C$259*(1-Contrib!L$116)*100/(24*Input!$F$58)</f>
        <v>-3.8036682181525103E-2</v>
      </c>
      <c r="M105" s="37">
        <f>Multi!D893*M$11*LAFs!D$259*(1-Contrib!M$116)*100/(24*Input!$F$58)</f>
        <v>-1.5045614349653702E-2</v>
      </c>
      <c r="N105" s="37">
        <f>Multi!E893*N$11*LAFs!E$259*(1-Contrib!N$116)*100/(24*Input!$F$58)</f>
        <v>-5.208775175363644E-2</v>
      </c>
      <c r="O105" s="37">
        <f>Multi!F893*O$11*LAFs!F$259*(1-Contrib!O$116)*100/(24*Input!$F$58)</f>
        <v>-3.2857130744997014E-2</v>
      </c>
      <c r="P105" s="37">
        <f>Multi!G893*P$11*LAFs!G$259*(1-Contrib!P$116)*100/(24*Input!$F$58)</f>
        <v>0</v>
      </c>
      <c r="Q105" s="37">
        <f>Multi!H893*Q$11*LAFs!H$259*(1-Contrib!Q$116)*100/(24*Input!$F$58)</f>
        <v>-5.9651485801921859E-2</v>
      </c>
      <c r="R105" s="37">
        <f>Multi!I893*R$11*LAFs!I$259*(1-Contrib!R$116)*100/(24*Input!$F$58)</f>
        <v>-5.4158800983415085E-2</v>
      </c>
      <c r="S105" s="37">
        <f>Multi!J893*S$11*LAFs!J$259*(1-Contrib!S$116)*100/(24*Input!$F$58)</f>
        <v>0</v>
      </c>
      <c r="T105" s="17"/>
    </row>
    <row r="106" spans="1:20" x14ac:dyDescent="0.25">
      <c r="A106" s="4" t="s">
        <v>186</v>
      </c>
      <c r="B106" s="37">
        <f>Multi!B894*B$11*LAFs!B$261*(1-Contrib!B$118)*100/(24*Input!$F$58)</f>
        <v>0</v>
      </c>
      <c r="C106" s="37">
        <f>Multi!C894*C$11*LAFs!C$261*(1-Contrib!C$118)*100/(24*Input!$F$58)</f>
        <v>-9.9385695546094124E-2</v>
      </c>
      <c r="D106" s="37">
        <f>Multi!D894*D$11*LAFs!D$261*(1-Contrib!D$118)*100/(24*Input!$F$58)</f>
        <v>-3.9312546765314961E-2</v>
      </c>
      <c r="E106" s="37">
        <f>Multi!E894*E$11*LAFs!E$261*(1-Contrib!E$118)*100/(24*Input!$F$58)</f>
        <v>-0.13609960544828667</v>
      </c>
      <c r="F106" s="37">
        <f>Multi!F894*F$11*LAFs!F$261*(1-Contrib!F$118)*100/(24*Input!$F$58)</f>
        <v>-8.5852093438543678E-2</v>
      </c>
      <c r="G106" s="37">
        <f>Multi!G894*G$11*LAFs!G$261*(1-Contrib!G$118)*100/(24*Input!$F$58)</f>
        <v>0</v>
      </c>
      <c r="H106" s="37">
        <f>Multi!H894*H$11*LAFs!H$261*(1-Contrib!H$118)*100/(24*Input!$F$58)</f>
        <v>-0.10910397139640793</v>
      </c>
      <c r="I106" s="37">
        <f>Multi!I894*I$11*LAFs!I$261*(1-Contrib!I$118)*100/(24*Input!$F$58)</f>
        <v>0</v>
      </c>
      <c r="J106" s="37">
        <f>Multi!J894*J$11*LAFs!J$261*(1-Contrib!J$118)*100/(24*Input!$F$58)</f>
        <v>0</v>
      </c>
      <c r="K106" s="37">
        <f>Multi!B894*K$11*LAFs!B$261*(1-Contrib!K$118)*100/(24*Input!$F$58)</f>
        <v>-1.9147740759174185E-2</v>
      </c>
      <c r="L106" s="37">
        <f>Multi!C894*L$11*LAFs!C$261*(1-Contrib!L$118)*100/(24*Input!$F$58)</f>
        <v>-3.6233457017673124E-2</v>
      </c>
      <c r="M106" s="37">
        <f>Multi!D894*M$11*LAFs!D$261*(1-Contrib!M$118)*100/(24*Input!$F$58)</f>
        <v>-1.4332338931166083E-2</v>
      </c>
      <c r="N106" s="37">
        <f>Multi!E894*N$11*LAFs!E$261*(1-Contrib!N$118)*100/(24*Input!$F$58)</f>
        <v>-4.961840008299432E-2</v>
      </c>
      <c r="O106" s="37">
        <f>Multi!F894*O$11*LAFs!F$261*(1-Contrib!O$118)*100/(24*Input!$F$58)</f>
        <v>-3.1299455322924302E-2</v>
      </c>
      <c r="P106" s="37">
        <f>Multi!G894*P$11*LAFs!G$261*(1-Contrib!P$118)*100/(24*Input!$F$58)</f>
        <v>0</v>
      </c>
      <c r="Q106" s="37">
        <f>Multi!H894*Q$11*LAFs!H$261*(1-Contrib!Q$118)*100/(24*Input!$F$58)</f>
        <v>-5.6823556180041486E-2</v>
      </c>
      <c r="R106" s="37">
        <f>Multi!I894*R$11*LAFs!I$261*(1-Contrib!R$118)*100/(24*Input!$F$58)</f>
        <v>0</v>
      </c>
      <c r="S106" s="37">
        <f>Multi!J894*S$11*LAFs!J$261*(1-Contrib!S$118)*100/(24*Input!$F$58)</f>
        <v>0</v>
      </c>
      <c r="T106" s="17"/>
    </row>
    <row r="107" spans="1:20" x14ac:dyDescent="0.25">
      <c r="A107" s="4" t="s">
        <v>195</v>
      </c>
      <c r="B107" s="37">
        <f>Multi!B895*B$11*LAFs!B$263*(1-Contrib!B$120)*100/(24*Input!$F$58)</f>
        <v>0</v>
      </c>
      <c r="C107" s="37">
        <f>Multi!C895*C$11*LAFs!C$263*(1-Contrib!C$120)*100/(24*Input!$F$58)</f>
        <v>-9.809930646420717E-2</v>
      </c>
      <c r="D107" s="37">
        <f>Multi!D895*D$11*LAFs!D$263*(1-Contrib!D$120)*100/(24*Input!$F$58)</f>
        <v>-3.880370864065126E-2</v>
      </c>
      <c r="E107" s="37">
        <f>Multi!E895*E$11*LAFs!E$263*(1-Contrib!E$120)*100/(24*Input!$F$58)</f>
        <v>-0.13433801344517388</v>
      </c>
      <c r="F107" s="37">
        <f>Multi!F895*F$11*LAFs!F$263*(1-Contrib!F$120)*100/(24*Input!$F$58)</f>
        <v>-3.6438576344154254E-2</v>
      </c>
      <c r="G107" s="37">
        <f>Multi!G895*G$11*LAFs!G$263*(1-Contrib!G$120)*100/(24*Input!$F$58)</f>
        <v>0</v>
      </c>
      <c r="H107" s="37">
        <f>Multi!H895*H$11*LAFs!H$263*(1-Contrib!H$120)*100/(24*Input!$F$58)</f>
        <v>0</v>
      </c>
      <c r="I107" s="37">
        <f>Multi!I895*I$11*LAFs!I$263*(1-Contrib!I$120)*100/(24*Input!$F$58)</f>
        <v>0</v>
      </c>
      <c r="J107" s="37">
        <f>Multi!J895*J$11*LAFs!J$263*(1-Contrib!J$120)*100/(24*Input!$F$58)</f>
        <v>0</v>
      </c>
      <c r="K107" s="37">
        <f>Multi!B895*K$11*LAFs!B$263*(1-Contrib!K$120)*100/(24*Input!$F$58)</f>
        <v>-1.8899903839383451E-2</v>
      </c>
      <c r="L107" s="37">
        <f>Multi!C895*L$11*LAFs!C$263*(1-Contrib!L$120)*100/(24*Input!$F$58)</f>
        <v>-3.5764472791618804E-2</v>
      </c>
      <c r="M107" s="37">
        <f>Multi!D895*M$11*LAFs!D$263*(1-Contrib!M$120)*100/(24*Input!$F$58)</f>
        <v>-1.4146829696485482E-2</v>
      </c>
      <c r="N107" s="37">
        <f>Multi!E895*N$11*LAFs!E$263*(1-Contrib!N$120)*100/(24*Input!$F$58)</f>
        <v>-4.8976169148484627E-2</v>
      </c>
      <c r="O107" s="37">
        <f>Multi!F895*O$11*LAFs!F$263*(1-Contrib!O$120)*100/(24*Input!$F$58)</f>
        <v>-3.0894333867817668E-2</v>
      </c>
      <c r="P107" s="37">
        <f>Multi!G895*P$11*LAFs!G$263*(1-Contrib!P$120)*100/(24*Input!$F$58)</f>
        <v>0</v>
      </c>
      <c r="Q107" s="37">
        <f>Multi!H895*Q$11*LAFs!H$263*(1-Contrib!Q$120)*100/(24*Input!$F$58)</f>
        <v>0</v>
      </c>
      <c r="R107" s="37">
        <f>Multi!I895*R$11*LAFs!I$263*(1-Contrib!R$120)*100/(24*Input!$F$58)</f>
        <v>0</v>
      </c>
      <c r="S107" s="37">
        <f>Multi!J895*S$11*LAFs!J$263*(1-Contrib!S$120)*100/(24*Input!$F$58)</f>
        <v>0</v>
      </c>
      <c r="T107" s="17"/>
    </row>
    <row r="109" spans="1:20" ht="21" customHeight="1" x14ac:dyDescent="0.3">
      <c r="A109" s="1" t="s">
        <v>980</v>
      </c>
    </row>
    <row r="110" spans="1:20" x14ac:dyDescent="0.25">
      <c r="A110" s="2" t="s">
        <v>350</v>
      </c>
    </row>
    <row r="111" spans="1:20" x14ac:dyDescent="0.25">
      <c r="A111" s="32" t="s">
        <v>981</v>
      </c>
    </row>
    <row r="112" spans="1:20" x14ac:dyDescent="0.25">
      <c r="A112" s="32" t="s">
        <v>976</v>
      </c>
    </row>
    <row r="113" spans="1:20" x14ac:dyDescent="0.25">
      <c r="A113" s="32" t="s">
        <v>797</v>
      </c>
    </row>
    <row r="114" spans="1:20" x14ac:dyDescent="0.25">
      <c r="A114" s="32" t="s">
        <v>972</v>
      </c>
    </row>
    <row r="115" spans="1:20" x14ac:dyDescent="0.25">
      <c r="A115" s="32" t="s">
        <v>740</v>
      </c>
    </row>
    <row r="116" spans="1:20" x14ac:dyDescent="0.25">
      <c r="A116" s="2" t="s">
        <v>977</v>
      </c>
    </row>
    <row r="118" spans="1:20" ht="30" x14ac:dyDescent="0.25">
      <c r="B118" s="15" t="s">
        <v>139</v>
      </c>
      <c r="C118" s="15" t="s">
        <v>313</v>
      </c>
      <c r="D118" s="15" t="s">
        <v>314</v>
      </c>
      <c r="E118" s="15" t="s">
        <v>315</v>
      </c>
      <c r="F118" s="15" t="s">
        <v>316</v>
      </c>
      <c r="G118" s="15" t="s">
        <v>317</v>
      </c>
      <c r="H118" s="15" t="s">
        <v>318</v>
      </c>
      <c r="I118" s="15" t="s">
        <v>319</v>
      </c>
      <c r="J118" s="15" t="s">
        <v>320</v>
      </c>
      <c r="K118" s="15" t="s">
        <v>301</v>
      </c>
      <c r="L118" s="15" t="s">
        <v>876</v>
      </c>
      <c r="M118" s="15" t="s">
        <v>877</v>
      </c>
      <c r="N118" s="15" t="s">
        <v>878</v>
      </c>
      <c r="O118" s="15" t="s">
        <v>879</v>
      </c>
      <c r="P118" s="15" t="s">
        <v>880</v>
      </c>
      <c r="Q118" s="15" t="s">
        <v>881</v>
      </c>
      <c r="R118" s="15" t="s">
        <v>882</v>
      </c>
      <c r="S118" s="15" t="s">
        <v>883</v>
      </c>
    </row>
    <row r="119" spans="1:20" x14ac:dyDescent="0.25">
      <c r="A119" s="4" t="s">
        <v>177</v>
      </c>
      <c r="B119" s="37">
        <f>Multi!B904*B$11*LAFs!B$246*(1-Contrib!B$103)*100/(24*Input!$F$58)</f>
        <v>0</v>
      </c>
      <c r="C119" s="37">
        <f>Multi!C904*C$11*LAFs!C$246*(1-Contrib!C$103)*100/(24*Input!$F$58)</f>
        <v>1.9564672440106578E-2</v>
      </c>
      <c r="D119" s="37">
        <f>Multi!D904*D$11*LAFs!D$246*(1-Contrib!D$103)*100/(24*Input!$F$58)</f>
        <v>7.7389114804055498E-3</v>
      </c>
      <c r="E119" s="37">
        <f>Multi!E904*E$11*LAFs!E$246*(1-Contrib!E$103)*100/(24*Input!$F$58)</f>
        <v>2.7188802892207091E-2</v>
      </c>
      <c r="F119" s="37">
        <f>Multi!F904*F$11*LAFs!F$246*(1-Contrib!F$103)*100/(24*Input!$F$58)</f>
        <v>1.7150789223050567E-2</v>
      </c>
      <c r="G119" s="37">
        <f>Multi!G904*G$11*LAFs!G$246*(1-Contrib!G$103)*100/(24*Input!$F$58)</f>
        <v>0</v>
      </c>
      <c r="H119" s="37">
        <f>Multi!H904*H$11*LAFs!H$246*(1-Contrib!H$103)*100/(24*Input!$F$58)</f>
        <v>2.1795848439700821E-2</v>
      </c>
      <c r="I119" s="37">
        <f>Multi!I904*I$11*LAFs!I$246*(1-Contrib!I$103)*100/(24*Input!$F$58)</f>
        <v>1.9788895482506199E-2</v>
      </c>
      <c r="J119" s="37">
        <f>Multi!J904*J$11*LAFs!J$246*(1-Contrib!J$103)*100/(24*Input!$F$58)</f>
        <v>4.7015168225082645E-4</v>
      </c>
      <c r="K119" s="37">
        <f>Multi!B904*K$11*LAFs!B$246*(1-Contrib!K$103)*100/(24*Input!$F$58)</f>
        <v>2.5162966931382047E-3</v>
      </c>
      <c r="L119" s="37">
        <f>Multi!C904*L$11*LAFs!C$246*(1-Contrib!L$103)*100/(24*Input!$F$58)</f>
        <v>7.1327741283923182E-3</v>
      </c>
      <c r="M119" s="37">
        <f>Multi!D904*M$11*LAFs!D$246*(1-Contrib!M$103)*100/(24*Input!$F$58)</f>
        <v>2.8214071949499149E-3</v>
      </c>
      <c r="N119" s="37">
        <f>Multi!E904*N$11*LAFs!E$246*(1-Contrib!N$103)*100/(24*Input!$F$58)</f>
        <v>9.9123351257311663E-3</v>
      </c>
      <c r="O119" s="37">
        <f>Multi!F904*O$11*LAFs!F$246*(1-Contrib!O$103)*100/(24*Input!$F$58)</f>
        <v>6.2527346688876365E-3</v>
      </c>
      <c r="P119" s="37">
        <f>Multi!G904*P$11*LAFs!G$246*(1-Contrib!P$103)*100/(24*Input!$F$58)</f>
        <v>0</v>
      </c>
      <c r="Q119" s="37">
        <f>Multi!H904*Q$11*LAFs!H$246*(1-Contrib!Q$103)*100/(24*Input!$F$58)</f>
        <v>1.1351718937939461E-2</v>
      </c>
      <c r="R119" s="37">
        <f>Multi!I904*R$11*LAFs!I$246*(1-Contrib!R$103)*100/(24*Input!$F$58)</f>
        <v>1.0306457224234298E-2</v>
      </c>
      <c r="S119" s="37">
        <f>Multi!J904*S$11*LAFs!J$246*(1-Contrib!S$103)*100/(24*Input!$F$58)</f>
        <v>5.7135052407084929E-3</v>
      </c>
      <c r="T119" s="17"/>
    </row>
    <row r="120" spans="1:20" x14ac:dyDescent="0.25">
      <c r="A120" s="4" t="s">
        <v>178</v>
      </c>
      <c r="B120" s="37">
        <f>Multi!B905*B$11*LAFs!B$247*(1-Contrib!B$104)*100/(24*Input!$F$58)</f>
        <v>0</v>
      </c>
      <c r="C120" s="37">
        <f>Multi!C905*C$11*LAFs!C$247*(1-Contrib!C$104)*100/(24*Input!$F$58)</f>
        <v>1.9025837525115327E-2</v>
      </c>
      <c r="D120" s="37">
        <f>Multi!D905*D$11*LAFs!D$247*(1-Contrib!D$104)*100/(24*Input!$F$58)</f>
        <v>7.52577242978077E-3</v>
      </c>
      <c r="E120" s="37">
        <f>Multi!E905*E$11*LAFs!E$247*(1-Contrib!E$104)*100/(24*Input!$F$58)</f>
        <v>2.6432022734334933E-2</v>
      </c>
      <c r="F120" s="37">
        <f>Multi!F905*F$11*LAFs!F$247*(1-Contrib!F$104)*100/(24*Input!$F$58)</f>
        <v>1.6673409728730409E-2</v>
      </c>
      <c r="G120" s="37">
        <f>Multi!G905*G$11*LAFs!G$247*(1-Contrib!G$104)*100/(24*Input!$F$58)</f>
        <v>0</v>
      </c>
      <c r="H120" s="37">
        <f>Multi!H905*H$11*LAFs!H$247*(1-Contrib!H$104)*100/(24*Input!$F$58)</f>
        <v>2.1189177168128136E-2</v>
      </c>
      <c r="I120" s="37">
        <f>Multi!I905*I$11*LAFs!I$247*(1-Contrib!I$104)*100/(24*Input!$F$58)</f>
        <v>1.9238086257593285E-2</v>
      </c>
      <c r="J120" s="37">
        <f>Multi!J905*J$11*LAFs!J$247*(1-Contrib!J$104)*100/(24*Input!$F$58)</f>
        <v>4.5706535896810409E-4</v>
      </c>
      <c r="K120" s="37">
        <f>Multi!B905*K$11*LAFs!B$247*(1-Contrib!K$104)*100/(24*Input!$F$58)</f>
        <v>2.4483597827733247E-3</v>
      </c>
      <c r="L120" s="37">
        <f>Multi!C905*L$11*LAFs!C$247*(1-Contrib!L$104)*100/(24*Input!$F$58)</f>
        <v>6.9363288389099704E-3</v>
      </c>
      <c r="M120" s="37">
        <f>Multi!D905*M$11*LAFs!D$247*(1-Contrib!M$104)*100/(24*Input!$F$58)</f>
        <v>2.743702203430095E-3</v>
      </c>
      <c r="N120" s="37">
        <f>Multi!E905*N$11*LAFs!E$247*(1-Contrib!N$104)*100/(24*Input!$F$58)</f>
        <v>9.6364326311979241E-3</v>
      </c>
      <c r="O120" s="37">
        <f>Multi!F905*O$11*LAFs!F$247*(1-Contrib!O$104)*100/(24*Input!$F$58)</f>
        <v>6.0786944381127197E-3</v>
      </c>
      <c r="P120" s="37">
        <f>Multi!G905*P$11*LAFs!G$247*(1-Contrib!P$104)*100/(24*Input!$F$58)</f>
        <v>0</v>
      </c>
      <c r="Q120" s="37">
        <f>Multi!H905*Q$11*LAFs!H$247*(1-Contrib!Q$104)*100/(24*Input!$F$58)</f>
        <v>1.1035752262833052E-2</v>
      </c>
      <c r="R120" s="37">
        <f>Multi!I905*R$11*LAFs!I$247*(1-Contrib!R$104)*100/(24*Input!$F$58)</f>
        <v>1.0019584633477671E-2</v>
      </c>
      <c r="S120" s="37">
        <f>Multi!J905*S$11*LAFs!J$247*(1-Contrib!S$104)*100/(24*Input!$F$58)</f>
        <v>5.5544740610273128E-3</v>
      </c>
      <c r="T120" s="17"/>
    </row>
    <row r="121" spans="1:20" x14ac:dyDescent="0.25">
      <c r="A121" s="4" t="s">
        <v>179</v>
      </c>
      <c r="B121" s="37">
        <f>Multi!B906*B$11*LAFs!B$248*(1-Contrib!B$105)*100/(24*Input!$F$58)</f>
        <v>0</v>
      </c>
      <c r="C121" s="37">
        <f>Multi!C906*C$11*LAFs!C$248*(1-Contrib!C$105)*100/(24*Input!$F$58)</f>
        <v>1.6556957117789449E-2</v>
      </c>
      <c r="D121" s="37">
        <f>Multi!D906*D$11*LAFs!D$248*(1-Contrib!D$105)*100/(24*Input!$F$58)</f>
        <v>6.5491934971922874E-3</v>
      </c>
      <c r="E121" s="37">
        <f>Multi!E906*E$11*LAFs!E$248*(1-Contrib!E$105)*100/(24*Input!$F$58)</f>
        <v>2.3004574551829984E-2</v>
      </c>
      <c r="F121" s="37">
        <f>Multi!F906*F$11*LAFs!F$248*(1-Contrib!F$105)*100/(24*Input!$F$58)</f>
        <v>1.4511363772381271E-2</v>
      </c>
      <c r="G121" s="37">
        <f>Multi!G906*G$11*LAFs!G$248*(1-Contrib!G$105)*100/(24*Input!$F$58)</f>
        <v>0</v>
      </c>
      <c r="H121" s="37">
        <f>Multi!H906*H$11*LAFs!H$248*(1-Contrib!H$105)*100/(24*Input!$F$58)</f>
        <v>1.8441570316256851E-2</v>
      </c>
      <c r="I121" s="37">
        <f>Multi!I906*I$11*LAFs!I$248*(1-Contrib!I$105)*100/(24*Input!$F$58)</f>
        <v>1.6743477939448592E-2</v>
      </c>
      <c r="J121" s="37">
        <f>Multi!J906*J$11*LAFs!J$248*(1-Contrib!J$105)*100/(24*Input!$F$58)</f>
        <v>3.9779755908662755E-4</v>
      </c>
      <c r="K121" s="37">
        <f>Multi!B906*K$11*LAFs!B$248*(1-Contrib!K$105)*100/(24*Input!$F$58)</f>
        <v>2.1301866910794719E-3</v>
      </c>
      <c r="L121" s="37">
        <f>Multi!C906*L$11*LAFs!C$248*(1-Contrib!L$105)*100/(24*Input!$F$58)</f>
        <v>6.0362388246570755E-3</v>
      </c>
      <c r="M121" s="37">
        <f>Multi!D906*M$11*LAFs!D$248*(1-Contrib!M$105)*100/(24*Input!$F$58)</f>
        <v>2.3876667540238092E-3</v>
      </c>
      <c r="N121" s="37">
        <f>Multi!E906*N$11*LAFs!E$248*(1-Contrib!N$105)*100/(24*Input!$F$58)</f>
        <v>8.3868735702212101E-3</v>
      </c>
      <c r="O121" s="37">
        <f>Multi!F906*O$11*LAFs!F$248*(1-Contrib!O$105)*100/(24*Input!$F$58)</f>
        <v>5.2904683377753914E-3</v>
      </c>
      <c r="P121" s="37">
        <f>Multi!G906*P$11*LAFs!G$248*(1-Contrib!P$105)*100/(24*Input!$F$58)</f>
        <v>0</v>
      </c>
      <c r="Q121" s="37">
        <f>Multi!H906*Q$11*LAFs!H$248*(1-Contrib!Q$105)*100/(24*Input!$F$58)</f>
        <v>9.6047430125766019E-3</v>
      </c>
      <c r="R121" s="37">
        <f>Multi!I906*R$11*LAFs!I$248*(1-Contrib!R$105)*100/(24*Input!$F$58)</f>
        <v>8.7203421393775814E-3</v>
      </c>
      <c r="S121" s="37">
        <f>Multi!J906*S$11*LAFs!J$248*(1-Contrib!S$105)*100/(24*Input!$F$58)</f>
        <v>4.8342237715740879E-3</v>
      </c>
      <c r="T121" s="17"/>
    </row>
    <row r="122" spans="1:20" x14ac:dyDescent="0.25">
      <c r="A122" s="4" t="s">
        <v>180</v>
      </c>
      <c r="B122" s="37">
        <f>Multi!B907*B$11*LAFs!B$249*(1-Contrib!B$106)*100/(24*Input!$F$58)</f>
        <v>0</v>
      </c>
      <c r="C122" s="37">
        <f>Multi!C907*C$11*LAFs!C$249*(1-Contrib!C$106)*100/(24*Input!$F$58)</f>
        <v>1.5643776035243674E-2</v>
      </c>
      <c r="D122" s="37">
        <f>Multi!D907*D$11*LAFs!D$249*(1-Contrib!D$106)*100/(24*Input!$F$58)</f>
        <v>6.1879798052668546E-3</v>
      </c>
      <c r="E122" s="37">
        <f>Multi!E907*E$11*LAFs!E$249*(1-Contrib!E$106)*100/(24*Input!$F$58)</f>
        <v>2.1735782095384345E-2</v>
      </c>
      <c r="F122" s="37">
        <f>Multi!F907*F$11*LAFs!F$249*(1-Contrib!F$106)*100/(24*Input!$F$58)</f>
        <v>1.3711005180847523E-2</v>
      </c>
      <c r="G122" s="37">
        <f>Multi!G907*G$11*LAFs!G$249*(1-Contrib!G$106)*100/(24*Input!$F$58)</f>
        <v>0</v>
      </c>
      <c r="H122" s="37">
        <f>Multi!H907*H$11*LAFs!H$249*(1-Contrib!H$106)*100/(24*Input!$F$58)</f>
        <v>1.7424445428788887E-2</v>
      </c>
      <c r="I122" s="37">
        <f>Multi!I907*I$11*LAFs!I$249*(1-Contrib!I$106)*100/(24*Input!$F$58)</f>
        <v>6.7800040724964568E-4</v>
      </c>
      <c r="J122" s="37">
        <f>Multi!J907*J$11*LAFs!J$249*(1-Contrib!J$106)*100/(24*Input!$F$58)</f>
        <v>0</v>
      </c>
      <c r="K122" s="37">
        <f>Multi!B907*K$11*LAFs!B$249*(1-Contrib!K$106)*100/(24*Input!$F$58)</f>
        <v>2.0126985454772522E-3</v>
      </c>
      <c r="L122" s="37">
        <f>Multi!C907*L$11*LAFs!C$249*(1-Contrib!L$106)*100/(24*Input!$F$58)</f>
        <v>5.7033165935254457E-3</v>
      </c>
      <c r="M122" s="37">
        <f>Multi!D907*M$11*LAFs!D$249*(1-Contrib!M$106)*100/(24*Input!$F$58)</f>
        <v>2.2559775737181274E-3</v>
      </c>
      <c r="N122" s="37">
        <f>Multi!E907*N$11*LAFs!E$249*(1-Contrib!N$106)*100/(24*Input!$F$58)</f>
        <v>7.9243046192030119E-3</v>
      </c>
      <c r="O122" s="37">
        <f>Multi!F907*O$11*LAFs!F$249*(1-Contrib!O$106)*100/(24*Input!$F$58)</f>
        <v>4.9986782721555987E-3</v>
      </c>
      <c r="P122" s="37">
        <f>Multi!G907*P$11*LAFs!G$249*(1-Contrib!P$106)*100/(24*Input!$F$58)</f>
        <v>0</v>
      </c>
      <c r="Q122" s="37">
        <f>Multi!H907*Q$11*LAFs!H$249*(1-Contrib!Q$106)*100/(24*Input!$F$58)</f>
        <v>9.0750037881888717E-3</v>
      </c>
      <c r="R122" s="37">
        <f>Multi!I907*R$11*LAFs!I$249*(1-Contrib!R$106)*100/(24*Input!$F$58)</f>
        <v>8.2393810896898758E-3</v>
      </c>
      <c r="S122" s="37">
        <f>Multi!J907*S$11*LAFs!J$249*(1-Contrib!S$106)*100/(24*Input!$F$58)</f>
        <v>0</v>
      </c>
      <c r="T122" s="17"/>
    </row>
    <row r="123" spans="1:20" x14ac:dyDescent="0.25">
      <c r="A123" s="4" t="s">
        <v>193</v>
      </c>
      <c r="B123" s="37">
        <f>Multi!B908*B$11*LAFs!B$250*(1-Contrib!B$107)*100/(24*Input!$F$58)</f>
        <v>0</v>
      </c>
      <c r="C123" s="37">
        <f>Multi!C908*C$11*LAFs!C$250*(1-Contrib!C$107)*100/(24*Input!$F$58)</f>
        <v>1.3954649185403156E-2</v>
      </c>
      <c r="D123" s="37">
        <f>Multi!D908*D$11*LAFs!D$250*(1-Contrib!D$107)*100/(24*Input!$F$58)</f>
        <v>5.5198365889615759E-3</v>
      </c>
      <c r="E123" s="37">
        <f>Multi!E908*E$11*LAFs!E$250*(1-Contrib!E$107)*100/(24*Input!$F$58)</f>
        <v>1.9388874733831558E-2</v>
      </c>
      <c r="F123" s="37">
        <f>Multi!F908*F$11*LAFs!F$250*(1-Contrib!F$107)*100/(24*Input!$F$58)</f>
        <v>5.2591442593000913E-3</v>
      </c>
      <c r="G123" s="37">
        <f>Multi!G908*G$11*LAFs!G$250*(1-Contrib!G$107)*100/(24*Input!$F$58)</f>
        <v>0</v>
      </c>
      <c r="H123" s="37">
        <f>Multi!H908*H$11*LAFs!H$250*(1-Contrib!H$107)*100/(24*Input!$F$58)</f>
        <v>1.9983923902756749E-3</v>
      </c>
      <c r="I123" s="37">
        <f>Multi!I908*I$11*LAFs!I$250*(1-Contrib!I$107)*100/(24*Input!$F$58)</f>
        <v>0</v>
      </c>
      <c r="J123" s="37">
        <f>Multi!J908*J$11*LAFs!J$250*(1-Contrib!J$107)*100/(24*Input!$F$58)</f>
        <v>0</v>
      </c>
      <c r="K123" s="37">
        <f>Multi!B908*K$11*LAFs!B$250*(1-Contrib!K$107)*100/(24*Input!$F$58)</f>
        <v>1.7953786895715275E-3</v>
      </c>
      <c r="L123" s="37">
        <f>Multi!C908*L$11*LAFs!C$250*(1-Contrib!L$107)*100/(24*Input!$F$58)</f>
        <v>5.0875045817987815E-3</v>
      </c>
      <c r="M123" s="37">
        <f>Multi!D908*M$11*LAFs!D$250*(1-Contrib!M$107)*100/(24*Input!$F$58)</f>
        <v>2.0123898181902788E-3</v>
      </c>
      <c r="N123" s="37">
        <f>Multi!E908*N$11*LAFs!E$250*(1-Contrib!N$107)*100/(24*Input!$F$58)</f>
        <v>7.0686828263279537E-3</v>
      </c>
      <c r="O123" s="37">
        <f>Multi!F908*O$11*LAFs!F$250*(1-Contrib!O$107)*100/(24*Input!$F$58)</f>
        <v>4.4589491387168187E-3</v>
      </c>
      <c r="P123" s="37">
        <f>Multi!G908*P$11*LAFs!G$250*(1-Contrib!P$107)*100/(24*Input!$F$58)</f>
        <v>0</v>
      </c>
      <c r="Q123" s="37">
        <f>Multi!H908*Q$11*LAFs!H$250*(1-Contrib!Q$107)*100/(24*Input!$F$58)</f>
        <v>8.0951359783646929E-3</v>
      </c>
      <c r="R123" s="37">
        <f>Multi!I908*R$11*LAFs!I$250*(1-Contrib!R$107)*100/(24*Input!$F$58)</f>
        <v>0</v>
      </c>
      <c r="S123" s="37">
        <f>Multi!J908*S$11*LAFs!J$250*(1-Contrib!S$107)*100/(24*Input!$F$58)</f>
        <v>0</v>
      </c>
      <c r="T123" s="17"/>
    </row>
    <row r="124" spans="1:20" x14ac:dyDescent="0.25">
      <c r="A124" s="4" t="s">
        <v>219</v>
      </c>
      <c r="B124" s="37">
        <f>Multi!B909*B$11*LAFs!B$255*(1-Contrib!B$112)*100/(24*Input!$F$58)</f>
        <v>0</v>
      </c>
      <c r="C124" s="37">
        <f>Multi!C909*C$11*LAFs!C$255*(1-Contrib!C$112)*100/(24*Input!$F$58)</f>
        <v>1.5179288881540067E-2</v>
      </c>
      <c r="D124" s="37">
        <f>Multi!D909*D$11*LAFs!D$255*(1-Contrib!D$112)*100/(24*Input!$F$58)</f>
        <v>6.0042494117577387E-3</v>
      </c>
      <c r="E124" s="37">
        <f>Multi!E909*E$11*LAFs!E$255*(1-Contrib!E$112)*100/(24*Input!$F$58)</f>
        <v>2.1090414152487327E-2</v>
      </c>
      <c r="F124" s="37">
        <f>Multi!F909*F$11*LAFs!F$255*(1-Contrib!F$112)*100/(24*Input!$F$58)</f>
        <v>1.3303904890193936E-2</v>
      </c>
      <c r="G124" s="37">
        <f>Multi!G909*G$11*LAFs!G$255*(1-Contrib!G$112)*100/(24*Input!$F$58)</f>
        <v>0</v>
      </c>
      <c r="H124" s="37">
        <f>Multi!H909*H$11*LAFs!H$255*(1-Contrib!H$112)*100/(24*Input!$F$58)</f>
        <v>1.690708753234187E-2</v>
      </c>
      <c r="I124" s="37">
        <f>Multi!I909*I$11*LAFs!I$255*(1-Contrib!I$112)*100/(24*Input!$F$58)</f>
        <v>1.5350289713048191E-2</v>
      </c>
      <c r="J124" s="37">
        <f>Multi!J909*J$11*LAFs!J$255*(1-Contrib!J$112)*100/(24*Input!$F$58)</f>
        <v>3.6469769310809239E-4</v>
      </c>
      <c r="K124" s="37">
        <f>Multi!B909*K$11*LAFs!B$255*(1-Contrib!K$112)*100/(24*Input!$F$58)</f>
        <v>1.9529385095021807E-3</v>
      </c>
      <c r="L124" s="37">
        <f>Multi!C909*L$11*LAFs!C$255*(1-Contrib!L$112)*100/(24*Input!$F$58)</f>
        <v>5.53397657707232E-3</v>
      </c>
      <c r="M124" s="37">
        <f>Multi!D909*M$11*LAFs!D$255*(1-Contrib!M$112)*100/(24*Input!$F$58)</f>
        <v>2.1889942188251165E-3</v>
      </c>
      <c r="N124" s="37">
        <f>Multi!E909*N$11*LAFs!E$255*(1-Contrib!N$112)*100/(24*Input!$F$58)</f>
        <v>7.6890201399723163E-3</v>
      </c>
      <c r="O124" s="37">
        <f>Multi!F909*O$11*LAFs!F$255*(1-Contrib!O$112)*100/(24*Input!$F$58)</f>
        <v>4.8502600234103591E-3</v>
      </c>
      <c r="P124" s="37">
        <f>Multi!G909*P$11*LAFs!G$255*(1-Contrib!P$112)*100/(24*Input!$F$58)</f>
        <v>0</v>
      </c>
      <c r="Q124" s="37">
        <f>Multi!H909*Q$11*LAFs!H$255*(1-Contrib!Q$112)*100/(24*Input!$F$58)</f>
        <v>8.8055533262333414E-3</v>
      </c>
      <c r="R124" s="37">
        <f>Multi!I909*R$11*LAFs!I$255*(1-Contrib!R$112)*100/(24*Input!$F$58)</f>
        <v>7.9947415178878139E-3</v>
      </c>
      <c r="S124" s="37">
        <f>Multi!J909*S$11*LAFs!J$255*(1-Contrib!S$112)*100/(24*Input!$F$58)</f>
        <v>4.4319785709832386E-3</v>
      </c>
      <c r="T124" s="17"/>
    </row>
    <row r="125" spans="1:20" x14ac:dyDescent="0.25">
      <c r="A125" s="4" t="s">
        <v>184</v>
      </c>
      <c r="B125" s="37">
        <f>Multi!B910*B$11*LAFs!B$259*(1-Contrib!B$116)*100/(24*Input!$F$58)</f>
        <v>0</v>
      </c>
      <c r="C125" s="37">
        <f>Multi!C910*C$11*LAFs!C$259*(1-Contrib!C$116)*100/(24*Input!$F$58)</f>
        <v>-1.3813342942816083E-2</v>
      </c>
      <c r="D125" s="37">
        <f>Multi!D910*D$11*LAFs!D$259*(1-Contrib!D$116)*100/(24*Input!$F$58)</f>
        <v>-5.4639421441985579E-3</v>
      </c>
      <c r="E125" s="37">
        <f>Multi!E910*E$11*LAFs!E$259*(1-Contrib!E$116)*100/(24*Input!$F$58)</f>
        <v>-1.9192540952865204E-2</v>
      </c>
      <c r="F125" s="37">
        <f>Multi!F910*F$11*LAFs!F$259*(1-Contrib!F$116)*100/(24*Input!$F$58)</f>
        <v>-1.2106720028916898E-2</v>
      </c>
      <c r="G125" s="37">
        <f>Multi!G910*G$11*LAFs!G$259*(1-Contrib!G$116)*100/(24*Input!$F$58)</f>
        <v>0</v>
      </c>
      <c r="H125" s="37">
        <f>Multi!H910*H$11*LAFs!H$259*(1-Contrib!H$116)*100/(24*Input!$F$58)</f>
        <v>-1.5385661348896689E-2</v>
      </c>
      <c r="I125" s="37">
        <f>Multi!I910*I$11*LAFs!I$259*(1-Contrib!I$116)*100/(24*Input!$F$58)</f>
        <v>-1.39689558405982E-2</v>
      </c>
      <c r="J125" s="37">
        <f>Multi!J910*J$11*LAFs!J$259*(1-Contrib!J$116)*100/(24*Input!$F$58)</f>
        <v>0</v>
      </c>
      <c r="K125" s="37">
        <f>Multi!B910*K$11*LAFs!B$259*(1-Contrib!K$116)*100/(24*Input!$F$58)</f>
        <v>-1.7771984964850801E-3</v>
      </c>
      <c r="L125" s="37">
        <f>Multi!C910*L$11*LAFs!C$259*(1-Contrib!L$116)*100/(24*Input!$F$58)</f>
        <v>-5.0359879763257837E-3</v>
      </c>
      <c r="M125" s="37">
        <f>Multi!D910*M$11*LAFs!D$259*(1-Contrib!M$116)*100/(24*Input!$F$58)</f>
        <v>-1.9920121476339737E-3</v>
      </c>
      <c r="N125" s="37">
        <f>Multi!E910*N$11*LAFs!E$259*(1-Contrib!N$116)*100/(24*Input!$F$58)</f>
        <v>-6.9971046019700793E-3</v>
      </c>
      <c r="O125" s="37">
        <f>Multi!F910*O$11*LAFs!F$259*(1-Contrib!O$116)*100/(24*Input!$F$58)</f>
        <v>-4.4137973516451632E-3</v>
      </c>
      <c r="P125" s="37">
        <f>Multi!G910*P$11*LAFs!G$259*(1-Contrib!P$116)*100/(24*Input!$F$58)</f>
        <v>0</v>
      </c>
      <c r="Q125" s="37">
        <f>Multi!H910*Q$11*LAFs!H$259*(1-Contrib!Q$116)*100/(24*Input!$F$58)</f>
        <v>-8.0131637816339626E-3</v>
      </c>
      <c r="R125" s="37">
        <f>Multi!I910*R$11*LAFs!I$259*(1-Contrib!R$116)*100/(24*Input!$F$58)</f>
        <v>-7.2753148838254319E-3</v>
      </c>
      <c r="S125" s="37">
        <f>Multi!J910*S$11*LAFs!J$259*(1-Contrib!S$116)*100/(24*Input!$F$58)</f>
        <v>0</v>
      </c>
      <c r="T125" s="17"/>
    </row>
    <row r="126" spans="1:20" x14ac:dyDescent="0.25">
      <c r="A126" s="4" t="s">
        <v>186</v>
      </c>
      <c r="B126" s="37">
        <f>Multi!B911*B$11*LAFs!B$261*(1-Contrib!B$118)*100/(24*Input!$F$58)</f>
        <v>0</v>
      </c>
      <c r="C126" s="37">
        <f>Multi!C911*C$11*LAFs!C$261*(1-Contrib!C$118)*100/(24*Input!$F$58)</f>
        <v>-1.3158486468412502E-2</v>
      </c>
      <c r="D126" s="37">
        <f>Multi!D911*D$11*LAFs!D$261*(1-Contrib!D$118)*100/(24*Input!$F$58)</f>
        <v>-5.2049101413222474E-3</v>
      </c>
      <c r="E126" s="37">
        <f>Multi!E911*E$11*LAFs!E$261*(1-Contrib!E$118)*100/(24*Input!$F$58)</f>
        <v>-1.8282669985694572E-2</v>
      </c>
      <c r="F126" s="37">
        <f>Multi!F911*F$11*LAFs!F$261*(1-Contrib!F$118)*100/(24*Input!$F$58)</f>
        <v>-1.1532770332051454E-2</v>
      </c>
      <c r="G126" s="37">
        <f>Multi!G911*G$11*LAFs!G$261*(1-Contrib!G$118)*100/(24*Input!$F$58)</f>
        <v>0</v>
      </c>
      <c r="H126" s="37">
        <f>Multi!H911*H$11*LAFs!H$261*(1-Contrib!H$118)*100/(24*Input!$F$58)</f>
        <v>-1.4656265141981704E-2</v>
      </c>
      <c r="I126" s="37">
        <f>Multi!I911*I$11*LAFs!I$261*(1-Contrib!I$118)*100/(24*Input!$F$58)</f>
        <v>0</v>
      </c>
      <c r="J126" s="37">
        <f>Multi!J911*J$11*LAFs!J$261*(1-Contrib!J$118)*100/(24*Input!$F$58)</f>
        <v>0</v>
      </c>
      <c r="K126" s="37">
        <f>Multi!B911*K$11*LAFs!B$261*(1-Contrib!K$118)*100/(24*Input!$F$58)</f>
        <v>-1.6929459048755432E-3</v>
      </c>
      <c r="L126" s="37">
        <f>Multi!C911*L$11*LAFs!C$261*(1-Contrib!L$118)*100/(24*Input!$F$58)</f>
        <v>-4.7972442236391358E-3</v>
      </c>
      <c r="M126" s="37">
        <f>Multi!D911*M$11*LAFs!D$261*(1-Contrib!M$118)*100/(24*Input!$F$58)</f>
        <v>-1.8975757713441117E-3</v>
      </c>
      <c r="N126" s="37">
        <f>Multi!E911*N$11*LAFs!E$261*(1-Contrib!N$118)*100/(24*Input!$F$58)</f>
        <v>-6.6653891533890973E-3</v>
      </c>
      <c r="O126" s="37">
        <f>Multi!F911*O$11*LAFs!F$261*(1-Contrib!O$118)*100/(24*Input!$F$58)</f>
        <v>-4.2045501198638502E-3</v>
      </c>
      <c r="P126" s="37">
        <f>Multi!G911*P$11*LAFs!G$261*(1-Contrib!P$118)*100/(24*Input!$F$58)</f>
        <v>0</v>
      </c>
      <c r="Q126" s="37">
        <f>Multi!H911*Q$11*LAFs!H$261*(1-Contrib!Q$118)*100/(24*Input!$F$58)</f>
        <v>-7.6332794766845683E-3</v>
      </c>
      <c r="R126" s="37">
        <f>Multi!I911*R$11*LAFs!I$261*(1-Contrib!R$118)*100/(24*Input!$F$58)</f>
        <v>0</v>
      </c>
      <c r="S126" s="37">
        <f>Multi!J911*S$11*LAFs!J$261*(1-Contrib!S$118)*100/(24*Input!$F$58)</f>
        <v>0</v>
      </c>
      <c r="T126" s="17"/>
    </row>
    <row r="127" spans="1:20" x14ac:dyDescent="0.25">
      <c r="A127" s="4" t="s">
        <v>195</v>
      </c>
      <c r="B127" s="37">
        <f>Multi!B912*B$11*LAFs!B$263*(1-Contrib!B$120)*100/(24*Input!$F$58)</f>
        <v>0</v>
      </c>
      <c r="C127" s="37">
        <f>Multi!C912*C$11*LAFs!C$263*(1-Contrib!C$120)*100/(24*Input!$F$58)</f>
        <v>-1.2988170878889134E-2</v>
      </c>
      <c r="D127" s="37">
        <f>Multi!D912*D$11*LAFs!D$263*(1-Contrib!D$120)*100/(24*Input!$F$58)</f>
        <v>-5.1375408932507853E-3</v>
      </c>
      <c r="E127" s="37">
        <f>Multi!E912*E$11*LAFs!E$263*(1-Contrib!E$120)*100/(24*Input!$F$58)</f>
        <v>-1.8046030025304777E-2</v>
      </c>
      <c r="F127" s="37">
        <f>Multi!F912*F$11*LAFs!F$263*(1-Contrib!F$120)*100/(24*Input!$F$58)</f>
        <v>-4.8949037277102262E-3</v>
      </c>
      <c r="G127" s="37">
        <f>Multi!G912*G$11*LAFs!G$263*(1-Contrib!G$120)*100/(24*Input!$F$58)</f>
        <v>0</v>
      </c>
      <c r="H127" s="37">
        <f>Multi!H912*H$11*LAFs!H$263*(1-Contrib!H$120)*100/(24*Input!$F$58)</f>
        <v>0</v>
      </c>
      <c r="I127" s="37">
        <f>Multi!I912*I$11*LAFs!I$263*(1-Contrib!I$120)*100/(24*Input!$F$58)</f>
        <v>0</v>
      </c>
      <c r="J127" s="37">
        <f>Multi!J912*J$11*LAFs!J$263*(1-Contrib!J$120)*100/(24*Input!$F$58)</f>
        <v>0</v>
      </c>
      <c r="K127" s="37">
        <f>Multi!B912*K$11*LAFs!B$263*(1-Contrib!K$120)*100/(24*Input!$F$58)</f>
        <v>-1.6710334242485186E-3</v>
      </c>
      <c r="L127" s="37">
        <f>Multi!C912*L$11*LAFs!C$263*(1-Contrib!L$120)*100/(24*Input!$F$58)</f>
        <v>-4.7351515597147537E-3</v>
      </c>
      <c r="M127" s="37">
        <f>Multi!D912*M$11*LAFs!D$263*(1-Contrib!M$120)*100/(24*Input!$F$58)</f>
        <v>-1.8730146839472019E-3</v>
      </c>
      <c r="N127" s="37">
        <f>Multi!E912*N$11*LAFs!E$263*(1-Contrib!N$120)*100/(24*Input!$F$58)</f>
        <v>-6.5791163373028934E-3</v>
      </c>
      <c r="O127" s="37">
        <f>Multi!F912*O$11*LAFs!F$263*(1-Contrib!O$120)*100/(24*Input!$F$58)</f>
        <v>-4.1501289344133656E-3</v>
      </c>
      <c r="P127" s="37">
        <f>Multi!G912*P$11*LAFs!G$263*(1-Contrib!P$120)*100/(24*Input!$F$58)</f>
        <v>0</v>
      </c>
      <c r="Q127" s="37">
        <f>Multi!H912*Q$11*LAFs!H$263*(1-Contrib!Q$120)*100/(24*Input!$F$58)</f>
        <v>0</v>
      </c>
      <c r="R127" s="37">
        <f>Multi!I912*R$11*LAFs!I$263*(1-Contrib!R$120)*100/(24*Input!$F$58)</f>
        <v>0</v>
      </c>
      <c r="S127" s="37">
        <f>Multi!J912*S$11*LAFs!J$263*(1-Contrib!S$120)*100/(24*Input!$F$58)</f>
        <v>0</v>
      </c>
      <c r="T127" s="17"/>
    </row>
  </sheetData>
  <sheetProtection sheet="1" objects="1" scenarios="1"/>
  <hyperlinks>
    <hyperlink ref="A6" location="'DRM'!B129" display="x1 = 2109. Network model annuity by simultaneous maximum load for each network level (£/kW/year)"/>
    <hyperlink ref="A7" location="'Otex'!B107" display="x2 = 2710. Unit operating expenditure based on simultaneous maximum load (£/kW/year)"/>
    <hyperlink ref="A15" location="'Yard'!B10" display="x1 = 2901. Unit cost at each level, £/kW/year (relative to system simultaneous maximum load)"/>
    <hyperlink ref="A16" location="'Loads'!B45" display="x2 = 2302. Load coefficient"/>
    <hyperlink ref="A17" location="'LAFs'!B236" display="x3 = 2012. Loss adjustment factors between end user meter reading and each network level, scaled by network use"/>
    <hyperlink ref="A18" location="'Contrib'!B93" display="x4 = 2804. Proportion of annual charge covered by contributions (for all charging levels)"/>
    <hyperlink ref="A19" location="'Input'!F57" display="x5 = 1010. Days in the charging year (in Financial and general assumptions)"/>
    <hyperlink ref="A53" location="'Multi'!B851" display="x1 = 2460. Unit rate 1 pseudo load coefficient by network level (combined)"/>
    <hyperlink ref="A54" location="'Yard'!B10" display="x2 = 2901. Unit cost at each level, £/kW/year (relative to system simultaneous maximum load)"/>
    <hyperlink ref="A55" location="'LAFs'!B236" display="x3 = 2012. Loss adjustment factors between end user meter reading and each network level, scaled by network use"/>
    <hyperlink ref="A56" location="'Contrib'!B93" display="x4 = 2804. Proportion of annual charge covered by contributions (for all charging levels)"/>
    <hyperlink ref="A57" location="'Input'!F57" display="x5 = 1010. Days in the charging year (in Financial and general assumptions)"/>
    <hyperlink ref="A86" location="'Multi'!B881" display="x1 = 2461. Unit rate 2 pseudo load coefficient by network level (combined)"/>
    <hyperlink ref="A87" location="'Yard'!B10" display="x2 = 2901. Unit cost at each level, £/kW/year (relative to system simultaneous maximum load)"/>
    <hyperlink ref="A88" location="'LAFs'!B236" display="x3 = 2012. Loss adjustment factors between end user meter reading and each network level, scaled by network use"/>
    <hyperlink ref="A89" location="'Contrib'!B93" display="x4 = 2804. Proportion of annual charge covered by contributions (for all charging levels)"/>
    <hyperlink ref="A90" location="'Input'!F57" display="x5 = 1010. Days in the charging year (in Financial and general assumptions)"/>
    <hyperlink ref="A111" location="'Multi'!B903" display="x1 = 2462. Unit rate 3 pseudo load coefficient by network level (combined)"/>
    <hyperlink ref="A112" location="'Yard'!B10" display="x2 = 2901. Unit cost at each level, £/kW/year (relative to system simultaneous maximum load)"/>
    <hyperlink ref="A113" location="'LAFs'!B236" display="x3 = 2012. Loss adjustment factors between end user meter reading and each network level, scaled by network use"/>
    <hyperlink ref="A114" location="'Contrib'!B93" display="x4 = 2804. Proportion of annual charge covered by contributions (for all charging levels)"/>
    <hyperlink ref="A115" location="'Input'!F57" display="x5 = 1010. Days in the charging year (in Financial and general assumptions)"/>
  </hyperlinks>
  <pageMargins left="0.7" right="0.7" top="0.75" bottom="0.75" header="0.3" footer="0.3"/>
  <pageSetup paperSize="9" fitToHeight="0" orientation="landscape"/>
  <headerFooter>
    <oddHeader>&amp;L&amp;A&amp;C&amp;R&amp;P of &amp;N</oddHeader>
    <oddFooter>&amp;F</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130"/>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x14ac:dyDescent="0.25"/>
  <cols>
    <col min="1" max="1" width="50.7109375" customWidth="1"/>
    <col min="2" max="251" width="16.7109375" customWidth="1"/>
  </cols>
  <sheetData>
    <row r="1" spans="1:20" ht="21" customHeight="1" x14ac:dyDescent="0.3">
      <c r="A1" s="1" t="str">
        <f>"Allocation to standing charges for "&amp;Input!B7&amp;" in "&amp;Input!C7&amp;" ("&amp;Input!D7&amp;")"</f>
        <v>Allocation to standing charges for Electricity North West in 2017/2018 (December 2015)</v>
      </c>
    </row>
    <row r="2" spans="1:20" x14ac:dyDescent="0.25">
      <c r="A2" s="2" t="s">
        <v>982</v>
      </c>
    </row>
    <row r="4" spans="1:20" ht="21" customHeight="1" x14ac:dyDescent="0.3">
      <c r="A4" s="1" t="s">
        <v>983</v>
      </c>
    </row>
    <row r="5" spans="1:20" x14ac:dyDescent="0.25">
      <c r="A5" s="2" t="s">
        <v>350</v>
      </c>
    </row>
    <row r="6" spans="1:20" x14ac:dyDescent="0.25">
      <c r="A6" s="32" t="s">
        <v>971</v>
      </c>
    </row>
    <row r="7" spans="1:20" x14ac:dyDescent="0.25">
      <c r="A7" s="32" t="s">
        <v>984</v>
      </c>
    </row>
    <row r="8" spans="1:20" x14ac:dyDescent="0.25">
      <c r="A8" s="2" t="s">
        <v>985</v>
      </c>
    </row>
    <row r="10" spans="1:20" ht="30" x14ac:dyDescent="0.25">
      <c r="B10" s="15" t="s">
        <v>139</v>
      </c>
      <c r="C10" s="15" t="s">
        <v>313</v>
      </c>
      <c r="D10" s="15" t="s">
        <v>314</v>
      </c>
      <c r="E10" s="15" t="s">
        <v>315</v>
      </c>
      <c r="F10" s="15" t="s">
        <v>316</v>
      </c>
      <c r="G10" s="15" t="s">
        <v>317</v>
      </c>
      <c r="H10" s="15" t="s">
        <v>318</v>
      </c>
      <c r="I10" s="15" t="s">
        <v>319</v>
      </c>
      <c r="J10" s="15" t="s">
        <v>320</v>
      </c>
      <c r="K10" s="15" t="s">
        <v>301</v>
      </c>
      <c r="L10" s="15" t="s">
        <v>876</v>
      </c>
      <c r="M10" s="15" t="s">
        <v>877</v>
      </c>
      <c r="N10" s="15" t="s">
        <v>878</v>
      </c>
      <c r="O10" s="15" t="s">
        <v>879</v>
      </c>
      <c r="P10" s="15" t="s">
        <v>880</v>
      </c>
      <c r="Q10" s="15" t="s">
        <v>881</v>
      </c>
      <c r="R10" s="15" t="s">
        <v>882</v>
      </c>
      <c r="S10" s="15" t="s">
        <v>883</v>
      </c>
    </row>
    <row r="11" spans="1:20" x14ac:dyDescent="0.25">
      <c r="A11" s="4" t="s">
        <v>986</v>
      </c>
      <c r="B11" s="37">
        <f>Yard!B11/(1+AMD!B202)</f>
        <v>0</v>
      </c>
      <c r="C11" s="37">
        <f>Yard!C11/(1+AMD!C202)</f>
        <v>9.3696964488663497</v>
      </c>
      <c r="D11" s="37">
        <f>Yard!D11/(1+AMD!D202)</f>
        <v>3.7244321243991529</v>
      </c>
      <c r="E11" s="37">
        <f>Yard!E11/(1+AMD!E202)</f>
        <v>8.7075639896538881</v>
      </c>
      <c r="F11" s="37">
        <f>Yard!F11/(1+AMD!F202)</f>
        <v>5.5224965070936847</v>
      </c>
      <c r="G11" s="37">
        <f>Yard!G11/(1+AMD!G202)</f>
        <v>0</v>
      </c>
      <c r="H11" s="37">
        <f>Yard!H11/(1+AMD!H202)</f>
        <v>7.7713718814565516</v>
      </c>
      <c r="I11" s="37">
        <f>Yard!I11/(1+AMD!I202)</f>
        <v>7.1483105467196442</v>
      </c>
      <c r="J11" s="37">
        <f>Yard!J11/(1+AMD!J202)</f>
        <v>3.6283735890338269</v>
      </c>
      <c r="K11" s="37">
        <f>Yard!K11/(1+AMD!B202)</f>
        <v>4.6532008547390964</v>
      </c>
      <c r="L11" s="37">
        <f>Yard!L11/(1+AMD!C202)</f>
        <v>3.4159492639580944</v>
      </c>
      <c r="M11" s="37">
        <f>Yard!M11/(1+AMD!D202)</f>
        <v>1.3578317337636348</v>
      </c>
      <c r="N11" s="37">
        <f>Yard!N11/(1+AMD!E202)</f>
        <v>3.1745528751814609</v>
      </c>
      <c r="O11" s="37">
        <f>Yard!O11/(1+AMD!F202)</f>
        <v>2.0133595556236257</v>
      </c>
      <c r="P11" s="37">
        <f>Yard!P11/(1+AMD!G202)</f>
        <v>0</v>
      </c>
      <c r="Q11" s="37">
        <f>Yard!Q11/(1+AMD!H202)</f>
        <v>2.8332414185753088</v>
      </c>
      <c r="R11" s="37">
        <f>Yard!R11/(1+AMD!I202)</f>
        <v>2.6060893524000175</v>
      </c>
      <c r="S11" s="37">
        <f>Yard!S11/(1+AMD!J202)</f>
        <v>1.3228112733923942</v>
      </c>
      <c r="T11" s="17"/>
    </row>
    <row r="13" spans="1:20" ht="21" customHeight="1" x14ac:dyDescent="0.3">
      <c r="A13" s="1" t="s">
        <v>987</v>
      </c>
    </row>
    <row r="14" spans="1:20" x14ac:dyDescent="0.25">
      <c r="A14" s="2" t="s">
        <v>988</v>
      </c>
    </row>
    <row r="15" spans="1:20" x14ac:dyDescent="0.25">
      <c r="A15" s="2" t="s">
        <v>350</v>
      </c>
    </row>
    <row r="16" spans="1:20" x14ac:dyDescent="0.25">
      <c r="A16" s="32" t="s">
        <v>989</v>
      </c>
    </row>
    <row r="17" spans="1:20" x14ac:dyDescent="0.25">
      <c r="A17" s="32" t="s">
        <v>990</v>
      </c>
    </row>
    <row r="18" spans="1:20" x14ac:dyDescent="0.25">
      <c r="A18" s="32" t="s">
        <v>991</v>
      </c>
    </row>
    <row r="19" spans="1:20" x14ac:dyDescent="0.25">
      <c r="A19" s="32" t="s">
        <v>992</v>
      </c>
    </row>
    <row r="20" spans="1:20" x14ac:dyDescent="0.25">
      <c r="A20" s="32" t="s">
        <v>740</v>
      </c>
    </row>
    <row r="21" spans="1:20" x14ac:dyDescent="0.25">
      <c r="A21" s="32" t="s">
        <v>993</v>
      </c>
    </row>
    <row r="22" spans="1:20" x14ac:dyDescent="0.25">
      <c r="A22" s="2" t="s">
        <v>994</v>
      </c>
    </row>
    <row r="24" spans="1:20" ht="30" x14ac:dyDescent="0.25">
      <c r="B24" s="15" t="s">
        <v>139</v>
      </c>
      <c r="C24" s="15" t="s">
        <v>313</v>
      </c>
      <c r="D24" s="15" t="s">
        <v>314</v>
      </c>
      <c r="E24" s="15" t="s">
        <v>315</v>
      </c>
      <c r="F24" s="15" t="s">
        <v>316</v>
      </c>
      <c r="G24" s="15" t="s">
        <v>317</v>
      </c>
      <c r="H24" s="15" t="s">
        <v>318</v>
      </c>
      <c r="I24" s="15" t="s">
        <v>319</v>
      </c>
      <c r="J24" s="15" t="s">
        <v>320</v>
      </c>
      <c r="K24" s="15" t="s">
        <v>301</v>
      </c>
      <c r="L24" s="15" t="s">
        <v>876</v>
      </c>
      <c r="M24" s="15" t="s">
        <v>877</v>
      </c>
      <c r="N24" s="15" t="s">
        <v>878</v>
      </c>
      <c r="O24" s="15" t="s">
        <v>879</v>
      </c>
      <c r="P24" s="15" t="s">
        <v>880</v>
      </c>
      <c r="Q24" s="15" t="s">
        <v>881</v>
      </c>
      <c r="R24" s="15" t="s">
        <v>882</v>
      </c>
      <c r="S24" s="15" t="s">
        <v>883</v>
      </c>
    </row>
    <row r="25" spans="1:20" x14ac:dyDescent="0.25">
      <c r="A25" s="4" t="s">
        <v>171</v>
      </c>
      <c r="B25" s="37">
        <f>100*AMD!B41*LAFs!B$237*B$11*Input!$E$58/Input!$F$58*(1-Contrib!B$94)</f>
        <v>0</v>
      </c>
      <c r="C25" s="37">
        <f>100*AMD!C41*LAFs!C$237*C$11*Input!$E$58/Input!$F$58*(1-Contrib!C$94)</f>
        <v>0</v>
      </c>
      <c r="D25" s="37">
        <f>100*AMD!D41*LAFs!D$237*D$11*Input!$E$58/Input!$F$58*(1-Contrib!D$94)</f>
        <v>0</v>
      </c>
      <c r="E25" s="37">
        <f>100*AMD!E41*LAFs!E$237*E$11*Input!$E$58/Input!$F$58*(1-Contrib!E$94)</f>
        <v>0</v>
      </c>
      <c r="F25" s="37">
        <f>100*AMD!F41*LAFs!F$237*F$11*Input!$E$58/Input!$F$58*(1-Contrib!F$94)</f>
        <v>0</v>
      </c>
      <c r="G25" s="37">
        <f>100*AMD!G41*LAFs!G$237*G$11*Input!$E$58/Input!$F$58*(1-Contrib!G$94)</f>
        <v>0</v>
      </c>
      <c r="H25" s="37">
        <f>100*AMD!H41*LAFs!H$237*H$11*Input!$E$58/Input!$F$58*(1-Contrib!H$94)</f>
        <v>0</v>
      </c>
      <c r="I25" s="37">
        <f>100*AMD!I41*LAFs!I$237*I$11*Input!$E$58/Input!$F$58*(1-Contrib!I$94)</f>
        <v>0</v>
      </c>
      <c r="J25" s="37">
        <f>100*AMD!J41*LAFs!J$237*J$11*Input!$E$58/Input!$F$58*(1-Contrib!J$94)</f>
        <v>2.8331136243140861E-2</v>
      </c>
      <c r="K25" s="37">
        <f>100*AMD!B41*LAFs!B$237*K$11*Input!$E$58/Input!$F$58*(1-Contrib!K$94)</f>
        <v>0</v>
      </c>
      <c r="L25" s="37">
        <f>100*AMD!C41*LAFs!C$237*L$11*Input!$E$58/Input!$F$58*(1-Contrib!L$94)</f>
        <v>0</v>
      </c>
      <c r="M25" s="37">
        <f>100*AMD!D41*LAFs!D$237*M$11*Input!$E$58/Input!$F$58*(1-Contrib!M$94)</f>
        <v>0</v>
      </c>
      <c r="N25" s="37">
        <f>100*AMD!E41*LAFs!E$237*N$11*Input!$E$58/Input!$F$58*(1-Contrib!N$94)</f>
        <v>0</v>
      </c>
      <c r="O25" s="37">
        <f>100*AMD!F41*LAFs!F$237*O$11*Input!$E$58/Input!$F$58*(1-Contrib!O$94)</f>
        <v>0</v>
      </c>
      <c r="P25" s="37">
        <f>100*AMD!G41*LAFs!G$237*P$11*Input!$E$58/Input!$F$58*(1-Contrib!P$94)</f>
        <v>0</v>
      </c>
      <c r="Q25" s="37">
        <f>100*AMD!H41*LAFs!H$237*Q$11*Input!$E$58/Input!$F$58*(1-Contrib!Q$94)</f>
        <v>0</v>
      </c>
      <c r="R25" s="37">
        <f>100*AMD!I41*LAFs!I$237*R$11*Input!$E$58/Input!$F$58*(1-Contrib!R$94)</f>
        <v>0</v>
      </c>
      <c r="S25" s="37">
        <f>100*AMD!J41*LAFs!J$237*S$11*Input!$E$58/Input!$F$58*(1-Contrib!S$94)</f>
        <v>0.34429334512952725</v>
      </c>
      <c r="T25" s="17"/>
    </row>
    <row r="26" spans="1:20" x14ac:dyDescent="0.25">
      <c r="A26" s="4" t="s">
        <v>172</v>
      </c>
      <c r="B26" s="37">
        <f>100*AMD!B42*LAFs!B$238*B$11*Input!$E$58/Input!$F$58*(1-Contrib!B$95)</f>
        <v>0</v>
      </c>
      <c r="C26" s="37">
        <f>100*AMD!C42*LAFs!C$238*C$11*Input!$E$58/Input!$F$58*(1-Contrib!C$95)</f>
        <v>0</v>
      </c>
      <c r="D26" s="37">
        <f>100*AMD!D42*LAFs!D$238*D$11*Input!$E$58/Input!$F$58*(1-Contrib!D$95)</f>
        <v>0</v>
      </c>
      <c r="E26" s="37">
        <f>100*AMD!E42*LAFs!E$238*E$11*Input!$E$58/Input!$F$58*(1-Contrib!E$95)</f>
        <v>0</v>
      </c>
      <c r="F26" s="37">
        <f>100*AMD!F42*LAFs!F$238*F$11*Input!$E$58/Input!$F$58*(1-Contrib!F$95)</f>
        <v>0</v>
      </c>
      <c r="G26" s="37">
        <f>100*AMD!G42*LAFs!G$238*G$11*Input!$E$58/Input!$F$58*(1-Contrib!G$95)</f>
        <v>0</v>
      </c>
      <c r="H26" s="37">
        <f>100*AMD!H42*LAFs!H$238*H$11*Input!$E$58/Input!$F$58*(1-Contrib!H$95)</f>
        <v>0</v>
      </c>
      <c r="I26" s="37">
        <f>100*AMD!I42*LAFs!I$238*I$11*Input!$E$58/Input!$F$58*(1-Contrib!I$95)</f>
        <v>0</v>
      </c>
      <c r="J26" s="37">
        <f>100*AMD!J42*LAFs!J$238*J$11*Input!$E$58/Input!$F$58*(1-Contrib!J$95)</f>
        <v>2.8331136243140861E-2</v>
      </c>
      <c r="K26" s="37">
        <f>100*AMD!B42*LAFs!B$238*K$11*Input!$E$58/Input!$F$58*(1-Contrib!K$95)</f>
        <v>0</v>
      </c>
      <c r="L26" s="37">
        <f>100*AMD!C42*LAFs!C$238*L$11*Input!$E$58/Input!$F$58*(1-Contrib!L$95)</f>
        <v>0</v>
      </c>
      <c r="M26" s="37">
        <f>100*AMD!D42*LAFs!D$238*M$11*Input!$E$58/Input!$F$58*(1-Contrib!M$95)</f>
        <v>0</v>
      </c>
      <c r="N26" s="37">
        <f>100*AMD!E42*LAFs!E$238*N$11*Input!$E$58/Input!$F$58*(1-Contrib!N$95)</f>
        <v>0</v>
      </c>
      <c r="O26" s="37">
        <f>100*AMD!F42*LAFs!F$238*O$11*Input!$E$58/Input!$F$58*(1-Contrib!O$95)</f>
        <v>0</v>
      </c>
      <c r="P26" s="37">
        <f>100*AMD!G42*LAFs!G$238*P$11*Input!$E$58/Input!$F$58*(1-Contrib!P$95)</f>
        <v>0</v>
      </c>
      <c r="Q26" s="37">
        <f>100*AMD!H42*LAFs!H$238*Q$11*Input!$E$58/Input!$F$58*(1-Contrib!Q$95)</f>
        <v>0</v>
      </c>
      <c r="R26" s="37">
        <f>100*AMD!I42*LAFs!I$238*R$11*Input!$E$58/Input!$F$58*(1-Contrib!R$95)</f>
        <v>0</v>
      </c>
      <c r="S26" s="37">
        <f>100*AMD!J42*LAFs!J$238*S$11*Input!$E$58/Input!$F$58*(1-Contrib!S$95)</f>
        <v>0.34429334512952725</v>
      </c>
      <c r="T26" s="17"/>
    </row>
    <row r="27" spans="1:20" x14ac:dyDescent="0.25">
      <c r="A27" s="4" t="s">
        <v>213</v>
      </c>
      <c r="B27" s="37">
        <f>100*AMD!B43*LAFs!B$239*B$11*Input!$E$58/Input!$F$58*(1-Contrib!B$96)</f>
        <v>0</v>
      </c>
      <c r="C27" s="37">
        <f>100*AMD!C43*LAFs!C$239*C$11*Input!$E$58/Input!$F$58*(1-Contrib!C$96)</f>
        <v>0</v>
      </c>
      <c r="D27" s="37">
        <f>100*AMD!D43*LAFs!D$239*D$11*Input!$E$58/Input!$F$58*(1-Contrib!D$96)</f>
        <v>0</v>
      </c>
      <c r="E27" s="37">
        <f>100*AMD!E43*LAFs!E$239*E$11*Input!$E$58/Input!$F$58*(1-Contrib!E$96)</f>
        <v>0</v>
      </c>
      <c r="F27" s="37">
        <f>100*AMD!F43*LAFs!F$239*F$11*Input!$E$58/Input!$F$58*(1-Contrib!F$96)</f>
        <v>0</v>
      </c>
      <c r="G27" s="37">
        <f>100*AMD!G43*LAFs!G$239*G$11*Input!$E$58/Input!$F$58*(1-Contrib!G$96)</f>
        <v>0</v>
      </c>
      <c r="H27" s="37">
        <f>100*AMD!H43*LAFs!H$239*H$11*Input!$E$58/Input!$F$58*(1-Contrib!H$96)</f>
        <v>0</v>
      </c>
      <c r="I27" s="37">
        <f>100*AMD!I43*LAFs!I$239*I$11*Input!$E$58/Input!$F$58*(1-Contrib!I$96)</f>
        <v>0</v>
      </c>
      <c r="J27" s="37">
        <f>100*AMD!J43*LAFs!J$239*J$11*Input!$E$58/Input!$F$58*(1-Contrib!J$96)</f>
        <v>2.8331136243140861E-2</v>
      </c>
      <c r="K27" s="37">
        <f>100*AMD!B43*LAFs!B$239*K$11*Input!$E$58/Input!$F$58*(1-Contrib!K$96)</f>
        <v>0</v>
      </c>
      <c r="L27" s="37">
        <f>100*AMD!C43*LAFs!C$239*L$11*Input!$E$58/Input!$F$58*(1-Contrib!L$96)</f>
        <v>0</v>
      </c>
      <c r="M27" s="37">
        <f>100*AMD!D43*LAFs!D$239*M$11*Input!$E$58/Input!$F$58*(1-Contrib!M$96)</f>
        <v>0</v>
      </c>
      <c r="N27" s="37">
        <f>100*AMD!E43*LAFs!E$239*N$11*Input!$E$58/Input!$F$58*(1-Contrib!N$96)</f>
        <v>0</v>
      </c>
      <c r="O27" s="37">
        <f>100*AMD!F43*LAFs!F$239*O$11*Input!$E$58/Input!$F$58*(1-Contrib!O$96)</f>
        <v>0</v>
      </c>
      <c r="P27" s="37">
        <f>100*AMD!G43*LAFs!G$239*P$11*Input!$E$58/Input!$F$58*(1-Contrib!P$96)</f>
        <v>0</v>
      </c>
      <c r="Q27" s="37">
        <f>100*AMD!H43*LAFs!H$239*Q$11*Input!$E$58/Input!$F$58*(1-Contrib!Q$96)</f>
        <v>0</v>
      </c>
      <c r="R27" s="37">
        <f>100*AMD!I43*LAFs!I$239*R$11*Input!$E$58/Input!$F$58*(1-Contrib!R$96)</f>
        <v>0</v>
      </c>
      <c r="S27" s="37">
        <f>100*AMD!J43*LAFs!J$239*S$11*Input!$E$58/Input!$F$58*(1-Contrib!S$96)</f>
        <v>0.34429334512952725</v>
      </c>
      <c r="T27" s="17"/>
    </row>
    <row r="28" spans="1:20" x14ac:dyDescent="0.25">
      <c r="A28" s="4" t="s">
        <v>173</v>
      </c>
      <c r="B28" s="37">
        <f>100*AMD!B44*LAFs!B$240*B$11*Input!$E$58/Input!$F$58*(1-Contrib!B$97)</f>
        <v>0</v>
      </c>
      <c r="C28" s="37">
        <f>100*AMD!C44*LAFs!C$240*C$11*Input!$E$58/Input!$F$58*(1-Contrib!C$97)</f>
        <v>0</v>
      </c>
      <c r="D28" s="37">
        <f>100*AMD!D44*LAFs!D$240*D$11*Input!$E$58/Input!$F$58*(1-Contrib!D$97)</f>
        <v>0</v>
      </c>
      <c r="E28" s="37">
        <f>100*AMD!E44*LAFs!E$240*E$11*Input!$E$58/Input!$F$58*(1-Contrib!E$97)</f>
        <v>0</v>
      </c>
      <c r="F28" s="37">
        <f>100*AMD!F44*LAFs!F$240*F$11*Input!$E$58/Input!$F$58*(1-Contrib!F$97)</f>
        <v>0</v>
      </c>
      <c r="G28" s="37">
        <f>100*AMD!G44*LAFs!G$240*G$11*Input!$E$58/Input!$F$58*(1-Contrib!G$97)</f>
        <v>0</v>
      </c>
      <c r="H28" s="37">
        <f>100*AMD!H44*LAFs!H$240*H$11*Input!$E$58/Input!$F$58*(1-Contrib!H$97)</f>
        <v>0</v>
      </c>
      <c r="I28" s="37">
        <f>100*AMD!I44*LAFs!I$240*I$11*Input!$E$58/Input!$F$58*(1-Contrib!I$97)</f>
        <v>0</v>
      </c>
      <c r="J28" s="37">
        <f>100*AMD!J44*LAFs!J$240*J$11*Input!$E$58/Input!$F$58*(1-Contrib!J$97)</f>
        <v>2.8331136243140861E-2</v>
      </c>
      <c r="K28" s="37">
        <f>100*AMD!B44*LAFs!B$240*K$11*Input!$E$58/Input!$F$58*(1-Contrib!K$97)</f>
        <v>0</v>
      </c>
      <c r="L28" s="37">
        <f>100*AMD!C44*LAFs!C$240*L$11*Input!$E$58/Input!$F$58*(1-Contrib!L$97)</f>
        <v>0</v>
      </c>
      <c r="M28" s="37">
        <f>100*AMD!D44*LAFs!D$240*M$11*Input!$E$58/Input!$F$58*(1-Contrib!M$97)</f>
        <v>0</v>
      </c>
      <c r="N28" s="37">
        <f>100*AMD!E44*LAFs!E$240*N$11*Input!$E$58/Input!$F$58*(1-Contrib!N$97)</f>
        <v>0</v>
      </c>
      <c r="O28" s="37">
        <f>100*AMD!F44*LAFs!F$240*O$11*Input!$E$58/Input!$F$58*(1-Contrib!O$97)</f>
        <v>0</v>
      </c>
      <c r="P28" s="37">
        <f>100*AMD!G44*LAFs!G$240*P$11*Input!$E$58/Input!$F$58*(1-Contrib!P$97)</f>
        <v>0</v>
      </c>
      <c r="Q28" s="37">
        <f>100*AMD!H44*LAFs!H$240*Q$11*Input!$E$58/Input!$F$58*(1-Contrib!Q$97)</f>
        <v>0</v>
      </c>
      <c r="R28" s="37">
        <f>100*AMD!I44*LAFs!I$240*R$11*Input!$E$58/Input!$F$58*(1-Contrib!R$97)</f>
        <v>0</v>
      </c>
      <c r="S28" s="37">
        <f>100*AMD!J44*LAFs!J$240*S$11*Input!$E$58/Input!$F$58*(1-Contrib!S$97)</f>
        <v>0.34429334512952725</v>
      </c>
      <c r="T28" s="17"/>
    </row>
    <row r="29" spans="1:20" x14ac:dyDescent="0.25">
      <c r="A29" s="4" t="s">
        <v>174</v>
      </c>
      <c r="B29" s="37">
        <f>100*AMD!B45*LAFs!B$241*B$11*Input!$E$58/Input!$F$58*(1-Contrib!B$98)</f>
        <v>0</v>
      </c>
      <c r="C29" s="37">
        <f>100*AMD!C45*LAFs!C$241*C$11*Input!$E$58/Input!$F$58*(1-Contrib!C$98)</f>
        <v>0</v>
      </c>
      <c r="D29" s="37">
        <f>100*AMD!D45*LAFs!D$241*D$11*Input!$E$58/Input!$F$58*(1-Contrib!D$98)</f>
        <v>0</v>
      </c>
      <c r="E29" s="37">
        <f>100*AMD!E45*LAFs!E$241*E$11*Input!$E$58/Input!$F$58*(1-Contrib!E$98)</f>
        <v>0</v>
      </c>
      <c r="F29" s="37">
        <f>100*AMD!F45*LAFs!F$241*F$11*Input!$E$58/Input!$F$58*(1-Contrib!F$98)</f>
        <v>0</v>
      </c>
      <c r="G29" s="37">
        <f>100*AMD!G45*LAFs!G$241*G$11*Input!$E$58/Input!$F$58*(1-Contrib!G$98)</f>
        <v>0</v>
      </c>
      <c r="H29" s="37">
        <f>100*AMD!H45*LAFs!H$241*H$11*Input!$E$58/Input!$F$58*(1-Contrib!H$98)</f>
        <v>0</v>
      </c>
      <c r="I29" s="37">
        <f>100*AMD!I45*LAFs!I$241*I$11*Input!$E$58/Input!$F$58*(1-Contrib!I$98)</f>
        <v>0</v>
      </c>
      <c r="J29" s="37">
        <f>100*AMD!J45*LAFs!J$241*J$11*Input!$E$58/Input!$F$58*(1-Contrib!J$98)</f>
        <v>2.8331136243140861E-2</v>
      </c>
      <c r="K29" s="37">
        <f>100*AMD!B45*LAFs!B$241*K$11*Input!$E$58/Input!$F$58*(1-Contrib!K$98)</f>
        <v>0</v>
      </c>
      <c r="L29" s="37">
        <f>100*AMD!C45*LAFs!C$241*L$11*Input!$E$58/Input!$F$58*(1-Contrib!L$98)</f>
        <v>0</v>
      </c>
      <c r="M29" s="37">
        <f>100*AMD!D45*LAFs!D$241*M$11*Input!$E$58/Input!$F$58*(1-Contrib!M$98)</f>
        <v>0</v>
      </c>
      <c r="N29" s="37">
        <f>100*AMD!E45*LAFs!E$241*N$11*Input!$E$58/Input!$F$58*(1-Contrib!N$98)</f>
        <v>0</v>
      </c>
      <c r="O29" s="37">
        <f>100*AMD!F45*LAFs!F$241*O$11*Input!$E$58/Input!$F$58*(1-Contrib!O$98)</f>
        <v>0</v>
      </c>
      <c r="P29" s="37">
        <f>100*AMD!G45*LAFs!G$241*P$11*Input!$E$58/Input!$F$58*(1-Contrib!P$98)</f>
        <v>0</v>
      </c>
      <c r="Q29" s="37">
        <f>100*AMD!H45*LAFs!H$241*Q$11*Input!$E$58/Input!$F$58*(1-Contrib!Q$98)</f>
        <v>0</v>
      </c>
      <c r="R29" s="37">
        <f>100*AMD!I45*LAFs!I$241*R$11*Input!$E$58/Input!$F$58*(1-Contrib!R$98)</f>
        <v>0</v>
      </c>
      <c r="S29" s="37">
        <f>100*AMD!J45*LAFs!J$241*S$11*Input!$E$58/Input!$F$58*(1-Contrib!S$98)</f>
        <v>0.34429334512952725</v>
      </c>
      <c r="T29" s="17"/>
    </row>
    <row r="30" spans="1:20" x14ac:dyDescent="0.25">
      <c r="A30" s="4" t="s">
        <v>214</v>
      </c>
      <c r="B30" s="37">
        <f>100*AMD!B46*LAFs!B$242*B$11*Input!$E$58/Input!$F$58*(1-Contrib!B$99)</f>
        <v>0</v>
      </c>
      <c r="C30" s="37">
        <f>100*AMD!C46*LAFs!C$242*C$11*Input!$E$58/Input!$F$58*(1-Contrib!C$99)</f>
        <v>0</v>
      </c>
      <c r="D30" s="37">
        <f>100*AMD!D46*LAFs!D$242*D$11*Input!$E$58/Input!$F$58*(1-Contrib!D$99)</f>
        <v>0</v>
      </c>
      <c r="E30" s="37">
        <f>100*AMD!E46*LAFs!E$242*E$11*Input!$E$58/Input!$F$58*(1-Contrib!E$99)</f>
        <v>0</v>
      </c>
      <c r="F30" s="37">
        <f>100*AMD!F46*LAFs!F$242*F$11*Input!$E$58/Input!$F$58*(1-Contrib!F$99)</f>
        <v>0</v>
      </c>
      <c r="G30" s="37">
        <f>100*AMD!G46*LAFs!G$242*G$11*Input!$E$58/Input!$F$58*(1-Contrib!G$99)</f>
        <v>0</v>
      </c>
      <c r="H30" s="37">
        <f>100*AMD!H46*LAFs!H$242*H$11*Input!$E$58/Input!$F$58*(1-Contrib!H$99)</f>
        <v>0</v>
      </c>
      <c r="I30" s="37">
        <f>100*AMD!I46*LAFs!I$242*I$11*Input!$E$58/Input!$F$58*(1-Contrib!I$99)</f>
        <v>0</v>
      </c>
      <c r="J30" s="37">
        <f>100*AMD!J46*LAFs!J$242*J$11*Input!$E$58/Input!$F$58*(1-Contrib!J$99)</f>
        <v>2.8331136243140861E-2</v>
      </c>
      <c r="K30" s="37">
        <f>100*AMD!B46*LAFs!B$242*K$11*Input!$E$58/Input!$F$58*(1-Contrib!K$99)</f>
        <v>0</v>
      </c>
      <c r="L30" s="37">
        <f>100*AMD!C46*LAFs!C$242*L$11*Input!$E$58/Input!$F$58*(1-Contrib!L$99)</f>
        <v>0</v>
      </c>
      <c r="M30" s="37">
        <f>100*AMD!D46*LAFs!D$242*M$11*Input!$E$58/Input!$F$58*(1-Contrib!M$99)</f>
        <v>0</v>
      </c>
      <c r="N30" s="37">
        <f>100*AMD!E46*LAFs!E$242*N$11*Input!$E$58/Input!$F$58*(1-Contrib!N$99)</f>
        <v>0</v>
      </c>
      <c r="O30" s="37">
        <f>100*AMD!F46*LAFs!F$242*O$11*Input!$E$58/Input!$F$58*(1-Contrib!O$99)</f>
        <v>0</v>
      </c>
      <c r="P30" s="37">
        <f>100*AMD!G46*LAFs!G$242*P$11*Input!$E$58/Input!$F$58*(1-Contrib!P$99)</f>
        <v>0</v>
      </c>
      <c r="Q30" s="37">
        <f>100*AMD!H46*LAFs!H$242*Q$11*Input!$E$58/Input!$F$58*(1-Contrib!Q$99)</f>
        <v>0</v>
      </c>
      <c r="R30" s="37">
        <f>100*AMD!I46*LAFs!I$242*R$11*Input!$E$58/Input!$F$58*(1-Contrib!R$99)</f>
        <v>0</v>
      </c>
      <c r="S30" s="37">
        <f>100*AMD!J46*LAFs!J$242*S$11*Input!$E$58/Input!$F$58*(1-Contrib!S$99)</f>
        <v>0.34429334512952725</v>
      </c>
      <c r="T30" s="17"/>
    </row>
    <row r="31" spans="1:20" x14ac:dyDescent="0.25">
      <c r="A31" s="4" t="s">
        <v>175</v>
      </c>
      <c r="B31" s="37">
        <f>100*AMD!B47*LAFs!B$243*B$11*Input!$E$58/Input!$F$58*(1-Contrib!B$100)</f>
        <v>0</v>
      </c>
      <c r="C31" s="37">
        <f>100*AMD!C47*LAFs!C$243*C$11*Input!$E$58/Input!$F$58*(1-Contrib!C$100)</f>
        <v>0</v>
      </c>
      <c r="D31" s="37">
        <f>100*AMD!D47*LAFs!D$243*D$11*Input!$E$58/Input!$F$58*(1-Contrib!D$100)</f>
        <v>0</v>
      </c>
      <c r="E31" s="37">
        <f>100*AMD!E47*LAFs!E$243*E$11*Input!$E$58/Input!$F$58*(1-Contrib!E$100)</f>
        <v>0</v>
      </c>
      <c r="F31" s="37">
        <f>100*AMD!F47*LAFs!F$243*F$11*Input!$E$58/Input!$F$58*(1-Contrib!F$100)</f>
        <v>0</v>
      </c>
      <c r="G31" s="37">
        <f>100*AMD!G47*LAFs!G$243*G$11*Input!$E$58/Input!$F$58*(1-Contrib!G$100)</f>
        <v>0</v>
      </c>
      <c r="H31" s="37">
        <f>100*AMD!H47*LAFs!H$243*H$11*Input!$E$58/Input!$F$58*(1-Contrib!H$100)</f>
        <v>0</v>
      </c>
      <c r="I31" s="37">
        <f>100*AMD!I47*LAFs!I$243*I$11*Input!$E$58/Input!$F$58*(1-Contrib!I$100)</f>
        <v>0</v>
      </c>
      <c r="J31" s="37">
        <f>100*AMD!J47*LAFs!J$243*J$11*Input!$E$58/Input!$F$58*(1-Contrib!J$100)</f>
        <v>2.8331136243140861E-2</v>
      </c>
      <c r="K31" s="37">
        <f>100*AMD!B47*LAFs!B$243*K$11*Input!$E$58/Input!$F$58*(1-Contrib!K$100)</f>
        <v>0</v>
      </c>
      <c r="L31" s="37">
        <f>100*AMD!C47*LAFs!C$243*L$11*Input!$E$58/Input!$F$58*(1-Contrib!L$100)</f>
        <v>0</v>
      </c>
      <c r="M31" s="37">
        <f>100*AMD!D47*LAFs!D$243*M$11*Input!$E$58/Input!$F$58*(1-Contrib!M$100)</f>
        <v>0</v>
      </c>
      <c r="N31" s="37">
        <f>100*AMD!E47*LAFs!E$243*N$11*Input!$E$58/Input!$F$58*(1-Contrib!N$100)</f>
        <v>0</v>
      </c>
      <c r="O31" s="37">
        <f>100*AMD!F47*LAFs!F$243*O$11*Input!$E$58/Input!$F$58*(1-Contrib!O$100)</f>
        <v>0</v>
      </c>
      <c r="P31" s="37">
        <f>100*AMD!G47*LAFs!G$243*P$11*Input!$E$58/Input!$F$58*(1-Contrib!P$100)</f>
        <v>0</v>
      </c>
      <c r="Q31" s="37">
        <f>100*AMD!H47*LAFs!H$243*Q$11*Input!$E$58/Input!$F$58*(1-Contrib!Q$100)</f>
        <v>0</v>
      </c>
      <c r="R31" s="37">
        <f>100*AMD!I47*LAFs!I$243*R$11*Input!$E$58/Input!$F$58*(1-Contrib!R$100)</f>
        <v>0</v>
      </c>
      <c r="S31" s="37">
        <f>100*AMD!J47*LAFs!J$243*S$11*Input!$E$58/Input!$F$58*(1-Contrib!S$100)</f>
        <v>0.34429334512952725</v>
      </c>
      <c r="T31" s="17"/>
    </row>
    <row r="32" spans="1:20" x14ac:dyDescent="0.25">
      <c r="A32" s="4" t="s">
        <v>176</v>
      </c>
      <c r="B32" s="37">
        <f>100*AMD!B48*LAFs!B$244*B$11*Input!$E$58/Input!$F$58*(1-Contrib!B$101)</f>
        <v>0</v>
      </c>
      <c r="C32" s="37">
        <f>100*AMD!C48*LAFs!C$244*C$11*Input!$E$58/Input!$F$58*(1-Contrib!C$101)</f>
        <v>0</v>
      </c>
      <c r="D32" s="37">
        <f>100*AMD!D48*LAFs!D$244*D$11*Input!$E$58/Input!$F$58*(1-Contrib!D$101)</f>
        <v>0</v>
      </c>
      <c r="E32" s="37">
        <f>100*AMD!E48*LAFs!E$244*E$11*Input!$E$58/Input!$F$58*(1-Contrib!E$101)</f>
        <v>0</v>
      </c>
      <c r="F32" s="37">
        <f>100*AMD!F48*LAFs!F$244*F$11*Input!$E$58/Input!$F$58*(1-Contrib!F$101)</f>
        <v>0</v>
      </c>
      <c r="G32" s="37">
        <f>100*AMD!G48*LAFs!G$244*G$11*Input!$E$58/Input!$F$58*(1-Contrib!G$101)</f>
        <v>0</v>
      </c>
      <c r="H32" s="37">
        <f>100*AMD!H48*LAFs!H$244*H$11*Input!$E$58/Input!$F$58*(1-Contrib!H$101)</f>
        <v>0</v>
      </c>
      <c r="I32" s="37">
        <f>100*AMD!I48*LAFs!I$244*I$11*Input!$E$58/Input!$F$58*(1-Contrib!I$101)</f>
        <v>5.5815575501783572E-2</v>
      </c>
      <c r="J32" s="37">
        <f>100*AMD!J48*LAFs!J$244*J$11*Input!$E$58/Input!$F$58*(1-Contrib!J$101)</f>
        <v>0</v>
      </c>
      <c r="K32" s="37">
        <f>100*AMD!B48*LAFs!B$244*K$11*Input!$E$58/Input!$F$58*(1-Contrib!K$101)</f>
        <v>0</v>
      </c>
      <c r="L32" s="37">
        <f>100*AMD!C48*LAFs!C$244*L$11*Input!$E$58/Input!$F$58*(1-Contrib!L$101)</f>
        <v>0</v>
      </c>
      <c r="M32" s="37">
        <f>100*AMD!D48*LAFs!D$244*M$11*Input!$E$58/Input!$F$58*(1-Contrib!M$101)</f>
        <v>0</v>
      </c>
      <c r="N32" s="37">
        <f>100*AMD!E48*LAFs!E$244*N$11*Input!$E$58/Input!$F$58*(1-Contrib!N$101)</f>
        <v>0</v>
      </c>
      <c r="O32" s="37">
        <f>100*AMD!F48*LAFs!F$244*O$11*Input!$E$58/Input!$F$58*(1-Contrib!O$101)</f>
        <v>0</v>
      </c>
      <c r="P32" s="37">
        <f>100*AMD!G48*LAFs!G$244*P$11*Input!$E$58/Input!$F$58*(1-Contrib!P$101)</f>
        <v>0</v>
      </c>
      <c r="Q32" s="37">
        <f>100*AMD!H48*LAFs!H$244*Q$11*Input!$E$58/Input!$F$58*(1-Contrib!Q$101)</f>
        <v>0</v>
      </c>
      <c r="R32" s="37">
        <f>100*AMD!I48*LAFs!I$244*R$11*Input!$E$58/Input!$F$58*(1-Contrib!R$101)</f>
        <v>0.67829722870685383</v>
      </c>
      <c r="S32" s="37">
        <f>100*AMD!J48*LAFs!J$244*S$11*Input!$E$58/Input!$F$58*(1-Contrib!S$101)</f>
        <v>0</v>
      </c>
      <c r="T32" s="17"/>
    </row>
    <row r="33" spans="1:20" x14ac:dyDescent="0.25">
      <c r="A33" s="4" t="s">
        <v>192</v>
      </c>
      <c r="B33" s="37">
        <f>100*AMD!B49*LAFs!B$245*B$11*Input!$E$58/Input!$F$58*(1-Contrib!B$102)</f>
        <v>0</v>
      </c>
      <c r="C33" s="37">
        <f>100*AMD!C49*LAFs!C$245*C$11*Input!$E$58/Input!$F$58*(1-Contrib!C$102)</f>
        <v>0</v>
      </c>
      <c r="D33" s="37">
        <f>100*AMD!D49*LAFs!D$245*D$11*Input!$E$58/Input!$F$58*(1-Contrib!D$102)</f>
        <v>0</v>
      </c>
      <c r="E33" s="37">
        <f>100*AMD!E49*LAFs!E$245*E$11*Input!$E$58/Input!$F$58*(1-Contrib!E$102)</f>
        <v>0.4611986432217296</v>
      </c>
      <c r="F33" s="37">
        <f>100*AMD!F49*LAFs!F$245*F$11*Input!$E$58/Input!$F$58*(1-Contrib!F$102)</f>
        <v>0.62549019223490265</v>
      </c>
      <c r="G33" s="37">
        <f>100*AMD!G49*LAFs!G$245*G$11*Input!$E$58/Input!$F$58*(1-Contrib!G$102)</f>
        <v>0</v>
      </c>
      <c r="H33" s="37">
        <f>100*AMD!H49*LAFs!H$245*H$11*Input!$E$58/Input!$F$58*(1-Contrib!H$102)</f>
        <v>0.18204172489439316</v>
      </c>
      <c r="I33" s="37">
        <f>100*AMD!I49*LAFs!I$245*I$11*Input!$E$58/Input!$F$58*(1-Contrib!I$102)</f>
        <v>0</v>
      </c>
      <c r="J33" s="37">
        <f>100*AMD!J49*LAFs!J$245*J$11*Input!$E$58/Input!$F$58*(1-Contrib!J$102)</f>
        <v>0</v>
      </c>
      <c r="K33" s="37">
        <f>100*AMD!B49*LAFs!B$245*K$11*Input!$E$58/Input!$F$58*(1-Contrib!K$102)</f>
        <v>0</v>
      </c>
      <c r="L33" s="37">
        <f>100*AMD!C49*LAFs!C$245*L$11*Input!$E$58/Input!$F$58*(1-Contrib!L$102)</f>
        <v>0</v>
      </c>
      <c r="M33" s="37">
        <f>100*AMD!D49*LAFs!D$245*M$11*Input!$E$58/Input!$F$58*(1-Contrib!M$102)</f>
        <v>0</v>
      </c>
      <c r="N33" s="37">
        <f>100*AMD!E49*LAFs!E$245*N$11*Input!$E$58/Input!$F$58*(1-Contrib!N$102)</f>
        <v>0.1681411104884141</v>
      </c>
      <c r="O33" s="37">
        <f>100*AMD!F49*LAFs!F$245*O$11*Input!$E$58/Input!$F$58*(1-Contrib!O$102)</f>
        <v>0.53031991830412584</v>
      </c>
      <c r="P33" s="37">
        <f>100*AMD!G49*LAFs!G$245*P$11*Input!$E$58/Input!$F$58*(1-Contrib!P$102)</f>
        <v>0</v>
      </c>
      <c r="Q33" s="37">
        <f>100*AMD!H49*LAFs!H$245*Q$11*Input!$E$58/Input!$F$58*(1-Contrib!Q$102)</f>
        <v>0.73741899935521737</v>
      </c>
      <c r="R33" s="37">
        <f>100*AMD!I49*LAFs!I$245*R$11*Input!$E$58/Input!$F$58*(1-Contrib!R$102)</f>
        <v>0</v>
      </c>
      <c r="S33" s="37">
        <f>100*AMD!J49*LAFs!J$245*S$11*Input!$E$58/Input!$F$58*(1-Contrib!S$102)</f>
        <v>0</v>
      </c>
      <c r="T33" s="17"/>
    </row>
    <row r="34" spans="1:20" x14ac:dyDescent="0.25">
      <c r="A34" s="4" t="s">
        <v>177</v>
      </c>
      <c r="B34" s="37">
        <f>100*AMD!B50*LAFs!B$246*B$11*Input!$E$58/Input!$F$58*(1-Contrib!B$103)</f>
        <v>0</v>
      </c>
      <c r="C34" s="37">
        <f>100*AMD!C50*LAFs!C$246*C$11*Input!$E$58/Input!$F$58*(1-Contrib!C$103)</f>
        <v>0</v>
      </c>
      <c r="D34" s="37">
        <f>100*AMD!D50*LAFs!D$246*D$11*Input!$E$58/Input!$F$58*(1-Contrib!D$103)</f>
        <v>0</v>
      </c>
      <c r="E34" s="37">
        <f>100*AMD!E50*LAFs!E$246*E$11*Input!$E$58/Input!$F$58*(1-Contrib!E$103)</f>
        <v>0</v>
      </c>
      <c r="F34" s="37">
        <f>100*AMD!F50*LAFs!F$246*F$11*Input!$E$58/Input!$F$58*(1-Contrib!F$103)</f>
        <v>0</v>
      </c>
      <c r="G34" s="37">
        <f>100*AMD!G50*LAFs!G$246*G$11*Input!$E$58/Input!$F$58*(1-Contrib!G$103)</f>
        <v>0</v>
      </c>
      <c r="H34" s="37">
        <f>100*AMD!H50*LAFs!H$246*H$11*Input!$E$58/Input!$F$58*(1-Contrib!H$103)</f>
        <v>0</v>
      </c>
      <c r="I34" s="37">
        <f>100*AMD!I50*LAFs!I$246*I$11*Input!$E$58/Input!$F$58*(1-Contrib!I$103)</f>
        <v>0</v>
      </c>
      <c r="J34" s="37">
        <f>100*AMD!J50*LAFs!J$246*J$11*Input!$E$58/Input!$F$58*(1-Contrib!J$103)</f>
        <v>2.8331136243140861E-2</v>
      </c>
      <c r="K34" s="37">
        <f>100*AMD!B50*LAFs!B$246*K$11*Input!$E$58/Input!$F$58*(1-Contrib!K$103)</f>
        <v>0</v>
      </c>
      <c r="L34" s="37">
        <f>100*AMD!C50*LAFs!C$246*L$11*Input!$E$58/Input!$F$58*(1-Contrib!L$103)</f>
        <v>0</v>
      </c>
      <c r="M34" s="37">
        <f>100*AMD!D50*LAFs!D$246*M$11*Input!$E$58/Input!$F$58*(1-Contrib!M$103)</f>
        <v>0</v>
      </c>
      <c r="N34" s="37">
        <f>100*AMD!E50*LAFs!E$246*N$11*Input!$E$58/Input!$F$58*(1-Contrib!N$103)</f>
        <v>0</v>
      </c>
      <c r="O34" s="37">
        <f>100*AMD!F50*LAFs!F$246*O$11*Input!$E$58/Input!$F$58*(1-Contrib!O$103)</f>
        <v>0</v>
      </c>
      <c r="P34" s="37">
        <f>100*AMD!G50*LAFs!G$246*P$11*Input!$E$58/Input!$F$58*(1-Contrib!P$103)</f>
        <v>0</v>
      </c>
      <c r="Q34" s="37">
        <f>100*AMD!H50*LAFs!H$246*Q$11*Input!$E$58/Input!$F$58*(1-Contrib!Q$103)</f>
        <v>0</v>
      </c>
      <c r="R34" s="37">
        <f>100*AMD!I50*LAFs!I$246*R$11*Input!$E$58/Input!$F$58*(1-Contrib!R$103)</f>
        <v>0</v>
      </c>
      <c r="S34" s="37">
        <f>100*AMD!J50*LAFs!J$246*S$11*Input!$E$58/Input!$F$58*(1-Contrib!S$103)</f>
        <v>0.34429334512952725</v>
      </c>
      <c r="T34" s="17"/>
    </row>
    <row r="35" spans="1:20" x14ac:dyDescent="0.25">
      <c r="A35" s="4" t="s">
        <v>178</v>
      </c>
      <c r="B35" s="37">
        <f>100*AMD!B51*LAFs!B$247*B$11*Input!$E$58/Input!$F$58*(1-Contrib!B$104)</f>
        <v>0</v>
      </c>
      <c r="C35" s="37">
        <f>100*AMD!C51*LAFs!C$247*C$11*Input!$E$58/Input!$F$58*(1-Contrib!C$104)</f>
        <v>0</v>
      </c>
      <c r="D35" s="37">
        <f>100*AMD!D51*LAFs!D$247*D$11*Input!$E$58/Input!$F$58*(1-Contrib!D$104)</f>
        <v>0</v>
      </c>
      <c r="E35" s="37">
        <f>100*AMD!E51*LAFs!E$247*E$11*Input!$E$58/Input!$F$58*(1-Contrib!E$104)</f>
        <v>0</v>
      </c>
      <c r="F35" s="37">
        <f>100*AMD!F51*LAFs!F$247*F$11*Input!$E$58/Input!$F$58*(1-Contrib!F$104)</f>
        <v>0</v>
      </c>
      <c r="G35" s="37">
        <f>100*AMD!G51*LAFs!G$247*G$11*Input!$E$58/Input!$F$58*(1-Contrib!G$104)</f>
        <v>0</v>
      </c>
      <c r="H35" s="37">
        <f>100*AMD!H51*LAFs!H$247*H$11*Input!$E$58/Input!$F$58*(1-Contrib!H$104)</f>
        <v>0</v>
      </c>
      <c r="I35" s="37">
        <f>100*AMD!I51*LAFs!I$247*I$11*Input!$E$58/Input!$F$58*(1-Contrib!I$104)</f>
        <v>0</v>
      </c>
      <c r="J35" s="37">
        <f>100*AMD!J51*LAFs!J$247*J$11*Input!$E$58/Input!$F$58*(1-Contrib!J$104)</f>
        <v>2.8331136243140861E-2</v>
      </c>
      <c r="K35" s="37">
        <f>100*AMD!B51*LAFs!B$247*K$11*Input!$E$58/Input!$F$58*(1-Contrib!K$104)</f>
        <v>0</v>
      </c>
      <c r="L35" s="37">
        <f>100*AMD!C51*LAFs!C$247*L$11*Input!$E$58/Input!$F$58*(1-Contrib!L$104)</f>
        <v>0</v>
      </c>
      <c r="M35" s="37">
        <f>100*AMD!D51*LAFs!D$247*M$11*Input!$E$58/Input!$F$58*(1-Contrib!M$104)</f>
        <v>0</v>
      </c>
      <c r="N35" s="37">
        <f>100*AMD!E51*LAFs!E$247*N$11*Input!$E$58/Input!$F$58*(1-Contrib!N$104)</f>
        <v>0</v>
      </c>
      <c r="O35" s="37">
        <f>100*AMD!F51*LAFs!F$247*O$11*Input!$E$58/Input!$F$58*(1-Contrib!O$104)</f>
        <v>0</v>
      </c>
      <c r="P35" s="37">
        <f>100*AMD!G51*LAFs!G$247*P$11*Input!$E$58/Input!$F$58*(1-Contrib!P$104)</f>
        <v>0</v>
      </c>
      <c r="Q35" s="37">
        <f>100*AMD!H51*LAFs!H$247*Q$11*Input!$E$58/Input!$F$58*(1-Contrib!Q$104)</f>
        <v>0</v>
      </c>
      <c r="R35" s="37">
        <f>100*AMD!I51*LAFs!I$247*R$11*Input!$E$58/Input!$F$58*(1-Contrib!R$104)</f>
        <v>0</v>
      </c>
      <c r="S35" s="37">
        <f>100*AMD!J51*LAFs!J$247*S$11*Input!$E$58/Input!$F$58*(1-Contrib!S$104)</f>
        <v>0.34429334512952725</v>
      </c>
      <c r="T35" s="17"/>
    </row>
    <row r="36" spans="1:20" x14ac:dyDescent="0.25">
      <c r="A36" s="4" t="s">
        <v>179</v>
      </c>
      <c r="B36" s="37">
        <f>100*AMD!B52*LAFs!B$248*B$11*Input!$E$58/Input!$F$58*(1-Contrib!B$105)</f>
        <v>0</v>
      </c>
      <c r="C36" s="37">
        <f>100*AMD!C52*LAFs!C$248*C$11*Input!$E$58/Input!$F$58*(1-Contrib!C$105)</f>
        <v>0</v>
      </c>
      <c r="D36" s="37">
        <f>100*AMD!D52*LAFs!D$248*D$11*Input!$E$58/Input!$F$58*(1-Contrib!D$105)</f>
        <v>0</v>
      </c>
      <c r="E36" s="37">
        <f>100*AMD!E52*LAFs!E$248*E$11*Input!$E$58/Input!$F$58*(1-Contrib!E$105)</f>
        <v>0</v>
      </c>
      <c r="F36" s="37">
        <f>100*AMD!F52*LAFs!F$248*F$11*Input!$E$58/Input!$F$58*(1-Contrib!F$105)</f>
        <v>0</v>
      </c>
      <c r="G36" s="37">
        <f>100*AMD!G52*LAFs!G$248*G$11*Input!$E$58/Input!$F$58*(1-Contrib!G$105)</f>
        <v>0</v>
      </c>
      <c r="H36" s="37">
        <f>100*AMD!H52*LAFs!H$248*H$11*Input!$E$58/Input!$F$58*(1-Contrib!H$105)</f>
        <v>0.30116692070058509</v>
      </c>
      <c r="I36" s="37">
        <f>100*AMD!I52*LAFs!I$248*I$11*Input!$E$58/Input!$F$58*(1-Contrib!I$105)</f>
        <v>1.3671779589172803</v>
      </c>
      <c r="J36" s="37">
        <f>100*AMD!J52*LAFs!J$248*J$11*Input!$E$58/Input!$F$58*(1-Contrib!J$105)</f>
        <v>2.8331136243140861E-2</v>
      </c>
      <c r="K36" s="37">
        <f>100*AMD!B52*LAFs!B$248*K$11*Input!$E$58/Input!$F$58*(1-Contrib!K$105)</f>
        <v>0</v>
      </c>
      <c r="L36" s="37">
        <f>100*AMD!C52*LAFs!C$248*L$11*Input!$E$58/Input!$F$58*(1-Contrib!L$105)</f>
        <v>0</v>
      </c>
      <c r="M36" s="37">
        <f>100*AMD!D52*LAFs!D$248*M$11*Input!$E$58/Input!$F$58*(1-Contrib!M$105)</f>
        <v>0</v>
      </c>
      <c r="N36" s="37">
        <f>100*AMD!E52*LAFs!E$248*N$11*Input!$E$58/Input!$F$58*(1-Contrib!N$105)</f>
        <v>0</v>
      </c>
      <c r="O36" s="37">
        <f>100*AMD!F52*LAFs!F$248*O$11*Input!$E$58/Input!$F$58*(1-Contrib!O$105)</f>
        <v>0</v>
      </c>
      <c r="P36" s="37">
        <f>100*AMD!G52*LAFs!G$248*P$11*Input!$E$58/Input!$F$58*(1-Contrib!P$105)</f>
        <v>0</v>
      </c>
      <c r="Q36" s="37">
        <f>100*AMD!H52*LAFs!H$248*Q$11*Input!$E$58/Input!$F$58*(1-Contrib!Q$105)</f>
        <v>0.15685382684945257</v>
      </c>
      <c r="R36" s="37">
        <f>100*AMD!I52*LAFs!I$248*R$11*Input!$E$58/Input!$F$58*(1-Contrib!R$105)</f>
        <v>0.71205394782914655</v>
      </c>
      <c r="S36" s="37">
        <f>100*AMD!J52*LAFs!J$248*S$11*Input!$E$58/Input!$F$58*(1-Contrib!S$105)</f>
        <v>0.34429334512952725</v>
      </c>
      <c r="T36" s="17"/>
    </row>
    <row r="37" spans="1:20" x14ac:dyDescent="0.25">
      <c r="A37" s="4" t="s">
        <v>180</v>
      </c>
      <c r="B37" s="37">
        <f>100*AMD!B53*LAFs!B$249*B$11*Input!$E$58/Input!$F$58*(1-Contrib!B$106)</f>
        <v>0</v>
      </c>
      <c r="C37" s="37">
        <f>100*AMD!C53*LAFs!C$249*C$11*Input!$E$58/Input!$F$58*(1-Contrib!C$106)</f>
        <v>0</v>
      </c>
      <c r="D37" s="37">
        <f>100*AMD!D53*LAFs!D$249*D$11*Input!$E$58/Input!$F$58*(1-Contrib!D$106)</f>
        <v>0</v>
      </c>
      <c r="E37" s="37">
        <f>100*AMD!E53*LAFs!E$249*E$11*Input!$E$58/Input!$F$58*(1-Contrib!E$106)</f>
        <v>0</v>
      </c>
      <c r="F37" s="37">
        <f>100*AMD!F53*LAFs!F$249*F$11*Input!$E$58/Input!$F$58*(1-Contrib!F$106)</f>
        <v>0</v>
      </c>
      <c r="G37" s="37">
        <f>100*AMD!G53*LAFs!G$249*G$11*Input!$E$58/Input!$F$58*(1-Contrib!G$106)</f>
        <v>0</v>
      </c>
      <c r="H37" s="37">
        <f>100*AMD!H53*LAFs!H$249*H$11*Input!$E$58/Input!$F$58*(1-Contrib!H$106)</f>
        <v>1.4344467038781146</v>
      </c>
      <c r="I37" s="37">
        <f>100*AMD!I53*LAFs!I$249*I$11*Input!$E$58/Input!$F$58*(1-Contrib!I$106)</f>
        <v>5.5815575501783572E-2</v>
      </c>
      <c r="J37" s="37">
        <f>100*AMD!J53*LAFs!J$249*J$11*Input!$E$58/Input!$F$58*(1-Contrib!J$106)</f>
        <v>0</v>
      </c>
      <c r="K37" s="37">
        <f>100*AMD!B53*LAFs!B$249*K$11*Input!$E$58/Input!$F$58*(1-Contrib!K$106)</f>
        <v>0</v>
      </c>
      <c r="L37" s="37">
        <f>100*AMD!C53*LAFs!C$249*L$11*Input!$E$58/Input!$F$58*(1-Contrib!L$106)</f>
        <v>0</v>
      </c>
      <c r="M37" s="37">
        <f>100*AMD!D53*LAFs!D$249*M$11*Input!$E$58/Input!$F$58*(1-Contrib!M$106)</f>
        <v>0</v>
      </c>
      <c r="N37" s="37">
        <f>100*AMD!E53*LAFs!E$249*N$11*Input!$E$58/Input!$F$58*(1-Contrib!N$106)</f>
        <v>0</v>
      </c>
      <c r="O37" s="37">
        <f>100*AMD!F53*LAFs!F$249*O$11*Input!$E$58/Input!$F$58*(1-Contrib!O$106)</f>
        <v>0</v>
      </c>
      <c r="P37" s="37">
        <f>100*AMD!G53*LAFs!G$249*P$11*Input!$E$58/Input!$F$58*(1-Contrib!P$106)</f>
        <v>0</v>
      </c>
      <c r="Q37" s="37">
        <f>100*AMD!H53*LAFs!H$249*Q$11*Input!$E$58/Input!$F$58*(1-Contrib!Q$106)</f>
        <v>0.74708887148517644</v>
      </c>
      <c r="R37" s="37">
        <f>100*AMD!I53*LAFs!I$249*R$11*Input!$E$58/Input!$F$58*(1-Contrib!R$106)</f>
        <v>0.67829722870685383</v>
      </c>
      <c r="S37" s="37">
        <f>100*AMD!J53*LAFs!J$249*S$11*Input!$E$58/Input!$F$58*(1-Contrib!S$106)</f>
        <v>0</v>
      </c>
      <c r="T37" s="17"/>
    </row>
    <row r="38" spans="1:20" x14ac:dyDescent="0.25">
      <c r="A38" s="4" t="s">
        <v>193</v>
      </c>
      <c r="B38" s="37">
        <f>100*AMD!B54*LAFs!B$250*B$11*Input!$E$58/Input!$F$58*(1-Contrib!B$107)</f>
        <v>0</v>
      </c>
      <c r="C38" s="37">
        <f>100*AMD!C54*LAFs!C$250*C$11*Input!$E$58/Input!$F$58*(1-Contrib!C$107)</f>
        <v>0</v>
      </c>
      <c r="D38" s="37">
        <f>100*AMD!D54*LAFs!D$250*D$11*Input!$E$58/Input!$F$58*(1-Contrib!D$107)</f>
        <v>0</v>
      </c>
      <c r="E38" s="37">
        <f>100*AMD!E54*LAFs!E$250*E$11*Input!$E$58/Input!$F$58*(1-Contrib!E$107)</f>
        <v>0.4611986432217296</v>
      </c>
      <c r="F38" s="37">
        <f>100*AMD!F54*LAFs!F$250*F$11*Input!$E$58/Input!$F$58*(1-Contrib!F$107)</f>
        <v>0.62549019223490265</v>
      </c>
      <c r="G38" s="37">
        <f>100*AMD!G54*LAFs!G$250*G$11*Input!$E$58/Input!$F$58*(1-Contrib!G$107)</f>
        <v>0</v>
      </c>
      <c r="H38" s="37">
        <f>100*AMD!H54*LAFs!H$250*H$11*Input!$E$58/Input!$F$58*(1-Contrib!H$107)</f>
        <v>0.18204172489439316</v>
      </c>
      <c r="I38" s="37">
        <f>100*AMD!I54*LAFs!I$250*I$11*Input!$E$58/Input!$F$58*(1-Contrib!I$107)</f>
        <v>0</v>
      </c>
      <c r="J38" s="37">
        <f>100*AMD!J54*LAFs!J$250*J$11*Input!$E$58/Input!$F$58*(1-Contrib!J$107)</f>
        <v>0</v>
      </c>
      <c r="K38" s="37">
        <f>100*AMD!B54*LAFs!B$250*K$11*Input!$E$58/Input!$F$58*(1-Contrib!K$107)</f>
        <v>0</v>
      </c>
      <c r="L38" s="37">
        <f>100*AMD!C54*LAFs!C$250*L$11*Input!$E$58/Input!$F$58*(1-Contrib!L$107)</f>
        <v>0</v>
      </c>
      <c r="M38" s="37">
        <f>100*AMD!D54*LAFs!D$250*M$11*Input!$E$58/Input!$F$58*(1-Contrib!M$107)</f>
        <v>0</v>
      </c>
      <c r="N38" s="37">
        <f>100*AMD!E54*LAFs!E$250*N$11*Input!$E$58/Input!$F$58*(1-Contrib!N$107)</f>
        <v>0.1681411104884141</v>
      </c>
      <c r="O38" s="37">
        <f>100*AMD!F54*LAFs!F$250*O$11*Input!$E$58/Input!$F$58*(1-Contrib!O$107)</f>
        <v>0.53031991830412584</v>
      </c>
      <c r="P38" s="37">
        <f>100*AMD!G54*LAFs!G$250*P$11*Input!$E$58/Input!$F$58*(1-Contrib!P$107)</f>
        <v>0</v>
      </c>
      <c r="Q38" s="37">
        <f>100*AMD!H54*LAFs!H$250*Q$11*Input!$E$58/Input!$F$58*(1-Contrib!Q$107)</f>
        <v>0.73741899935521737</v>
      </c>
      <c r="R38" s="37">
        <f>100*AMD!I54*LAFs!I$250*R$11*Input!$E$58/Input!$F$58*(1-Contrib!R$107)</f>
        <v>0</v>
      </c>
      <c r="S38" s="37">
        <f>100*AMD!J54*LAFs!J$250*S$11*Input!$E$58/Input!$F$58*(1-Contrib!S$107)</f>
        <v>0</v>
      </c>
      <c r="T38" s="17"/>
    </row>
    <row r="39" spans="1:20" x14ac:dyDescent="0.25">
      <c r="A39" s="4" t="s">
        <v>215</v>
      </c>
      <c r="B39" s="37">
        <f>100*AMD!B55*LAFs!B$251*B$11*Input!$E$58/Input!$F$58*(1-Contrib!B$108)</f>
        <v>0</v>
      </c>
      <c r="C39" s="37">
        <f>100*AMD!C55*LAFs!C$251*C$11*Input!$E$58/Input!$F$58*(1-Contrib!C$108)</f>
        <v>0</v>
      </c>
      <c r="D39" s="37">
        <f>100*AMD!D55*LAFs!D$251*D$11*Input!$E$58/Input!$F$58*(1-Contrib!D$108)</f>
        <v>0</v>
      </c>
      <c r="E39" s="37">
        <f>100*AMD!E55*LAFs!E$251*E$11*Input!$E$58/Input!$F$58*(1-Contrib!E$108)</f>
        <v>0</v>
      </c>
      <c r="F39" s="37">
        <f>100*AMD!F55*LAFs!F$251*F$11*Input!$E$58/Input!$F$58*(1-Contrib!F$108)</f>
        <v>0</v>
      </c>
      <c r="G39" s="37">
        <f>100*AMD!G55*LAFs!G$251*G$11*Input!$E$58/Input!$F$58*(1-Contrib!G$108)</f>
        <v>0</v>
      </c>
      <c r="H39" s="37">
        <f>100*AMD!H55*LAFs!H$251*H$11*Input!$E$58/Input!$F$58*(1-Contrib!H$108)</f>
        <v>0</v>
      </c>
      <c r="I39" s="37">
        <f>100*AMD!I55*LAFs!I$251*I$11*Input!$E$58/Input!$F$58*(1-Contrib!I$108)</f>
        <v>0</v>
      </c>
      <c r="J39" s="37">
        <f>100*AMD!J55*LAFs!J$251*J$11*Input!$E$58/Input!$F$58*(1-Contrib!J$108)</f>
        <v>0</v>
      </c>
      <c r="K39" s="37">
        <f>100*AMD!B55*LAFs!B$251*K$11*Input!$E$58/Input!$F$58*(1-Contrib!K$108)</f>
        <v>0</v>
      </c>
      <c r="L39" s="37">
        <f>100*AMD!C55*LAFs!C$251*L$11*Input!$E$58/Input!$F$58*(1-Contrib!L$108)</f>
        <v>0</v>
      </c>
      <c r="M39" s="37">
        <f>100*AMD!D55*LAFs!D$251*M$11*Input!$E$58/Input!$F$58*(1-Contrib!M$108)</f>
        <v>0</v>
      </c>
      <c r="N39" s="37">
        <f>100*AMD!E55*LAFs!E$251*N$11*Input!$E$58/Input!$F$58*(1-Contrib!N$108)</f>
        <v>0</v>
      </c>
      <c r="O39" s="37">
        <f>100*AMD!F55*LAFs!F$251*O$11*Input!$E$58/Input!$F$58*(1-Contrib!O$108)</f>
        <v>0</v>
      </c>
      <c r="P39" s="37">
        <f>100*AMD!G55*LAFs!G$251*P$11*Input!$E$58/Input!$F$58*(1-Contrib!P$108)</f>
        <v>0</v>
      </c>
      <c r="Q39" s="37">
        <f>100*AMD!H55*LAFs!H$251*Q$11*Input!$E$58/Input!$F$58*(1-Contrib!Q$108)</f>
        <v>0</v>
      </c>
      <c r="R39" s="37">
        <f>100*AMD!I55*LAFs!I$251*R$11*Input!$E$58/Input!$F$58*(1-Contrib!R$108)</f>
        <v>0</v>
      </c>
      <c r="S39" s="37">
        <f>100*AMD!J55*LAFs!J$251*S$11*Input!$E$58/Input!$F$58*(1-Contrib!S$108)</f>
        <v>0</v>
      </c>
      <c r="T39" s="17"/>
    </row>
    <row r="40" spans="1:20" x14ac:dyDescent="0.25">
      <c r="A40" s="4" t="s">
        <v>216</v>
      </c>
      <c r="B40" s="37">
        <f>100*AMD!B56*LAFs!B$252*B$11*Input!$E$58/Input!$F$58*(1-Contrib!B$109)</f>
        <v>0</v>
      </c>
      <c r="C40" s="37">
        <f>100*AMD!C56*LAFs!C$252*C$11*Input!$E$58/Input!$F$58*(1-Contrib!C$109)</f>
        <v>0</v>
      </c>
      <c r="D40" s="37">
        <f>100*AMD!D56*LAFs!D$252*D$11*Input!$E$58/Input!$F$58*(1-Contrib!D$109)</f>
        <v>0</v>
      </c>
      <c r="E40" s="37">
        <f>100*AMD!E56*LAFs!E$252*E$11*Input!$E$58/Input!$F$58*(1-Contrib!E$109)</f>
        <v>0</v>
      </c>
      <c r="F40" s="37">
        <f>100*AMD!F56*LAFs!F$252*F$11*Input!$E$58/Input!$F$58*(1-Contrib!F$109)</f>
        <v>0</v>
      </c>
      <c r="G40" s="37">
        <f>100*AMD!G56*LAFs!G$252*G$11*Input!$E$58/Input!$F$58*(1-Contrib!G$109)</f>
        <v>0</v>
      </c>
      <c r="H40" s="37">
        <f>100*AMD!H56*LAFs!H$252*H$11*Input!$E$58/Input!$F$58*(1-Contrib!H$109)</f>
        <v>0</v>
      </c>
      <c r="I40" s="37">
        <f>100*AMD!I56*LAFs!I$252*I$11*Input!$E$58/Input!$F$58*(1-Contrib!I$109)</f>
        <v>0</v>
      </c>
      <c r="J40" s="37">
        <f>100*AMD!J56*LAFs!J$252*J$11*Input!$E$58/Input!$F$58*(1-Contrib!J$109)</f>
        <v>0</v>
      </c>
      <c r="K40" s="37">
        <f>100*AMD!B56*LAFs!B$252*K$11*Input!$E$58/Input!$F$58*(1-Contrib!K$109)</f>
        <v>0</v>
      </c>
      <c r="L40" s="37">
        <f>100*AMD!C56*LAFs!C$252*L$11*Input!$E$58/Input!$F$58*(1-Contrib!L$109)</f>
        <v>0</v>
      </c>
      <c r="M40" s="37">
        <f>100*AMD!D56*LAFs!D$252*M$11*Input!$E$58/Input!$F$58*(1-Contrib!M$109)</f>
        <v>0</v>
      </c>
      <c r="N40" s="37">
        <f>100*AMD!E56*LAFs!E$252*N$11*Input!$E$58/Input!$F$58*(1-Contrib!N$109)</f>
        <v>0</v>
      </c>
      <c r="O40" s="37">
        <f>100*AMD!F56*LAFs!F$252*O$11*Input!$E$58/Input!$F$58*(1-Contrib!O$109)</f>
        <v>0</v>
      </c>
      <c r="P40" s="37">
        <f>100*AMD!G56*LAFs!G$252*P$11*Input!$E$58/Input!$F$58*(1-Contrib!P$109)</f>
        <v>0</v>
      </c>
      <c r="Q40" s="37">
        <f>100*AMD!H56*LAFs!H$252*Q$11*Input!$E$58/Input!$F$58*(1-Contrib!Q$109)</f>
        <v>0</v>
      </c>
      <c r="R40" s="37">
        <f>100*AMD!I56*LAFs!I$252*R$11*Input!$E$58/Input!$F$58*(1-Contrib!R$109)</f>
        <v>0</v>
      </c>
      <c r="S40" s="37">
        <f>100*AMD!J56*LAFs!J$252*S$11*Input!$E$58/Input!$F$58*(1-Contrib!S$109)</f>
        <v>0</v>
      </c>
      <c r="T40" s="17"/>
    </row>
    <row r="41" spans="1:20" x14ac:dyDescent="0.25">
      <c r="A41" s="4" t="s">
        <v>217</v>
      </c>
      <c r="B41" s="37">
        <f>100*AMD!B57*LAFs!B$253*B$11*Input!$E$58/Input!$F$58*(1-Contrib!B$110)</f>
        <v>0</v>
      </c>
      <c r="C41" s="37">
        <f>100*AMD!C57*LAFs!C$253*C$11*Input!$E$58/Input!$F$58*(1-Contrib!C$110)</f>
        <v>0</v>
      </c>
      <c r="D41" s="37">
        <f>100*AMD!D57*LAFs!D$253*D$11*Input!$E$58/Input!$F$58*(1-Contrib!D$110)</f>
        <v>0</v>
      </c>
      <c r="E41" s="37">
        <f>100*AMD!E57*LAFs!E$253*E$11*Input!$E$58/Input!$F$58*(1-Contrib!E$110)</f>
        <v>0</v>
      </c>
      <c r="F41" s="37">
        <f>100*AMD!F57*LAFs!F$253*F$11*Input!$E$58/Input!$F$58*(1-Contrib!F$110)</f>
        <v>0</v>
      </c>
      <c r="G41" s="37">
        <f>100*AMD!G57*LAFs!G$253*G$11*Input!$E$58/Input!$F$58*(1-Contrib!G$110)</f>
        <v>0</v>
      </c>
      <c r="H41" s="37">
        <f>100*AMD!H57*LAFs!H$253*H$11*Input!$E$58/Input!$F$58*(1-Contrib!H$110)</f>
        <v>0</v>
      </c>
      <c r="I41" s="37">
        <f>100*AMD!I57*LAFs!I$253*I$11*Input!$E$58/Input!$F$58*(1-Contrib!I$110)</f>
        <v>0</v>
      </c>
      <c r="J41" s="37">
        <f>100*AMD!J57*LAFs!J$253*J$11*Input!$E$58/Input!$F$58*(1-Contrib!J$110)</f>
        <v>0</v>
      </c>
      <c r="K41" s="37">
        <f>100*AMD!B57*LAFs!B$253*K$11*Input!$E$58/Input!$F$58*(1-Contrib!K$110)</f>
        <v>0</v>
      </c>
      <c r="L41" s="37">
        <f>100*AMD!C57*LAFs!C$253*L$11*Input!$E$58/Input!$F$58*(1-Contrib!L$110)</f>
        <v>0</v>
      </c>
      <c r="M41" s="37">
        <f>100*AMD!D57*LAFs!D$253*M$11*Input!$E$58/Input!$F$58*(1-Contrib!M$110)</f>
        <v>0</v>
      </c>
      <c r="N41" s="37">
        <f>100*AMD!E57*LAFs!E$253*N$11*Input!$E$58/Input!$F$58*(1-Contrib!N$110)</f>
        <v>0</v>
      </c>
      <c r="O41" s="37">
        <f>100*AMD!F57*LAFs!F$253*O$11*Input!$E$58/Input!$F$58*(1-Contrib!O$110)</f>
        <v>0</v>
      </c>
      <c r="P41" s="37">
        <f>100*AMD!G57*LAFs!G$253*P$11*Input!$E$58/Input!$F$58*(1-Contrib!P$110)</f>
        <v>0</v>
      </c>
      <c r="Q41" s="37">
        <f>100*AMD!H57*LAFs!H$253*Q$11*Input!$E$58/Input!$F$58*(1-Contrib!Q$110)</f>
        <v>0</v>
      </c>
      <c r="R41" s="37">
        <f>100*AMD!I57*LAFs!I$253*R$11*Input!$E$58/Input!$F$58*(1-Contrib!R$110)</f>
        <v>0</v>
      </c>
      <c r="S41" s="37">
        <f>100*AMD!J57*LAFs!J$253*S$11*Input!$E$58/Input!$F$58*(1-Contrib!S$110)</f>
        <v>0</v>
      </c>
      <c r="T41" s="17"/>
    </row>
    <row r="42" spans="1:20" x14ac:dyDescent="0.25">
      <c r="A42" s="4" t="s">
        <v>218</v>
      </c>
      <c r="B42" s="37">
        <f>100*AMD!B58*LAFs!B$254*B$11*Input!$E$58/Input!$F$58*(1-Contrib!B$111)</f>
        <v>0</v>
      </c>
      <c r="C42" s="37">
        <f>100*AMD!C58*LAFs!C$254*C$11*Input!$E$58/Input!$F$58*(1-Contrib!C$111)</f>
        <v>0</v>
      </c>
      <c r="D42" s="37">
        <f>100*AMD!D58*LAFs!D$254*D$11*Input!$E$58/Input!$F$58*(1-Contrib!D$111)</f>
        <v>0</v>
      </c>
      <c r="E42" s="37">
        <f>100*AMD!E58*LAFs!E$254*E$11*Input!$E$58/Input!$F$58*(1-Contrib!E$111)</f>
        <v>0</v>
      </c>
      <c r="F42" s="37">
        <f>100*AMD!F58*LAFs!F$254*F$11*Input!$E$58/Input!$F$58*(1-Contrib!F$111)</f>
        <v>0</v>
      </c>
      <c r="G42" s="37">
        <f>100*AMD!G58*LAFs!G$254*G$11*Input!$E$58/Input!$F$58*(1-Contrib!G$111)</f>
        <v>0</v>
      </c>
      <c r="H42" s="37">
        <f>100*AMD!H58*LAFs!H$254*H$11*Input!$E$58/Input!$F$58*(1-Contrib!H$111)</f>
        <v>0</v>
      </c>
      <c r="I42" s="37">
        <f>100*AMD!I58*LAFs!I$254*I$11*Input!$E$58/Input!$F$58*(1-Contrib!I$111)</f>
        <v>0</v>
      </c>
      <c r="J42" s="37">
        <f>100*AMD!J58*LAFs!J$254*J$11*Input!$E$58/Input!$F$58*(1-Contrib!J$111)</f>
        <v>0</v>
      </c>
      <c r="K42" s="37">
        <f>100*AMD!B58*LAFs!B$254*K$11*Input!$E$58/Input!$F$58*(1-Contrib!K$111)</f>
        <v>0</v>
      </c>
      <c r="L42" s="37">
        <f>100*AMD!C58*LAFs!C$254*L$11*Input!$E$58/Input!$F$58*(1-Contrib!L$111)</f>
        <v>0</v>
      </c>
      <c r="M42" s="37">
        <f>100*AMD!D58*LAFs!D$254*M$11*Input!$E$58/Input!$F$58*(1-Contrib!M$111)</f>
        <v>0</v>
      </c>
      <c r="N42" s="37">
        <f>100*AMD!E58*LAFs!E$254*N$11*Input!$E$58/Input!$F$58*(1-Contrib!N$111)</f>
        <v>0</v>
      </c>
      <c r="O42" s="37">
        <f>100*AMD!F58*LAFs!F$254*O$11*Input!$E$58/Input!$F$58*(1-Contrib!O$111)</f>
        <v>0</v>
      </c>
      <c r="P42" s="37">
        <f>100*AMD!G58*LAFs!G$254*P$11*Input!$E$58/Input!$F$58*(1-Contrib!P$111)</f>
        <v>0</v>
      </c>
      <c r="Q42" s="37">
        <f>100*AMD!H58*LAFs!H$254*Q$11*Input!$E$58/Input!$F$58*(1-Contrib!Q$111)</f>
        <v>0</v>
      </c>
      <c r="R42" s="37">
        <f>100*AMD!I58*LAFs!I$254*R$11*Input!$E$58/Input!$F$58*(1-Contrib!R$111)</f>
        <v>0</v>
      </c>
      <c r="S42" s="37">
        <f>100*AMD!J58*LAFs!J$254*S$11*Input!$E$58/Input!$F$58*(1-Contrib!S$111)</f>
        <v>0</v>
      </c>
      <c r="T42" s="17"/>
    </row>
    <row r="43" spans="1:20" x14ac:dyDescent="0.25">
      <c r="A43" s="4" t="s">
        <v>219</v>
      </c>
      <c r="B43" s="37">
        <f>100*AMD!B59*LAFs!B$255*B$11*Input!$E$58/Input!$F$58*(1-Contrib!B$112)</f>
        <v>0</v>
      </c>
      <c r="C43" s="37">
        <f>100*AMD!C59*LAFs!C$255*C$11*Input!$E$58/Input!$F$58*(1-Contrib!C$112)</f>
        <v>0</v>
      </c>
      <c r="D43" s="37">
        <f>100*AMD!D59*LAFs!D$255*D$11*Input!$E$58/Input!$F$58*(1-Contrib!D$112)</f>
        <v>0</v>
      </c>
      <c r="E43" s="37">
        <f>100*AMD!E59*LAFs!E$255*E$11*Input!$E$58/Input!$F$58*(1-Contrib!E$112)</f>
        <v>0</v>
      </c>
      <c r="F43" s="37">
        <f>100*AMD!F59*LAFs!F$255*F$11*Input!$E$58/Input!$F$58*(1-Contrib!F$112)</f>
        <v>0</v>
      </c>
      <c r="G43" s="37">
        <f>100*AMD!G59*LAFs!G$255*G$11*Input!$E$58/Input!$F$58*(1-Contrib!G$112)</f>
        <v>0</v>
      </c>
      <c r="H43" s="37">
        <f>100*AMD!H59*LAFs!H$255*H$11*Input!$E$58/Input!$F$58*(1-Contrib!H$112)</f>
        <v>0</v>
      </c>
      <c r="I43" s="37">
        <f>100*AMD!I59*LAFs!I$255*I$11*Input!$E$58/Input!$F$58*(1-Contrib!I$112)</f>
        <v>0</v>
      </c>
      <c r="J43" s="37">
        <f>100*AMD!J59*LAFs!J$255*J$11*Input!$E$58/Input!$F$58*(1-Contrib!J$112)</f>
        <v>0</v>
      </c>
      <c r="K43" s="37">
        <f>100*AMD!B59*LAFs!B$255*K$11*Input!$E$58/Input!$F$58*(1-Contrib!K$112)</f>
        <v>0</v>
      </c>
      <c r="L43" s="37">
        <f>100*AMD!C59*LAFs!C$255*L$11*Input!$E$58/Input!$F$58*(1-Contrib!L$112)</f>
        <v>0</v>
      </c>
      <c r="M43" s="37">
        <f>100*AMD!D59*LAFs!D$255*M$11*Input!$E$58/Input!$F$58*(1-Contrib!M$112)</f>
        <v>0</v>
      </c>
      <c r="N43" s="37">
        <f>100*AMD!E59*LAFs!E$255*N$11*Input!$E$58/Input!$F$58*(1-Contrib!N$112)</f>
        <v>0</v>
      </c>
      <c r="O43" s="37">
        <f>100*AMD!F59*LAFs!F$255*O$11*Input!$E$58/Input!$F$58*(1-Contrib!O$112)</f>
        <v>0</v>
      </c>
      <c r="P43" s="37">
        <f>100*AMD!G59*LAFs!G$255*P$11*Input!$E$58/Input!$F$58*(1-Contrib!P$112)</f>
        <v>0</v>
      </c>
      <c r="Q43" s="37">
        <f>100*AMD!H59*LAFs!H$255*Q$11*Input!$E$58/Input!$F$58*(1-Contrib!Q$112)</f>
        <v>0</v>
      </c>
      <c r="R43" s="37">
        <f>100*AMD!I59*LAFs!I$255*R$11*Input!$E$58/Input!$F$58*(1-Contrib!R$112)</f>
        <v>0</v>
      </c>
      <c r="S43" s="37">
        <f>100*AMD!J59*LAFs!J$255*S$11*Input!$E$58/Input!$F$58*(1-Contrib!S$112)</f>
        <v>0</v>
      </c>
      <c r="T43" s="17"/>
    </row>
    <row r="45" spans="1:20" ht="21" customHeight="1" x14ac:dyDescent="0.3">
      <c r="A45" s="1" t="s">
        <v>995</v>
      </c>
    </row>
    <row r="46" spans="1:20" x14ac:dyDescent="0.25">
      <c r="A46" s="2" t="s">
        <v>350</v>
      </c>
    </row>
    <row r="47" spans="1:20" x14ac:dyDescent="0.25">
      <c r="A47" s="32" t="s">
        <v>989</v>
      </c>
    </row>
    <row r="48" spans="1:20" x14ac:dyDescent="0.25">
      <c r="A48" s="32" t="s">
        <v>996</v>
      </c>
    </row>
    <row r="49" spans="1:20" x14ac:dyDescent="0.25">
      <c r="A49" s="2" t="s">
        <v>997</v>
      </c>
    </row>
    <row r="51" spans="1:20" ht="30" x14ac:dyDescent="0.25">
      <c r="B51" s="15" t="s">
        <v>139</v>
      </c>
      <c r="C51" s="15" t="s">
        <v>313</v>
      </c>
      <c r="D51" s="15" t="s">
        <v>314</v>
      </c>
      <c r="E51" s="15" t="s">
        <v>315</v>
      </c>
      <c r="F51" s="15" t="s">
        <v>316</v>
      </c>
      <c r="G51" s="15" t="s">
        <v>317</v>
      </c>
      <c r="H51" s="15" t="s">
        <v>318</v>
      </c>
      <c r="I51" s="15" t="s">
        <v>319</v>
      </c>
      <c r="J51" s="15" t="s">
        <v>320</v>
      </c>
      <c r="K51" s="15" t="s">
        <v>301</v>
      </c>
      <c r="L51" s="15" t="s">
        <v>876</v>
      </c>
      <c r="M51" s="15" t="s">
        <v>877</v>
      </c>
      <c r="N51" s="15" t="s">
        <v>878</v>
      </c>
      <c r="O51" s="15" t="s">
        <v>879</v>
      </c>
      <c r="P51" s="15" t="s">
        <v>880</v>
      </c>
      <c r="Q51" s="15" t="s">
        <v>881</v>
      </c>
      <c r="R51" s="15" t="s">
        <v>882</v>
      </c>
      <c r="S51" s="15" t="s">
        <v>883</v>
      </c>
    </row>
    <row r="52" spans="1:20" x14ac:dyDescent="0.25">
      <c r="A52" s="4" t="s">
        <v>171</v>
      </c>
      <c r="B52" s="37">
        <f>(1-AMD!B41)*Yard!B$23</f>
        <v>0</v>
      </c>
      <c r="C52" s="37">
        <f>(1-AMD!C41)*Yard!C$23</f>
        <v>0.26289872725818014</v>
      </c>
      <c r="D52" s="37">
        <f>(1-AMD!D41)*Yard!D$23</f>
        <v>0.10399100648327822</v>
      </c>
      <c r="E52" s="37">
        <f>(1-AMD!E41)*Yard!E$23</f>
        <v>0.26258432205459004</v>
      </c>
      <c r="F52" s="37">
        <f>(1-AMD!F41)*Yard!F$23</f>
        <v>0.16563908233439412</v>
      </c>
      <c r="G52" s="37">
        <f>(1-AMD!G41)*Yard!G$23</f>
        <v>0</v>
      </c>
      <c r="H52" s="37">
        <f>(1-AMD!H41)*Yard!H$23</f>
        <v>0.21050018674355991</v>
      </c>
      <c r="I52" s="37">
        <f>(1-AMD!I41)*Yard!I$23</f>
        <v>0.19111741421952752</v>
      </c>
      <c r="J52" s="37">
        <f>(1-AMD!J41)*Yard!J$23</f>
        <v>0</v>
      </c>
      <c r="K52" s="37">
        <f>(1-AMD!B41)*Yard!K$23</f>
        <v>0.12599839080472977</v>
      </c>
      <c r="L52" s="37">
        <f>(1-AMD!C41)*Yard!L$23</f>
        <v>9.584608410465166E-2</v>
      </c>
      <c r="M52" s="37">
        <f>(1-AMD!D41)*Yard!M$23</f>
        <v>3.7912434409526158E-2</v>
      </c>
      <c r="N52" s="37">
        <f>(1-AMD!E41)*Yard!N$23</f>
        <v>9.5731460089919757E-2</v>
      </c>
      <c r="O52" s="37">
        <f>(1-AMD!F41)*Yard!O$23</f>
        <v>6.0387730218445484E-2</v>
      </c>
      <c r="P52" s="37">
        <f>(1-AMD!G41)*Yard!P$23</f>
        <v>0</v>
      </c>
      <c r="Q52" s="37">
        <f>(1-AMD!H41)*Yard!Q$23</f>
        <v>0.1096327570320296</v>
      </c>
      <c r="R52" s="37">
        <f>(1-AMD!I41)*Yard!R$23</f>
        <v>9.9537816863054449E-2</v>
      </c>
      <c r="S52" s="37">
        <f>(1-AMD!J41)*Yard!S$23</f>
        <v>0</v>
      </c>
      <c r="T52" s="17"/>
    </row>
    <row r="53" spans="1:20" x14ac:dyDescent="0.25">
      <c r="A53" s="4" t="s">
        <v>172</v>
      </c>
      <c r="B53" s="37">
        <f>(1-AMD!B42)*Yard!B$24</f>
        <v>0</v>
      </c>
      <c r="C53" s="37">
        <f>(1-AMD!C42)*Yard!C$24</f>
        <v>0.15740462603724778</v>
      </c>
      <c r="D53" s="37">
        <f>(1-AMD!D42)*Yard!D$24</f>
        <v>6.2262246977949576E-2</v>
      </c>
      <c r="E53" s="37">
        <f>(1-AMD!E42)*Yard!E$24</f>
        <v>0.15721638308144728</v>
      </c>
      <c r="F53" s="37">
        <f>(1-AMD!F42)*Yard!F$24</f>
        <v>9.9172628501901436E-2</v>
      </c>
      <c r="G53" s="37">
        <f>(1-AMD!G42)*Yard!G$24</f>
        <v>0</v>
      </c>
      <c r="H53" s="37">
        <f>(1-AMD!H42)*Yard!H$24</f>
        <v>0.12603219315931441</v>
      </c>
      <c r="I53" s="37">
        <f>(1-AMD!I42)*Yard!I$24</f>
        <v>0.11442719950822615</v>
      </c>
      <c r="J53" s="37">
        <f>(1-AMD!J42)*Yard!J$24</f>
        <v>0</v>
      </c>
      <c r="K53" s="37">
        <f>(1-AMD!B42)*Yard!K$24</f>
        <v>7.543866717329796E-2</v>
      </c>
      <c r="L53" s="37">
        <f>(1-AMD!C42)*Yard!L$24</f>
        <v>5.7385660185457862E-2</v>
      </c>
      <c r="M53" s="37">
        <f>(1-AMD!D42)*Yard!M$24</f>
        <v>2.2699206734967052E-2</v>
      </c>
      <c r="N53" s="37">
        <f>(1-AMD!E42)*Yard!N$24</f>
        <v>5.7317031666933138E-2</v>
      </c>
      <c r="O53" s="37">
        <f>(1-AMD!F42)*Yard!O$24</f>
        <v>3.6155778277838189E-2</v>
      </c>
      <c r="P53" s="37">
        <f>(1-AMD!G42)*Yard!P$24</f>
        <v>0</v>
      </c>
      <c r="Q53" s="37">
        <f>(1-AMD!H42)*Yard!Q$24</f>
        <v>6.5640116641234605E-2</v>
      </c>
      <c r="R53" s="37">
        <f>(1-AMD!I42)*Yard!R$24</f>
        <v>5.9596001103902806E-2</v>
      </c>
      <c r="S53" s="37">
        <f>(1-AMD!J42)*Yard!S$24</f>
        <v>0</v>
      </c>
      <c r="T53" s="17"/>
    </row>
    <row r="54" spans="1:20" x14ac:dyDescent="0.25">
      <c r="A54" s="4" t="s">
        <v>213</v>
      </c>
      <c r="B54" s="37">
        <f>(1-AMD!B43)*Yard!B$25</f>
        <v>0</v>
      </c>
      <c r="C54" s="37">
        <f>(1-AMD!C43)*Yard!C$25</f>
        <v>0</v>
      </c>
      <c r="D54" s="37">
        <f>(1-AMD!D43)*Yard!D$25</f>
        <v>0</v>
      </c>
      <c r="E54" s="37">
        <f>(1-AMD!E43)*Yard!E$25</f>
        <v>0</v>
      </c>
      <c r="F54" s="37">
        <f>(1-AMD!F43)*Yard!F$25</f>
        <v>0</v>
      </c>
      <c r="G54" s="37">
        <f>(1-AMD!G43)*Yard!G$25</f>
        <v>0</v>
      </c>
      <c r="H54" s="37">
        <f>(1-AMD!H43)*Yard!H$25</f>
        <v>0</v>
      </c>
      <c r="I54" s="37">
        <f>(1-AMD!I43)*Yard!I$25</f>
        <v>0</v>
      </c>
      <c r="J54" s="37">
        <f>(1-AMD!J43)*Yard!J$25</f>
        <v>0</v>
      </c>
      <c r="K54" s="37">
        <f>(1-AMD!B43)*Yard!K$25</f>
        <v>0</v>
      </c>
      <c r="L54" s="37">
        <f>(1-AMD!C43)*Yard!L$25</f>
        <v>0</v>
      </c>
      <c r="M54" s="37">
        <f>(1-AMD!D43)*Yard!M$25</f>
        <v>0</v>
      </c>
      <c r="N54" s="37">
        <f>(1-AMD!E43)*Yard!N$25</f>
        <v>0</v>
      </c>
      <c r="O54" s="37">
        <f>(1-AMD!F43)*Yard!O$25</f>
        <v>0</v>
      </c>
      <c r="P54" s="37">
        <f>(1-AMD!G43)*Yard!P$25</f>
        <v>0</v>
      </c>
      <c r="Q54" s="37">
        <f>(1-AMD!H43)*Yard!Q$25</f>
        <v>0</v>
      </c>
      <c r="R54" s="37">
        <f>(1-AMD!I43)*Yard!R$25</f>
        <v>0</v>
      </c>
      <c r="S54" s="37">
        <f>(1-AMD!J43)*Yard!S$25</f>
        <v>0</v>
      </c>
      <c r="T54" s="17"/>
    </row>
    <row r="55" spans="1:20" x14ac:dyDescent="0.25">
      <c r="A55" s="4" t="s">
        <v>173</v>
      </c>
      <c r="B55" s="37">
        <f>(1-AMD!B44)*Yard!B$26</f>
        <v>0</v>
      </c>
      <c r="C55" s="37">
        <f>(1-AMD!C44)*Yard!C$26</f>
        <v>0.22551862206306622</v>
      </c>
      <c r="D55" s="37">
        <f>(1-AMD!D44)*Yard!D$26</f>
        <v>8.9205104694285206E-2</v>
      </c>
      <c r="E55" s="37">
        <f>(1-AMD!E44)*Yard!E$26</f>
        <v>0.22524892038355429</v>
      </c>
      <c r="F55" s="37">
        <f>(1-AMD!F44)*Yard!F$26</f>
        <v>0.14208778413430315</v>
      </c>
      <c r="G55" s="37">
        <f>(1-AMD!G44)*Yard!G$26</f>
        <v>0</v>
      </c>
      <c r="H55" s="37">
        <f>(1-AMD!H44)*Yard!H$26</f>
        <v>0.18057033806712228</v>
      </c>
      <c r="I55" s="37">
        <f>(1-AMD!I44)*Yard!I$26</f>
        <v>0.1639434939702738</v>
      </c>
      <c r="J55" s="37">
        <f>(1-AMD!J44)*Yard!J$26</f>
        <v>0</v>
      </c>
      <c r="K55" s="37">
        <f>(1-AMD!B44)*Yard!K$26</f>
        <v>0.10808338166103552</v>
      </c>
      <c r="L55" s="37">
        <f>(1-AMD!C44)*Yard!L$26</f>
        <v>8.2218263446344794E-2</v>
      </c>
      <c r="M55" s="37">
        <f>(1-AMD!D44)*Yard!M$26</f>
        <v>3.252187660344287E-2</v>
      </c>
      <c r="N55" s="37">
        <f>(1-AMD!E44)*Yard!N$26</f>
        <v>8.2119937181599156E-2</v>
      </c>
      <c r="O55" s="37">
        <f>(1-AMD!F44)*Yard!O$26</f>
        <v>5.1801535330393153E-2</v>
      </c>
      <c r="P55" s="37">
        <f>(1-AMD!G44)*Yard!P$26</f>
        <v>0</v>
      </c>
      <c r="Q55" s="37">
        <f>(1-AMD!H44)*Yard!Q$26</f>
        <v>9.4044686167528632E-2</v>
      </c>
      <c r="R55" s="37">
        <f>(1-AMD!I44)*Yard!R$26</f>
        <v>8.5385089293631866E-2</v>
      </c>
      <c r="S55" s="37">
        <f>(1-AMD!J44)*Yard!S$26</f>
        <v>0</v>
      </c>
      <c r="T55" s="17"/>
    </row>
    <row r="56" spans="1:20" x14ac:dyDescent="0.25">
      <c r="A56" s="4" t="s">
        <v>174</v>
      </c>
      <c r="B56" s="37">
        <f>(1-AMD!B45)*Yard!B$27</f>
        <v>0</v>
      </c>
      <c r="C56" s="37">
        <f>(1-AMD!C45)*Yard!C$27</f>
        <v>0.17133257223239332</v>
      </c>
      <c r="D56" s="37">
        <f>(1-AMD!D45)*Yard!D$27</f>
        <v>6.7771521055399742E-2</v>
      </c>
      <c r="E56" s="37">
        <f>(1-AMD!E45)*Yard!E$27</f>
        <v>0.17112767260120781</v>
      </c>
      <c r="F56" s="37">
        <f>(1-AMD!F45)*Yard!F$27</f>
        <v>0.10794791718673831</v>
      </c>
      <c r="G56" s="37">
        <f>(1-AMD!G45)*Yard!G$27</f>
        <v>0</v>
      </c>
      <c r="H56" s="37">
        <f>(1-AMD!H45)*Yard!H$27</f>
        <v>0.13718415005773324</v>
      </c>
      <c r="I56" s="37">
        <f>(1-AMD!I45)*Yard!I$27</f>
        <v>0.12455228870118688</v>
      </c>
      <c r="J56" s="37">
        <f>(1-AMD!J45)*Yard!J$27</f>
        <v>0</v>
      </c>
      <c r="K56" s="37">
        <f>(1-AMD!B45)*Yard!K$27</f>
        <v>8.2113856612613112E-2</v>
      </c>
      <c r="L56" s="37">
        <f>(1-AMD!C45)*Yard!L$27</f>
        <v>6.2463429546866768E-2</v>
      </c>
      <c r="M56" s="37">
        <f>(1-AMD!D45)*Yard!M$27</f>
        <v>2.4707745734337337E-2</v>
      </c>
      <c r="N56" s="37">
        <f>(1-AMD!E45)*Yard!N$27</f>
        <v>6.2388728434813329E-2</v>
      </c>
      <c r="O56" s="37">
        <f>(1-AMD!F45)*Yard!O$27</f>
        <v>3.9355021827250633E-2</v>
      </c>
      <c r="P56" s="37">
        <f>(1-AMD!G45)*Yard!P$27</f>
        <v>0</v>
      </c>
      <c r="Q56" s="37">
        <f>(1-AMD!H45)*Yard!Q$27</f>
        <v>7.1448281469921743E-2</v>
      </c>
      <c r="R56" s="37">
        <f>(1-AMD!I45)*Yard!R$27</f>
        <v>6.4869352451432896E-2</v>
      </c>
      <c r="S56" s="37">
        <f>(1-AMD!J45)*Yard!S$27</f>
        <v>0</v>
      </c>
      <c r="T56" s="17"/>
    </row>
    <row r="57" spans="1:20" x14ac:dyDescent="0.25">
      <c r="A57" s="4" t="s">
        <v>214</v>
      </c>
      <c r="B57" s="37">
        <f>(1-AMD!B46)*Yard!B$28</f>
        <v>0</v>
      </c>
      <c r="C57" s="37">
        <f>(1-AMD!C46)*Yard!C$28</f>
        <v>0</v>
      </c>
      <c r="D57" s="37">
        <f>(1-AMD!D46)*Yard!D$28</f>
        <v>0</v>
      </c>
      <c r="E57" s="37">
        <f>(1-AMD!E46)*Yard!E$28</f>
        <v>0</v>
      </c>
      <c r="F57" s="37">
        <f>(1-AMD!F46)*Yard!F$28</f>
        <v>0</v>
      </c>
      <c r="G57" s="37">
        <f>(1-AMD!G46)*Yard!G$28</f>
        <v>0</v>
      </c>
      <c r="H57" s="37">
        <f>(1-AMD!H46)*Yard!H$28</f>
        <v>0</v>
      </c>
      <c r="I57" s="37">
        <f>(1-AMD!I46)*Yard!I$28</f>
        <v>0</v>
      </c>
      <c r="J57" s="37">
        <f>(1-AMD!J46)*Yard!J$28</f>
        <v>0</v>
      </c>
      <c r="K57" s="37">
        <f>(1-AMD!B46)*Yard!K$28</f>
        <v>0</v>
      </c>
      <c r="L57" s="37">
        <f>(1-AMD!C46)*Yard!L$28</f>
        <v>0</v>
      </c>
      <c r="M57" s="37">
        <f>(1-AMD!D46)*Yard!M$28</f>
        <v>0</v>
      </c>
      <c r="N57" s="37">
        <f>(1-AMD!E46)*Yard!N$28</f>
        <v>0</v>
      </c>
      <c r="O57" s="37">
        <f>(1-AMD!F46)*Yard!O$28</f>
        <v>0</v>
      </c>
      <c r="P57" s="37">
        <f>(1-AMD!G46)*Yard!P$28</f>
        <v>0</v>
      </c>
      <c r="Q57" s="37">
        <f>(1-AMD!H46)*Yard!Q$28</f>
        <v>0</v>
      </c>
      <c r="R57" s="37">
        <f>(1-AMD!I46)*Yard!R$28</f>
        <v>0</v>
      </c>
      <c r="S57" s="37">
        <f>(1-AMD!J46)*Yard!S$28</f>
        <v>0</v>
      </c>
      <c r="T57" s="17"/>
    </row>
    <row r="58" spans="1:20" x14ac:dyDescent="0.25">
      <c r="A58" s="4" t="s">
        <v>175</v>
      </c>
      <c r="B58" s="37">
        <f>(1-AMD!B47)*Yard!B$29</f>
        <v>0</v>
      </c>
      <c r="C58" s="37">
        <f>(1-AMD!C47)*Yard!C$29</f>
        <v>0.19413690869262568</v>
      </c>
      <c r="D58" s="37">
        <f>(1-AMD!D47)*Yard!D$29</f>
        <v>7.6791899074780554E-2</v>
      </c>
      <c r="E58" s="37">
        <f>(1-AMD!E47)*Yard!E$29</f>
        <v>0.19390473695509611</v>
      </c>
      <c r="F58" s="37">
        <f>(1-AMD!F47)*Yard!F$29</f>
        <v>0.12231576675342014</v>
      </c>
      <c r="G58" s="37">
        <f>(1-AMD!G47)*Yard!G$29</f>
        <v>0</v>
      </c>
      <c r="H58" s="37">
        <f>(1-AMD!H47)*Yard!H$29</f>
        <v>0.15544333728737594</v>
      </c>
      <c r="I58" s="37">
        <f>(1-AMD!I47)*Yard!I$29</f>
        <v>0.14113017731527522</v>
      </c>
      <c r="J58" s="37">
        <f>(1-AMD!J47)*Yard!J$29</f>
        <v>0</v>
      </c>
      <c r="K58" s="37">
        <f>(1-AMD!B47)*Yard!K$29</f>
        <v>9.3043197075099129E-2</v>
      </c>
      <c r="L58" s="37">
        <f>(1-AMD!C47)*Yard!L$29</f>
        <v>7.0777301481939794E-2</v>
      </c>
      <c r="M58" s="37">
        <f>(1-AMD!D47)*Yard!M$29</f>
        <v>2.7996342523367336E-2</v>
      </c>
      <c r="N58" s="37">
        <f>(1-AMD!E47)*Yard!N$29</f>
        <v>7.0692657664474176E-2</v>
      </c>
      <c r="O58" s="37">
        <f>(1-AMD!F47)*Yard!O$29</f>
        <v>4.4593168593243859E-2</v>
      </c>
      <c r="P58" s="37">
        <f>(1-AMD!G47)*Yard!P$29</f>
        <v>0</v>
      </c>
      <c r="Q58" s="37">
        <f>(1-AMD!H47)*Yard!Q$29</f>
        <v>8.0958035680203932E-2</v>
      </c>
      <c r="R58" s="37">
        <f>(1-AMD!I47)*Yard!R$29</f>
        <v>7.3503452319223173E-2</v>
      </c>
      <c r="S58" s="37">
        <f>(1-AMD!J47)*Yard!S$29</f>
        <v>0</v>
      </c>
      <c r="T58" s="17"/>
    </row>
    <row r="59" spans="1:20" x14ac:dyDescent="0.25">
      <c r="A59" s="4" t="s">
        <v>176</v>
      </c>
      <c r="B59" s="37">
        <f>(1-AMD!B48)*Yard!B$30</f>
        <v>0</v>
      </c>
      <c r="C59" s="37">
        <f>(1-AMD!C48)*Yard!C$30</f>
        <v>0.18263139280086851</v>
      </c>
      <c r="D59" s="37">
        <f>(1-AMD!D48)*Yard!D$30</f>
        <v>7.2240830341312776E-2</v>
      </c>
      <c r="E59" s="37">
        <f>(1-AMD!E48)*Yard!E$30</f>
        <v>0.18241298071179399</v>
      </c>
      <c r="F59" s="37">
        <f>(1-AMD!F48)*Yard!F$30</f>
        <v>0.11506672787837502</v>
      </c>
      <c r="G59" s="37">
        <f>(1-AMD!G48)*Yard!G$30</f>
        <v>0</v>
      </c>
      <c r="H59" s="37">
        <f>(1-AMD!H48)*Yard!H$30</f>
        <v>0.14623099431008399</v>
      </c>
      <c r="I59" s="37">
        <f>(1-AMD!I48)*Yard!I$30</f>
        <v>0</v>
      </c>
      <c r="J59" s="37">
        <f>(1-AMD!J48)*Yard!J$30</f>
        <v>0</v>
      </c>
      <c r="K59" s="37">
        <f>(1-AMD!B48)*Yard!K$30</f>
        <v>8.7528995835486484E-2</v>
      </c>
      <c r="L59" s="37">
        <f>(1-AMD!C48)*Yard!L$30</f>
        <v>6.6582687626902767E-2</v>
      </c>
      <c r="M59" s="37">
        <f>(1-AMD!D48)*Yard!M$30</f>
        <v>2.6337140437669784E-2</v>
      </c>
      <c r="N59" s="37">
        <f>(1-AMD!E48)*Yard!N$30</f>
        <v>6.6503060221790408E-2</v>
      </c>
      <c r="O59" s="37">
        <f>(1-AMD!F48)*Yard!O$30</f>
        <v>4.1950356294601025E-2</v>
      </c>
      <c r="P59" s="37">
        <f>(1-AMD!G48)*Yard!P$30</f>
        <v>0</v>
      </c>
      <c r="Q59" s="37">
        <f>(1-AMD!H48)*Yard!Q$30</f>
        <v>7.6160061032535045E-2</v>
      </c>
      <c r="R59" s="37">
        <f>(1-AMD!I48)*Yard!R$30</f>
        <v>0</v>
      </c>
      <c r="S59" s="37">
        <f>(1-AMD!J48)*Yard!S$30</f>
        <v>0</v>
      </c>
      <c r="T59" s="17"/>
    </row>
    <row r="60" spans="1:20" x14ac:dyDescent="0.25">
      <c r="A60" s="4" t="s">
        <v>192</v>
      </c>
      <c r="B60" s="37">
        <f>(1-AMD!B49)*Yard!B$31</f>
        <v>0</v>
      </c>
      <c r="C60" s="37">
        <f>(1-AMD!C49)*Yard!C$31</f>
        <v>0.18037122472265532</v>
      </c>
      <c r="D60" s="37">
        <f>(1-AMD!D49)*Yard!D$31</f>
        <v>7.134680869379087E-2</v>
      </c>
      <c r="E60" s="37">
        <f>(1-AMD!E49)*Yard!E$31</f>
        <v>0.14412441248661348</v>
      </c>
      <c r="F60" s="37">
        <f>(1-AMD!F49)*Yard!F$31</f>
        <v>0</v>
      </c>
      <c r="G60" s="37">
        <f>(1-AMD!G49)*Yard!G$31</f>
        <v>0</v>
      </c>
      <c r="H60" s="37">
        <f>(1-AMD!H49)*Yard!H$31</f>
        <v>0</v>
      </c>
      <c r="I60" s="37">
        <f>(1-AMD!I49)*Yard!I$31</f>
        <v>0</v>
      </c>
      <c r="J60" s="37">
        <f>(1-AMD!J49)*Yard!J$31</f>
        <v>0</v>
      </c>
      <c r="K60" s="37">
        <f>(1-AMD!B49)*Yard!K$31</f>
        <v>8.644577438450006E-2</v>
      </c>
      <c r="L60" s="37">
        <f>(1-AMD!C49)*Yard!L$31</f>
        <v>6.5758688735868459E-2</v>
      </c>
      <c r="M60" s="37">
        <f>(1-AMD!D49)*Yard!M$31</f>
        <v>2.6011203241573688E-2</v>
      </c>
      <c r="N60" s="37">
        <f>(1-AMD!E49)*Yard!N$31</f>
        <v>5.2544037412397326E-2</v>
      </c>
      <c r="O60" s="37">
        <f>(1-AMD!F49)*Yard!O$31</f>
        <v>0</v>
      </c>
      <c r="P60" s="37">
        <f>(1-AMD!G49)*Yard!P$31</f>
        <v>0</v>
      </c>
      <c r="Q60" s="37">
        <f>(1-AMD!H49)*Yard!Q$31</f>
        <v>0</v>
      </c>
      <c r="R60" s="37">
        <f>(1-AMD!I49)*Yard!R$31</f>
        <v>0</v>
      </c>
      <c r="S60" s="37">
        <f>(1-AMD!J49)*Yard!S$31</f>
        <v>0</v>
      </c>
      <c r="T60" s="17"/>
    </row>
    <row r="61" spans="1:20" x14ac:dyDescent="0.25">
      <c r="A61" s="4" t="s">
        <v>177</v>
      </c>
      <c r="B61" s="37">
        <f>(1-AMD!B50)*Yard!B$32</f>
        <v>0</v>
      </c>
      <c r="C61" s="37">
        <f>(1-AMD!C50)*Yard!C$32</f>
        <v>0.26289872725818014</v>
      </c>
      <c r="D61" s="37">
        <f>(1-AMD!D50)*Yard!D$32</f>
        <v>0.10399100648327822</v>
      </c>
      <c r="E61" s="37">
        <f>(1-AMD!E50)*Yard!E$32</f>
        <v>0.26258432205459004</v>
      </c>
      <c r="F61" s="37">
        <f>(1-AMD!F50)*Yard!F$32</f>
        <v>0.16563908233439412</v>
      </c>
      <c r="G61" s="37">
        <f>(1-AMD!G50)*Yard!G$32</f>
        <v>0</v>
      </c>
      <c r="H61" s="37">
        <f>(1-AMD!H50)*Yard!H$32</f>
        <v>0.21050018674355991</v>
      </c>
      <c r="I61" s="37">
        <f>(1-AMD!I50)*Yard!I$32</f>
        <v>0.19111741421952752</v>
      </c>
      <c r="J61" s="37">
        <f>(1-AMD!J50)*Yard!J$32</f>
        <v>0</v>
      </c>
      <c r="K61" s="37">
        <f>(1-AMD!B50)*Yard!K$32</f>
        <v>0.12599839080472977</v>
      </c>
      <c r="L61" s="37">
        <f>(1-AMD!C50)*Yard!L$32</f>
        <v>9.584608410465166E-2</v>
      </c>
      <c r="M61" s="37">
        <f>(1-AMD!D50)*Yard!M$32</f>
        <v>3.7912434409526158E-2</v>
      </c>
      <c r="N61" s="37">
        <f>(1-AMD!E50)*Yard!N$32</f>
        <v>9.5731460089919757E-2</v>
      </c>
      <c r="O61" s="37">
        <f>(1-AMD!F50)*Yard!O$32</f>
        <v>6.0387730218445484E-2</v>
      </c>
      <c r="P61" s="37">
        <f>(1-AMD!G50)*Yard!P$32</f>
        <v>0</v>
      </c>
      <c r="Q61" s="37">
        <f>(1-AMD!H50)*Yard!Q$32</f>
        <v>0.1096327570320296</v>
      </c>
      <c r="R61" s="37">
        <f>(1-AMD!I50)*Yard!R$32</f>
        <v>9.9537816863054449E-2</v>
      </c>
      <c r="S61" s="37">
        <f>(1-AMD!J50)*Yard!S$32</f>
        <v>0</v>
      </c>
      <c r="T61" s="17"/>
    </row>
    <row r="62" spans="1:20" x14ac:dyDescent="0.25">
      <c r="A62" s="4" t="s">
        <v>178</v>
      </c>
      <c r="B62" s="37">
        <f>(1-AMD!B51)*Yard!B$33</f>
        <v>0</v>
      </c>
      <c r="C62" s="37">
        <f>(1-AMD!C51)*Yard!C$33</f>
        <v>0.22551862206306622</v>
      </c>
      <c r="D62" s="37">
        <f>(1-AMD!D51)*Yard!D$33</f>
        <v>8.9205104694285206E-2</v>
      </c>
      <c r="E62" s="37">
        <f>(1-AMD!E51)*Yard!E$33</f>
        <v>0.22524892038355429</v>
      </c>
      <c r="F62" s="37">
        <f>(1-AMD!F51)*Yard!F$33</f>
        <v>0.14208778413430315</v>
      </c>
      <c r="G62" s="37">
        <f>(1-AMD!G51)*Yard!G$33</f>
        <v>0</v>
      </c>
      <c r="H62" s="37">
        <f>(1-AMD!H51)*Yard!H$33</f>
        <v>0.18057033806712228</v>
      </c>
      <c r="I62" s="37">
        <f>(1-AMD!I51)*Yard!I$33</f>
        <v>0.1639434939702738</v>
      </c>
      <c r="J62" s="37">
        <f>(1-AMD!J51)*Yard!J$33</f>
        <v>0</v>
      </c>
      <c r="K62" s="37">
        <f>(1-AMD!B51)*Yard!K$33</f>
        <v>0.10808338166103552</v>
      </c>
      <c r="L62" s="37">
        <f>(1-AMD!C51)*Yard!L$33</f>
        <v>8.2218263446344794E-2</v>
      </c>
      <c r="M62" s="37">
        <f>(1-AMD!D51)*Yard!M$33</f>
        <v>3.252187660344287E-2</v>
      </c>
      <c r="N62" s="37">
        <f>(1-AMD!E51)*Yard!N$33</f>
        <v>8.2119937181599156E-2</v>
      </c>
      <c r="O62" s="37">
        <f>(1-AMD!F51)*Yard!O$33</f>
        <v>5.1801535330393153E-2</v>
      </c>
      <c r="P62" s="37">
        <f>(1-AMD!G51)*Yard!P$33</f>
        <v>0</v>
      </c>
      <c r="Q62" s="37">
        <f>(1-AMD!H51)*Yard!Q$33</f>
        <v>9.4044686167528632E-2</v>
      </c>
      <c r="R62" s="37">
        <f>(1-AMD!I51)*Yard!R$33</f>
        <v>8.5385089293631866E-2</v>
      </c>
      <c r="S62" s="37">
        <f>(1-AMD!J51)*Yard!S$33</f>
        <v>0</v>
      </c>
      <c r="T62" s="17"/>
    </row>
    <row r="63" spans="1:20" x14ac:dyDescent="0.25">
      <c r="A63" s="4" t="s">
        <v>179</v>
      </c>
      <c r="B63" s="37">
        <f>(1-AMD!B52)*Yard!B$34</f>
        <v>0</v>
      </c>
      <c r="C63" s="37">
        <f>(1-AMD!C52)*Yard!C$34</f>
        <v>0.19312762237114434</v>
      </c>
      <c r="D63" s="37">
        <f>(1-AMD!D52)*Yard!D$34</f>
        <v>7.6392670438357443E-2</v>
      </c>
      <c r="E63" s="37">
        <f>(1-AMD!E52)*Yard!E$34</f>
        <v>0.19289665765684641</v>
      </c>
      <c r="F63" s="37">
        <f>(1-AMD!F52)*Yard!F$34</f>
        <v>0.12167986690770254</v>
      </c>
      <c r="G63" s="37">
        <f>(1-AMD!G52)*Yard!G$34</f>
        <v>0</v>
      </c>
      <c r="H63" s="37">
        <f>(1-AMD!H52)*Yard!H$34</f>
        <v>0.1237081700575655</v>
      </c>
      <c r="I63" s="37">
        <f>(1-AMD!I52)*Yard!I$34</f>
        <v>0</v>
      </c>
      <c r="J63" s="37">
        <f>(1-AMD!J52)*Yard!J$34</f>
        <v>0</v>
      </c>
      <c r="K63" s="37">
        <f>(1-AMD!B52)*Yard!K$34</f>
        <v>9.2559480574474953E-2</v>
      </c>
      <c r="L63" s="37">
        <f>(1-AMD!C52)*Yard!L$34</f>
        <v>7.0409341763521774E-2</v>
      </c>
      <c r="M63" s="37">
        <f>(1-AMD!D52)*Yard!M$34</f>
        <v>2.7850794076394375E-2</v>
      </c>
      <c r="N63" s="37">
        <f>(1-AMD!E52)*Yard!N$34</f>
        <v>7.0325137995543588E-2</v>
      </c>
      <c r="O63" s="37">
        <f>(1-AMD!F52)*Yard!O$34</f>
        <v>4.4361335937641348E-2</v>
      </c>
      <c r="P63" s="37">
        <f>(1-AMD!G52)*Yard!P$34</f>
        <v>0</v>
      </c>
      <c r="Q63" s="37">
        <f>(1-AMD!H52)*Yard!Q$34</f>
        <v>6.4429718379872242E-2</v>
      </c>
      <c r="R63" s="37">
        <f>(1-AMD!I52)*Yard!R$34</f>
        <v>0</v>
      </c>
      <c r="S63" s="37">
        <f>(1-AMD!J52)*Yard!S$34</f>
        <v>0</v>
      </c>
      <c r="T63" s="17"/>
    </row>
    <row r="64" spans="1:20" x14ac:dyDescent="0.25">
      <c r="A64" s="4" t="s">
        <v>180</v>
      </c>
      <c r="B64" s="37">
        <f>(1-AMD!B53)*Yard!B$35</f>
        <v>0</v>
      </c>
      <c r="C64" s="37">
        <f>(1-AMD!C53)*Yard!C$35</f>
        <v>0.17636948197141505</v>
      </c>
      <c r="D64" s="37">
        <f>(1-AMD!D53)*Yard!D$35</f>
        <v>6.9763897811229006E-2</v>
      </c>
      <c r="E64" s="37">
        <f>(1-AMD!E53)*Yard!E$35</f>
        <v>0.17615855861144064</v>
      </c>
      <c r="F64" s="37">
        <f>(1-AMD!F53)*Yard!F$35</f>
        <v>0.11112141717159521</v>
      </c>
      <c r="G64" s="37">
        <f>(1-AMD!G53)*Yard!G$35</f>
        <v>0</v>
      </c>
      <c r="H64" s="37">
        <f>(1-AMD!H53)*Yard!H$35</f>
        <v>0</v>
      </c>
      <c r="I64" s="37">
        <f>(1-AMD!I53)*Yard!I$35</f>
        <v>0</v>
      </c>
      <c r="J64" s="37">
        <f>(1-AMD!J53)*Yard!J$35</f>
        <v>0</v>
      </c>
      <c r="K64" s="37">
        <f>(1-AMD!B53)*Yard!K$35</f>
        <v>8.4527875609069339E-2</v>
      </c>
      <c r="L64" s="37">
        <f>(1-AMD!C53)*Yard!L$35</f>
        <v>6.4299756711736281E-2</v>
      </c>
      <c r="M64" s="37">
        <f>(1-AMD!D53)*Yard!M$35</f>
        <v>2.5434114827481827E-2</v>
      </c>
      <c r="N64" s="37">
        <f>(1-AMD!E53)*Yard!N$35</f>
        <v>6.4222859503786311E-2</v>
      </c>
      <c r="O64" s="37">
        <f>(1-AMD!F53)*Yard!O$35</f>
        <v>4.0511997935986213E-2</v>
      </c>
      <c r="P64" s="37">
        <f>(1-AMD!G53)*Yard!P$35</f>
        <v>0</v>
      </c>
      <c r="Q64" s="37">
        <f>(1-AMD!H53)*Yard!Q$35</f>
        <v>0</v>
      </c>
      <c r="R64" s="37">
        <f>(1-AMD!I53)*Yard!R$35</f>
        <v>0</v>
      </c>
      <c r="S64" s="37">
        <f>(1-AMD!J53)*Yard!S$35</f>
        <v>0</v>
      </c>
      <c r="T64" s="17"/>
    </row>
    <row r="65" spans="1:20" x14ac:dyDescent="0.25">
      <c r="A65" s="4" t="s">
        <v>193</v>
      </c>
      <c r="B65" s="37">
        <f>(1-AMD!B54)*Yard!B$36</f>
        <v>0</v>
      </c>
      <c r="C65" s="37">
        <f>(1-AMD!C54)*Yard!C$36</f>
        <v>0.14907430744946937</v>
      </c>
      <c r="D65" s="37">
        <f>(1-AMD!D54)*Yard!D$36</f>
        <v>5.8967144626926392E-2</v>
      </c>
      <c r="E65" s="37">
        <f>(1-AMD!E54)*Yard!E$36</f>
        <v>0.11911682149433747</v>
      </c>
      <c r="F65" s="37">
        <f>(1-AMD!F54)*Yard!F$36</f>
        <v>0</v>
      </c>
      <c r="G65" s="37">
        <f>(1-AMD!G54)*Yard!G$36</f>
        <v>0</v>
      </c>
      <c r="H65" s="37">
        <f>(1-AMD!H54)*Yard!H$36</f>
        <v>0</v>
      </c>
      <c r="I65" s="37">
        <f>(1-AMD!I54)*Yard!I$36</f>
        <v>0</v>
      </c>
      <c r="J65" s="37">
        <f>(1-AMD!J54)*Yard!J$36</f>
        <v>0</v>
      </c>
      <c r="K65" s="37">
        <f>(1-AMD!B54)*Yard!K$36</f>
        <v>7.144622967503636E-2</v>
      </c>
      <c r="L65" s="37">
        <f>(1-AMD!C54)*Yard!L$36</f>
        <v>5.4348641237858875E-2</v>
      </c>
      <c r="M65" s="37">
        <f>(1-AMD!D54)*Yard!M$36</f>
        <v>2.1497897545061963E-2</v>
      </c>
      <c r="N65" s="37">
        <f>(1-AMD!E54)*Yard!N$36</f>
        <v>4.3426915794891149E-2</v>
      </c>
      <c r="O65" s="37">
        <f>(1-AMD!F54)*Yard!O$36</f>
        <v>0</v>
      </c>
      <c r="P65" s="37">
        <f>(1-AMD!G54)*Yard!P$36</f>
        <v>0</v>
      </c>
      <c r="Q65" s="37">
        <f>(1-AMD!H54)*Yard!Q$36</f>
        <v>0</v>
      </c>
      <c r="R65" s="37">
        <f>(1-AMD!I54)*Yard!R$36</f>
        <v>0</v>
      </c>
      <c r="S65" s="37">
        <f>(1-AMD!J54)*Yard!S$36</f>
        <v>0</v>
      </c>
      <c r="T65" s="17"/>
    </row>
    <row r="66" spans="1:20" x14ac:dyDescent="0.25">
      <c r="A66" s="4" t="s">
        <v>215</v>
      </c>
      <c r="B66" s="37">
        <f>(1-AMD!B55)*Yard!B$37</f>
        <v>0</v>
      </c>
      <c r="C66" s="37">
        <f>(1-AMD!C55)*Yard!C$37</f>
        <v>0.1316209213830333</v>
      </c>
      <c r="D66" s="37">
        <f>(1-AMD!D55)*Yard!D$37</f>
        <v>5.2063363834532167E-2</v>
      </c>
      <c r="E66" s="37">
        <f>(1-AMD!E55)*Yard!E$37</f>
        <v>0.13146351361230832</v>
      </c>
      <c r="F66" s="37">
        <f>(1-AMD!F55)*Yard!F$37</f>
        <v>8.2927630959897358E-2</v>
      </c>
      <c r="G66" s="37">
        <f>(1-AMD!G55)*Yard!G$37</f>
        <v>0</v>
      </c>
      <c r="H66" s="37">
        <f>(1-AMD!H55)*Yard!H$37</f>
        <v>0.10538745782241457</v>
      </c>
      <c r="I66" s="37">
        <f>(1-AMD!I55)*Yard!I$37</f>
        <v>9.5683423097037229E-2</v>
      </c>
      <c r="J66" s="37">
        <f>(1-AMD!J55)*Yard!J$37</f>
        <v>2.2732811122459042E-3</v>
      </c>
      <c r="K66" s="37">
        <f>(1-AMD!B55)*Yard!K$37</f>
        <v>6.308141718088911E-2</v>
      </c>
      <c r="L66" s="37">
        <f>(1-AMD!C55)*Yard!L$37</f>
        <v>4.7985587577307025E-2</v>
      </c>
      <c r="M66" s="37">
        <f>(1-AMD!D55)*Yard!M$37</f>
        <v>1.8980957423788299E-2</v>
      </c>
      <c r="N66" s="37">
        <f>(1-AMD!E55)*Yard!N$37</f>
        <v>4.7928200770649652E-2</v>
      </c>
      <c r="O66" s="37">
        <f>(1-AMD!F55)*Yard!O$37</f>
        <v>3.0233271855196951E-2</v>
      </c>
      <c r="P66" s="37">
        <f>(1-AMD!G55)*Yard!P$37</f>
        <v>0</v>
      </c>
      <c r="Q66" s="37">
        <f>(1-AMD!H55)*Yard!Q$37</f>
        <v>5.4887920701673823E-2</v>
      </c>
      <c r="R66" s="37">
        <f>(1-AMD!I55)*Yard!R$37</f>
        <v>4.9833863041507789E-2</v>
      </c>
      <c r="S66" s="37">
        <f>(1-AMD!J55)*Yard!S$37</f>
        <v>2.7625985482470902E-2</v>
      </c>
      <c r="T66" s="17"/>
    </row>
    <row r="67" spans="1:20" x14ac:dyDescent="0.25">
      <c r="A67" s="4" t="s">
        <v>216</v>
      </c>
      <c r="B67" s="37">
        <f>(1-AMD!B56)*Yard!B$38</f>
        <v>0</v>
      </c>
      <c r="C67" s="37">
        <f>(1-AMD!C56)*Yard!C$38</f>
        <v>0.2778441693361049</v>
      </c>
      <c r="D67" s="37">
        <f>(1-AMD!D56)*Yard!D$38</f>
        <v>0.10990275653330653</v>
      </c>
      <c r="E67" s="37">
        <f>(1-AMD!E56)*Yard!E$38</f>
        <v>0.27751189061593956</v>
      </c>
      <c r="F67" s="37">
        <f>(1-AMD!F56)*Yard!F$38</f>
        <v>0.17505544329090109</v>
      </c>
      <c r="G67" s="37">
        <f>(1-AMD!G56)*Yard!G$38</f>
        <v>0</v>
      </c>
      <c r="H67" s="37">
        <f>(1-AMD!H56)*Yard!H$38</f>
        <v>0.22246684166493833</v>
      </c>
      <c r="I67" s="37">
        <f>(1-AMD!I56)*Yard!I$38</f>
        <v>0.20198218436919671</v>
      </c>
      <c r="J67" s="37">
        <f>(1-AMD!J56)*Yard!J$38</f>
        <v>4.7987652393142949E-3</v>
      </c>
      <c r="K67" s="37">
        <f>(1-AMD!B56)*Yard!K$38</f>
        <v>0.13316123130731808</v>
      </c>
      <c r="L67" s="37">
        <f>(1-AMD!C56)*Yard!L$38</f>
        <v>0.10129480617843797</v>
      </c>
      <c r="M67" s="37">
        <f>(1-AMD!D56)*Yard!M$38</f>
        <v>4.0067705750738265E-2</v>
      </c>
      <c r="N67" s="37">
        <f>(1-AMD!E56)*Yard!N$38</f>
        <v>0.10117366594131587</v>
      </c>
      <c r="O67" s="37">
        <f>(1-AMD!F56)*Yard!O$38</f>
        <v>6.3820692156335734E-2</v>
      </c>
      <c r="P67" s="37">
        <f>(1-AMD!G56)*Yard!P$38</f>
        <v>0</v>
      </c>
      <c r="Q67" s="37">
        <f>(1-AMD!H56)*Yard!Q$38</f>
        <v>0.11586523307766788</v>
      </c>
      <c r="R67" s="37">
        <f>(1-AMD!I56)*Yard!R$38</f>
        <v>0.10519640902135324</v>
      </c>
      <c r="S67" s="37">
        <f>(1-AMD!J56)*Yard!S$38</f>
        <v>5.8316861087236424E-2</v>
      </c>
      <c r="T67" s="17"/>
    </row>
    <row r="68" spans="1:20" x14ac:dyDescent="0.25">
      <c r="A68" s="4" t="s">
        <v>217</v>
      </c>
      <c r="B68" s="37">
        <f>(1-AMD!B57)*Yard!B$39</f>
        <v>0</v>
      </c>
      <c r="C68" s="37">
        <f>(1-AMD!C57)*Yard!C$39</f>
        <v>0.51013160709832139</v>
      </c>
      <c r="D68" s="37">
        <f>(1-AMD!D57)*Yard!D$39</f>
        <v>0.20178530270703712</v>
      </c>
      <c r="E68" s="37">
        <f>(1-AMD!E57)*Yard!E$39</f>
        <v>0.50952153175311077</v>
      </c>
      <c r="F68" s="37">
        <f>(1-AMD!F57)*Yard!F$39</f>
        <v>0.32140791304232719</v>
      </c>
      <c r="G68" s="37">
        <f>(1-AMD!G57)*Yard!G$39</f>
        <v>0</v>
      </c>
      <c r="H68" s="37">
        <f>(1-AMD!H57)*Yard!H$39</f>
        <v>0.40845689774881844</v>
      </c>
      <c r="I68" s="37">
        <f>(1-AMD!I57)*Yard!I$39</f>
        <v>0.37084635090126555</v>
      </c>
      <c r="J68" s="37">
        <f>(1-AMD!J57)*Yard!J$39</f>
        <v>8.8107007228848573E-3</v>
      </c>
      <c r="K68" s="37">
        <f>(1-AMD!B57)*Yard!K$39</f>
        <v>0.24448867540502406</v>
      </c>
      <c r="L68" s="37">
        <f>(1-AMD!C57)*Yard!L$39</f>
        <v>0.18598080495981356</v>
      </c>
      <c r="M68" s="37">
        <f>(1-AMD!D57)*Yard!M$39</f>
        <v>7.3565708347260561E-2</v>
      </c>
      <c r="N68" s="37">
        <f>(1-AMD!E57)*Yard!N$39</f>
        <v>0.18575838724993313</v>
      </c>
      <c r="O68" s="37">
        <f>(1-AMD!F57)*Yard!O$39</f>
        <v>0.11717702168676791</v>
      </c>
      <c r="P68" s="37">
        <f>(1-AMD!G57)*Yard!P$39</f>
        <v>0</v>
      </c>
      <c r="Q68" s="37">
        <f>(1-AMD!H57)*Yard!Q$39</f>
        <v>0.2127326180641633</v>
      </c>
      <c r="R68" s="37">
        <f>(1-AMD!I57)*Yard!R$39</f>
        <v>0.1931442841621</v>
      </c>
      <c r="S68" s="37">
        <f>(1-AMD!J57)*Yard!S$39</f>
        <v>0.10707179545443016</v>
      </c>
      <c r="T68" s="17"/>
    </row>
    <row r="69" spans="1:20" x14ac:dyDescent="0.25">
      <c r="A69" s="4" t="s">
        <v>218</v>
      </c>
      <c r="B69" s="37">
        <f>(1-AMD!B58)*Yard!B$40</f>
        <v>0</v>
      </c>
      <c r="C69" s="37">
        <f>(1-AMD!C58)*Yard!C$40</f>
        <v>0</v>
      </c>
      <c r="D69" s="37">
        <f>(1-AMD!D58)*Yard!D$40</f>
        <v>0</v>
      </c>
      <c r="E69" s="37">
        <f>(1-AMD!E58)*Yard!E$40</f>
        <v>0</v>
      </c>
      <c r="F69" s="37">
        <f>(1-AMD!F58)*Yard!F$40</f>
        <v>0</v>
      </c>
      <c r="G69" s="37">
        <f>(1-AMD!G58)*Yard!G$40</f>
        <v>0</v>
      </c>
      <c r="H69" s="37">
        <f>(1-AMD!H58)*Yard!H$40</f>
        <v>0</v>
      </c>
      <c r="I69" s="37">
        <f>(1-AMD!I58)*Yard!I$40</f>
        <v>0</v>
      </c>
      <c r="J69" s="37">
        <f>(1-AMD!J58)*Yard!J$40</f>
        <v>0</v>
      </c>
      <c r="K69" s="37">
        <f>(1-AMD!B58)*Yard!K$40</f>
        <v>0</v>
      </c>
      <c r="L69" s="37">
        <f>(1-AMD!C58)*Yard!L$40</f>
        <v>0</v>
      </c>
      <c r="M69" s="37">
        <f>(1-AMD!D58)*Yard!M$40</f>
        <v>0</v>
      </c>
      <c r="N69" s="37">
        <f>(1-AMD!E58)*Yard!N$40</f>
        <v>0</v>
      </c>
      <c r="O69" s="37">
        <f>(1-AMD!F58)*Yard!O$40</f>
        <v>0</v>
      </c>
      <c r="P69" s="37">
        <f>(1-AMD!G58)*Yard!P$40</f>
        <v>0</v>
      </c>
      <c r="Q69" s="37">
        <f>(1-AMD!H58)*Yard!Q$40</f>
        <v>0</v>
      </c>
      <c r="R69" s="37">
        <f>(1-AMD!I58)*Yard!R$40</f>
        <v>0</v>
      </c>
      <c r="S69" s="37">
        <f>(1-AMD!J58)*Yard!S$40</f>
        <v>0</v>
      </c>
      <c r="T69" s="17"/>
    </row>
    <row r="70" spans="1:20" x14ac:dyDescent="0.25">
      <c r="A70" s="4" t="s">
        <v>219</v>
      </c>
      <c r="B70" s="37">
        <f>(1-AMD!B59)*Yard!B$41</f>
        <v>0</v>
      </c>
      <c r="C70" s="37">
        <f>(1-AMD!C59)*Yard!C$41</f>
        <v>0.26986203370259071</v>
      </c>
      <c r="D70" s="37">
        <f>(1-AMD!D59)*Yard!D$41</f>
        <v>0.10674537982375705</v>
      </c>
      <c r="E70" s="37">
        <f>(1-AMD!E59)*Yard!E$41</f>
        <v>0.26953930095857032</v>
      </c>
      <c r="F70" s="37">
        <f>(1-AMD!F59)*Yard!F$41</f>
        <v>0.17002630665264895</v>
      </c>
      <c r="G70" s="37">
        <f>(1-AMD!G59)*Yard!G$41</f>
        <v>0</v>
      </c>
      <c r="H70" s="37">
        <f>(1-AMD!H59)*Yard!H$41</f>
        <v>0.21607563141074382</v>
      </c>
      <c r="I70" s="37">
        <f>(1-AMD!I59)*Yard!I$41</f>
        <v>0.19617947418441659</v>
      </c>
      <c r="J70" s="37">
        <f>(1-AMD!J59)*Yard!J$41</f>
        <v>4.6609023678164828E-3</v>
      </c>
      <c r="K70" s="37">
        <f>(1-AMD!B59)*Yard!K$41</f>
        <v>0.12933566602027052</v>
      </c>
      <c r="L70" s="37">
        <f>(1-AMD!C59)*Yard!L$41</f>
        <v>9.8384725740835829E-2</v>
      </c>
      <c r="M70" s="37">
        <f>(1-AMD!D59)*Yard!M$41</f>
        <v>3.8916607771643227E-2</v>
      </c>
      <c r="N70" s="37">
        <f>(1-AMD!E59)*Yard!N$41</f>
        <v>9.826706572000074E-2</v>
      </c>
      <c r="O70" s="37">
        <f>(1-AMD!F59)*Yard!O$41</f>
        <v>6.1987198863192768E-2</v>
      </c>
      <c r="P70" s="37">
        <f>(1-AMD!G59)*Yard!P$41</f>
        <v>0</v>
      </c>
      <c r="Q70" s="37">
        <f>(1-AMD!H59)*Yard!Q$41</f>
        <v>0.11253656144189245</v>
      </c>
      <c r="R70" s="37">
        <f>(1-AMD!I59)*Yard!R$41</f>
        <v>0.10217424013087954</v>
      </c>
      <c r="S70" s="37">
        <f>(1-AMD!J59)*Yard!S$41</f>
        <v>5.6641486376183818E-2</v>
      </c>
      <c r="T70" s="17"/>
    </row>
    <row r="72" spans="1:20" ht="21" customHeight="1" x14ac:dyDescent="0.3">
      <c r="A72" s="1" t="s">
        <v>998</v>
      </c>
    </row>
    <row r="73" spans="1:20" x14ac:dyDescent="0.25">
      <c r="A73" s="2" t="s">
        <v>350</v>
      </c>
    </row>
    <row r="74" spans="1:20" x14ac:dyDescent="0.25">
      <c r="A74" s="32" t="s">
        <v>989</v>
      </c>
    </row>
    <row r="75" spans="1:20" x14ac:dyDescent="0.25">
      <c r="A75" s="32" t="s">
        <v>999</v>
      </c>
    </row>
    <row r="76" spans="1:20" x14ac:dyDescent="0.25">
      <c r="A76" s="2" t="s">
        <v>997</v>
      </c>
    </row>
    <row r="78" spans="1:20" ht="30" x14ac:dyDescent="0.25">
      <c r="B78" s="15" t="s">
        <v>139</v>
      </c>
      <c r="C78" s="15" t="s">
        <v>313</v>
      </c>
      <c r="D78" s="15" t="s">
        <v>314</v>
      </c>
      <c r="E78" s="15" t="s">
        <v>315</v>
      </c>
      <c r="F78" s="15" t="s">
        <v>316</v>
      </c>
      <c r="G78" s="15" t="s">
        <v>317</v>
      </c>
      <c r="H78" s="15" t="s">
        <v>318</v>
      </c>
      <c r="I78" s="15" t="s">
        <v>319</v>
      </c>
      <c r="J78" s="15" t="s">
        <v>320</v>
      </c>
      <c r="K78" s="15" t="s">
        <v>301</v>
      </c>
      <c r="L78" s="15" t="s">
        <v>876</v>
      </c>
      <c r="M78" s="15" t="s">
        <v>877</v>
      </c>
      <c r="N78" s="15" t="s">
        <v>878</v>
      </c>
      <c r="O78" s="15" t="s">
        <v>879</v>
      </c>
      <c r="P78" s="15" t="s">
        <v>880</v>
      </c>
      <c r="Q78" s="15" t="s">
        <v>881</v>
      </c>
      <c r="R78" s="15" t="s">
        <v>882</v>
      </c>
      <c r="S78" s="15" t="s">
        <v>883</v>
      </c>
    </row>
    <row r="79" spans="1:20" x14ac:dyDescent="0.25">
      <c r="A79" s="4" t="s">
        <v>171</v>
      </c>
      <c r="B79" s="37">
        <f>(1-AMD!B$41)*Yard!B$61</f>
        <v>0</v>
      </c>
      <c r="C79" s="37">
        <f>(1-AMD!C$41)*Yard!C$61</f>
        <v>0.24473780066130502</v>
      </c>
      <c r="D79" s="37">
        <f>(1-AMD!D$41)*Yard!D$61</f>
        <v>9.6807354226098194E-2</v>
      </c>
      <c r="E79" s="37">
        <f>(1-AMD!E$41)*Yard!E$61</f>
        <v>0.23758085467428902</v>
      </c>
      <c r="F79" s="37">
        <f>(1-AMD!F$41)*Yard!F$61</f>
        <v>0.14986681017570061</v>
      </c>
      <c r="G79" s="37">
        <f>(1-AMD!G$41)*Yard!G$61</f>
        <v>0</v>
      </c>
      <c r="H79" s="37">
        <f>(1-AMD!H$41)*Yard!H$61</f>
        <v>0.19045620806422478</v>
      </c>
      <c r="I79" s="37">
        <f>(1-AMD!I$41)*Yard!I$61</f>
        <v>0.17291907703452228</v>
      </c>
      <c r="J79" s="37">
        <f>(1-AMD!J$41)*Yard!J$61</f>
        <v>0</v>
      </c>
      <c r="K79" s="37">
        <f>(1-AMD!B$41)*Yard!K$61</f>
        <v>0.12292722584997501</v>
      </c>
      <c r="L79" s="37">
        <f>(1-AMD!C$41)*Yard!L$61</f>
        <v>8.922507944564817E-2</v>
      </c>
      <c r="M79" s="37">
        <f>(1-AMD!D$41)*Yard!M$61</f>
        <v>3.5293460382527231E-2</v>
      </c>
      <c r="N79" s="37">
        <f>(1-AMD!E$41)*Yard!N$61</f>
        <v>8.6615841834808249E-2</v>
      </c>
      <c r="O79" s="37">
        <f>(1-AMD!F$41)*Yard!O$61</f>
        <v>5.4637567257941611E-2</v>
      </c>
      <c r="P79" s="37">
        <f>(1-AMD!G$41)*Yard!P$61</f>
        <v>0</v>
      </c>
      <c r="Q79" s="37">
        <f>(1-AMD!H$41)*Yard!Q$61</f>
        <v>9.9193447316909072E-2</v>
      </c>
      <c r="R79" s="37">
        <f>(1-AMD!I$41)*Yard!R$61</f>
        <v>9.0059754587408183E-2</v>
      </c>
      <c r="S79" s="37">
        <f>(1-AMD!J$41)*Yard!S$61</f>
        <v>0</v>
      </c>
      <c r="T79" s="17"/>
    </row>
    <row r="80" spans="1:20" x14ac:dyDescent="0.25">
      <c r="A80" s="4" t="s">
        <v>172</v>
      </c>
      <c r="B80" s="37">
        <f>(1-AMD!B$42)*Yard!B$62</f>
        <v>0</v>
      </c>
      <c r="C80" s="37">
        <f>(1-AMD!C$42)*Yard!C$62</f>
        <v>0.29121306262400481</v>
      </c>
      <c r="D80" s="37">
        <f>(1-AMD!D$42)*Yard!D$62</f>
        <v>0.11519089422448282</v>
      </c>
      <c r="E80" s="37">
        <f>(1-AMD!E$42)*Yard!E$62</f>
        <v>0.28172051720642932</v>
      </c>
      <c r="F80" s="37">
        <f>(1-AMD!F$42)*Yard!F$62</f>
        <v>0.17771025924062075</v>
      </c>
      <c r="G80" s="37">
        <f>(1-AMD!G$42)*Yard!G$62</f>
        <v>0</v>
      </c>
      <c r="H80" s="37">
        <f>(1-AMD!H$42)*Yard!H$62</f>
        <v>0.22584067859587215</v>
      </c>
      <c r="I80" s="37">
        <f>(1-AMD!I$42)*Yard!I$62</f>
        <v>0.20504535975261784</v>
      </c>
      <c r="J80" s="37">
        <f>(1-AMD!J$42)*Yard!J$62</f>
        <v>0</v>
      </c>
      <c r="K80" s="37">
        <f>(1-AMD!B$42)*Yard!K$62</f>
        <v>0.14709525077709942</v>
      </c>
      <c r="L80" s="37">
        <f>(1-AMD!C$42)*Yard!L$62</f>
        <v>0.10616875929271004</v>
      </c>
      <c r="M80" s="37">
        <f>(1-AMD!D$42)*Yard!M$62</f>
        <v>4.1995624136618115E-2</v>
      </c>
      <c r="N80" s="37">
        <f>(1-AMD!E$42)*Yard!N$62</f>
        <v>0.10270802246850061</v>
      </c>
      <c r="O80" s="37">
        <f>(1-AMD!F$42)*Yard!O$62</f>
        <v>6.4788569465796086E-2</v>
      </c>
      <c r="P80" s="37">
        <f>(1-AMD!G$42)*Yard!P$62</f>
        <v>0</v>
      </c>
      <c r="Q80" s="37">
        <f>(1-AMD!H$42)*Yard!Q$62</f>
        <v>0.11762239562577223</v>
      </c>
      <c r="R80" s="37">
        <f>(1-AMD!I$42)*Yard!R$62</f>
        <v>0.10679177274882684</v>
      </c>
      <c r="S80" s="37">
        <f>(1-AMD!J$42)*Yard!S$62</f>
        <v>0</v>
      </c>
      <c r="T80" s="17"/>
    </row>
    <row r="81" spans="1:20" x14ac:dyDescent="0.25">
      <c r="A81" s="4" t="s">
        <v>213</v>
      </c>
      <c r="B81" s="37">
        <f>(1-AMD!B$43)*Yard!B$63</f>
        <v>0</v>
      </c>
      <c r="C81" s="37">
        <f>(1-AMD!C$43)*Yard!C$63</f>
        <v>2.7789969459307871E-2</v>
      </c>
      <c r="D81" s="37">
        <f>(1-AMD!D$43)*Yard!D$63</f>
        <v>1.099247198475385E-2</v>
      </c>
      <c r="E81" s="37">
        <f>(1-AMD!E$43)*Yard!E$63</f>
        <v>3.5393258882933598E-2</v>
      </c>
      <c r="F81" s="37">
        <f>(1-AMD!F$43)*Yard!F$63</f>
        <v>2.2326187932019705E-2</v>
      </c>
      <c r="G81" s="37">
        <f>(1-AMD!G$43)*Yard!G$63</f>
        <v>0</v>
      </c>
      <c r="H81" s="37">
        <f>(1-AMD!H$43)*Yard!H$63</f>
        <v>2.8372933867589406E-2</v>
      </c>
      <c r="I81" s="37">
        <f>(1-AMD!I$43)*Yard!I$63</f>
        <v>2.5760365529752881E-2</v>
      </c>
      <c r="J81" s="37">
        <f>(1-AMD!J$43)*Yard!J$63</f>
        <v>0</v>
      </c>
      <c r="K81" s="37">
        <f>(1-AMD!B$43)*Yard!K$63</f>
        <v>6.8342840883932549E-3</v>
      </c>
      <c r="L81" s="37">
        <f>(1-AMD!C$43)*Yard!L$63</f>
        <v>1.0131504925266413E-2</v>
      </c>
      <c r="M81" s="37">
        <f>(1-AMD!D$43)*Yard!M$63</f>
        <v>4.0075713007696277E-3</v>
      </c>
      <c r="N81" s="37">
        <f>(1-AMD!E$43)*Yard!N$63</f>
        <v>1.2903467822040627E-2</v>
      </c>
      <c r="O81" s="37">
        <f>(1-AMD!F$43)*Yard!O$63</f>
        <v>8.1395513344085114E-3</v>
      </c>
      <c r="P81" s="37">
        <f>(1-AMD!G$43)*Yard!P$63</f>
        <v>0</v>
      </c>
      <c r="Q81" s="37">
        <f>(1-AMD!H$43)*Yard!Q$63</f>
        <v>1.4777198125627982E-2</v>
      </c>
      <c r="R81" s="37">
        <f>(1-AMD!I$43)*Yard!R$63</f>
        <v>1.3416519666180647E-2</v>
      </c>
      <c r="S81" s="37">
        <f>(1-AMD!J$43)*Yard!S$63</f>
        <v>0</v>
      </c>
      <c r="T81" s="17"/>
    </row>
    <row r="82" spans="1:20" x14ac:dyDescent="0.25">
      <c r="A82" s="4" t="s">
        <v>173</v>
      </c>
      <c r="B82" s="37">
        <f>(1-AMD!B$44)*Yard!B$64</f>
        <v>0</v>
      </c>
      <c r="C82" s="37">
        <f>(1-AMD!C$44)*Yard!C$64</f>
        <v>0.23376405624457947</v>
      </c>
      <c r="D82" s="37">
        <f>(1-AMD!D$44)*Yard!D$64</f>
        <v>9.2466630561563831E-2</v>
      </c>
      <c r="E82" s="37">
        <f>(1-AMD!E$44)*Yard!E$64</f>
        <v>0.23614798283201122</v>
      </c>
      <c r="F82" s="37">
        <f>(1-AMD!F$44)*Yard!F$64</f>
        <v>0.14896294975021665</v>
      </c>
      <c r="G82" s="37">
        <f>(1-AMD!G$44)*Yard!G$64</f>
        <v>0</v>
      </c>
      <c r="H82" s="37">
        <f>(1-AMD!H$44)*Yard!H$64</f>
        <v>0.18930754927142618</v>
      </c>
      <c r="I82" s="37">
        <f>(1-AMD!I$44)*Yard!I$64</f>
        <v>0.17187618628132961</v>
      </c>
      <c r="J82" s="37">
        <f>(1-AMD!J$44)*Yard!J$64</f>
        <v>0</v>
      </c>
      <c r="K82" s="37">
        <f>(1-AMD!B$44)*Yard!K$64</f>
        <v>0.11027601341603332</v>
      </c>
      <c r="L82" s="37">
        <f>(1-AMD!C$44)*Yard!L$64</f>
        <v>8.5224335732364542E-2</v>
      </c>
      <c r="M82" s="37">
        <f>(1-AMD!D$44)*Yard!M$64</f>
        <v>3.3710944674805919E-2</v>
      </c>
      <c r="N82" s="37">
        <f>(1-AMD!E$44)*Yard!N$64</f>
        <v>8.6093453778622361E-2</v>
      </c>
      <c r="O82" s="37">
        <f>(1-AMD!F$44)*Yard!O$64</f>
        <v>5.4308043097580319E-2</v>
      </c>
      <c r="P82" s="37">
        <f>(1-AMD!G$44)*Yard!P$64</f>
        <v>0</v>
      </c>
      <c r="Q82" s="37">
        <f>(1-AMD!H$44)*Yard!Q$64</f>
        <v>9.859520257284618E-2</v>
      </c>
      <c r="R82" s="37">
        <f>(1-AMD!I$44)*Yard!R$64</f>
        <v>8.9516595978741439E-2</v>
      </c>
      <c r="S82" s="37">
        <f>(1-AMD!J$44)*Yard!S$64</f>
        <v>0</v>
      </c>
      <c r="T82" s="17"/>
    </row>
    <row r="83" spans="1:20" x14ac:dyDescent="0.25">
      <c r="A83" s="4" t="s">
        <v>174</v>
      </c>
      <c r="B83" s="37">
        <f>(1-AMD!B$45)*Yard!B$65</f>
        <v>0</v>
      </c>
      <c r="C83" s="37">
        <f>(1-AMD!C$45)*Yard!C$65</f>
        <v>0.23997705525371493</v>
      </c>
      <c r="D83" s="37">
        <f>(1-AMD!D$45)*Yard!D$65</f>
        <v>9.4924215757878266E-2</v>
      </c>
      <c r="E83" s="37">
        <f>(1-AMD!E$45)*Yard!E$65</f>
        <v>0.23985469908773799</v>
      </c>
      <c r="F83" s="37">
        <f>(1-AMD!F$45)*Yard!F$65</f>
        <v>0.15130115895581009</v>
      </c>
      <c r="G83" s="37">
        <f>(1-AMD!G$45)*Yard!G$65</f>
        <v>0</v>
      </c>
      <c r="H83" s="37">
        <f>(1-AMD!H$45)*Yard!H$65</f>
        <v>0.19227903080517006</v>
      </c>
      <c r="I83" s="37">
        <f>(1-AMD!I$45)*Yard!I$65</f>
        <v>0.17457405499069115</v>
      </c>
      <c r="J83" s="37">
        <f>(1-AMD!J$45)*Yard!J$65</f>
        <v>0</v>
      </c>
      <c r="K83" s="37">
        <f>(1-AMD!B$45)*Yard!K$65</f>
        <v>0.1152737298019279</v>
      </c>
      <c r="L83" s="37">
        <f>(1-AMD!C$45)*Yard!L$65</f>
        <v>8.748943466145491E-2</v>
      </c>
      <c r="M83" s="37">
        <f>(1-AMD!D$45)*Yard!M$65</f>
        <v>3.4606916746930019E-2</v>
      </c>
      <c r="N83" s="37">
        <f>(1-AMD!E$45)*Yard!N$65</f>
        <v>8.7444826764348421E-2</v>
      </c>
      <c r="O83" s="37">
        <f>(1-AMD!F$45)*Yard!O$65</f>
        <v>5.5160493767504995E-2</v>
      </c>
      <c r="P83" s="37">
        <f>(1-AMD!G$45)*Yard!P$65</f>
        <v>0</v>
      </c>
      <c r="Q83" s="37">
        <f>(1-AMD!H$45)*Yard!Q$65</f>
        <v>0.10014281028785012</v>
      </c>
      <c r="R83" s="37">
        <f>(1-AMD!I$45)*Yard!R$65</f>
        <v>9.0921700597855509E-2</v>
      </c>
      <c r="S83" s="37">
        <f>(1-AMD!J$45)*Yard!S$65</f>
        <v>0</v>
      </c>
      <c r="T83" s="17"/>
    </row>
    <row r="84" spans="1:20" x14ac:dyDescent="0.25">
      <c r="A84" s="4" t="s">
        <v>214</v>
      </c>
      <c r="B84" s="37">
        <f>(1-AMD!B$46)*Yard!B$66</f>
        <v>0</v>
      </c>
      <c r="C84" s="37">
        <f>(1-AMD!C$46)*Yard!C$66</f>
        <v>2.0096052821219831E-2</v>
      </c>
      <c r="D84" s="37">
        <f>(1-AMD!D$46)*Yard!D$66</f>
        <v>7.949101850034718E-3</v>
      </c>
      <c r="E84" s="37">
        <f>(1-AMD!E$46)*Yard!E$66</f>
        <v>2.6913175578026922E-2</v>
      </c>
      <c r="F84" s="37">
        <f>(1-AMD!F$46)*Yard!F$66</f>
        <v>1.6976922576977142E-2</v>
      </c>
      <c r="G84" s="37">
        <f>(1-AMD!G$46)*Yard!G$66</f>
        <v>0</v>
      </c>
      <c r="H84" s="37">
        <f>(1-AMD!H$46)*Yard!H$66</f>
        <v>2.1574892364895681E-2</v>
      </c>
      <c r="I84" s="37">
        <f>(1-AMD!I$46)*Yard!I$66</f>
        <v>1.9588284954192042E-2</v>
      </c>
      <c r="J84" s="37">
        <f>(1-AMD!J$46)*Yard!J$66</f>
        <v>0</v>
      </c>
      <c r="K84" s="37">
        <f>(1-AMD!B$46)*Yard!K$66</f>
        <v>3.7107101695606896E-3</v>
      </c>
      <c r="L84" s="37">
        <f>(1-AMD!C$46)*Yard!L$66</f>
        <v>7.3265016874068051E-3</v>
      </c>
      <c r="M84" s="37">
        <f>(1-AMD!D$46)*Yard!M$66</f>
        <v>2.8980371735563945E-3</v>
      </c>
      <c r="N84" s="37">
        <f>(1-AMD!E$46)*Yard!N$66</f>
        <v>9.8118485276712675E-3</v>
      </c>
      <c r="O84" s="37">
        <f>(1-AMD!F$46)*Yard!O$66</f>
        <v>6.1893473814848251E-3</v>
      </c>
      <c r="P84" s="37">
        <f>(1-AMD!G$46)*Yard!P$66</f>
        <v>0</v>
      </c>
      <c r="Q84" s="37">
        <f>(1-AMD!H$46)*Yard!Q$66</f>
        <v>1.1236640542814929E-2</v>
      </c>
      <c r="R84" s="37">
        <f>(1-AMD!I$46)*Yard!R$66</f>
        <v>1.0201975201443853E-2</v>
      </c>
      <c r="S84" s="37">
        <f>(1-AMD!J$46)*Yard!S$66</f>
        <v>0</v>
      </c>
      <c r="T84" s="17"/>
    </row>
    <row r="85" spans="1:20" x14ac:dyDescent="0.25">
      <c r="A85" s="4" t="s">
        <v>175</v>
      </c>
      <c r="B85" s="37">
        <f>(1-AMD!B$47)*Yard!B$67</f>
        <v>0</v>
      </c>
      <c r="C85" s="37">
        <f>(1-AMD!C$47)*Yard!C$67</f>
        <v>0.19779214962442537</v>
      </c>
      <c r="D85" s="37">
        <f>(1-AMD!D$47)*Yard!D$67</f>
        <v>7.8237749297796033E-2</v>
      </c>
      <c r="E85" s="37">
        <f>(1-AMD!E$47)*Yard!E$67</f>
        <v>0.19620022360905109</v>
      </c>
      <c r="F85" s="37">
        <f>(1-AMD!F$47)*Yard!F$67</f>
        <v>0.12376376753235814</v>
      </c>
      <c r="G85" s="37">
        <f>(1-AMD!G$47)*Yard!G$67</f>
        <v>0</v>
      </c>
      <c r="H85" s="37">
        <f>(1-AMD!H$47)*Yard!H$67</f>
        <v>0.1572835094863255</v>
      </c>
      <c r="I85" s="37">
        <f>(1-AMD!I$47)*Yard!I$67</f>
        <v>0.14280090719833391</v>
      </c>
      <c r="J85" s="37">
        <f>(1-AMD!J$47)*Yard!J$67</f>
        <v>0</v>
      </c>
      <c r="K85" s="37">
        <f>(1-AMD!B$47)*Yard!K$67</f>
        <v>9.6226668781822775E-2</v>
      </c>
      <c r="L85" s="37">
        <f>(1-AMD!C$47)*Yard!L$67</f>
        <v>7.210990789440061E-2</v>
      </c>
      <c r="M85" s="37">
        <f>(1-AMD!D$47)*Yard!M$67</f>
        <v>2.8523462161880373E-2</v>
      </c>
      <c r="N85" s="37">
        <f>(1-AMD!E$47)*Yard!N$67</f>
        <v>7.1529532795786666E-2</v>
      </c>
      <c r="O85" s="37">
        <f>(1-AMD!F$47)*Yard!O$67</f>
        <v>4.5121072268887744E-2</v>
      </c>
      <c r="P85" s="37">
        <f>(1-AMD!G$47)*Yard!P$67</f>
        <v>0</v>
      </c>
      <c r="Q85" s="37">
        <f>(1-AMD!H$47)*Yard!Q$67</f>
        <v>8.1916434599965005E-2</v>
      </c>
      <c r="R85" s="37">
        <f>(1-AMD!I$47)*Yard!R$67</f>
        <v>7.4373602251957757E-2</v>
      </c>
      <c r="S85" s="37">
        <f>(1-AMD!J$47)*Yard!S$67</f>
        <v>0</v>
      </c>
      <c r="T85" s="17"/>
    </row>
    <row r="86" spans="1:20" x14ac:dyDescent="0.25">
      <c r="A86" s="4" t="s">
        <v>176</v>
      </c>
      <c r="B86" s="37">
        <f>(1-AMD!B$48)*Yard!B$68</f>
        <v>0</v>
      </c>
      <c r="C86" s="37">
        <f>(1-AMD!C$48)*Yard!C$68</f>
        <v>0.18591581442897259</v>
      </c>
      <c r="D86" s="37">
        <f>(1-AMD!D$48)*Yard!D$68</f>
        <v>7.3540000993008517E-2</v>
      </c>
      <c r="E86" s="37">
        <f>(1-AMD!E$48)*Yard!E$68</f>
        <v>0.18464733789187124</v>
      </c>
      <c r="F86" s="37">
        <f>(1-AMD!F$48)*Yard!F$68</f>
        <v>0.11647616797753794</v>
      </c>
      <c r="G86" s="37">
        <f>(1-AMD!G$48)*Yard!G$68</f>
        <v>0</v>
      </c>
      <c r="H86" s="37">
        <f>(1-AMD!H$48)*Yard!H$68</f>
        <v>0.14802216219085451</v>
      </c>
      <c r="I86" s="37">
        <f>(1-AMD!I$48)*Yard!I$68</f>
        <v>0</v>
      </c>
      <c r="J86" s="37">
        <f>(1-AMD!J$48)*Yard!J$68</f>
        <v>0</v>
      </c>
      <c r="K86" s="37">
        <f>(1-AMD!B$48)*Yard!K$68</f>
        <v>9.0263733153391687E-2</v>
      </c>
      <c r="L86" s="37">
        <f>(1-AMD!C$48)*Yard!L$68</f>
        <v>6.7780102901162542E-2</v>
      </c>
      <c r="M86" s="37">
        <f>(1-AMD!D$48)*Yard!M$68</f>
        <v>2.6810784493871087E-2</v>
      </c>
      <c r="N86" s="37">
        <f>(1-AMD!E$48)*Yard!N$68</f>
        <v>6.7317649126175647E-2</v>
      </c>
      <c r="O86" s="37">
        <f>(1-AMD!F$48)*Yard!O$68</f>
        <v>4.2464201742594306E-2</v>
      </c>
      <c r="P86" s="37">
        <f>(1-AMD!G$48)*Yard!P$68</f>
        <v>0</v>
      </c>
      <c r="Q86" s="37">
        <f>(1-AMD!H$48)*Yard!Q$68</f>
        <v>7.7092937511715129E-2</v>
      </c>
      <c r="R86" s="37">
        <f>(1-AMD!I$48)*Yard!R$68</f>
        <v>0</v>
      </c>
      <c r="S86" s="37">
        <f>(1-AMD!J$48)*Yard!S$68</f>
        <v>0</v>
      </c>
      <c r="T86" s="17"/>
    </row>
    <row r="87" spans="1:20" x14ac:dyDescent="0.25">
      <c r="A87" s="4" t="s">
        <v>192</v>
      </c>
      <c r="B87" s="37">
        <f>(1-AMD!B$49)*Yard!B$69</f>
        <v>0</v>
      </c>
      <c r="C87" s="37">
        <f>(1-AMD!C$49)*Yard!C$69</f>
        <v>0.22928536210086228</v>
      </c>
      <c r="D87" s="37">
        <f>(1-AMD!D$49)*Yard!D$69</f>
        <v>9.0695058988763746E-2</v>
      </c>
      <c r="E87" s="37">
        <f>(1-AMD!E$49)*Yard!E$69</f>
        <v>0.18286298116477004</v>
      </c>
      <c r="F87" s="37">
        <f>(1-AMD!F$49)*Yard!F$69</f>
        <v>0</v>
      </c>
      <c r="G87" s="37">
        <f>(1-AMD!G$49)*Yard!G$69</f>
        <v>0</v>
      </c>
      <c r="H87" s="37">
        <f>(1-AMD!H$49)*Yard!H$69</f>
        <v>0</v>
      </c>
      <c r="I87" s="37">
        <f>(1-AMD!I$49)*Yard!I$69</f>
        <v>0</v>
      </c>
      <c r="J87" s="37">
        <f>(1-AMD!J$49)*Yard!J$69</f>
        <v>0</v>
      </c>
      <c r="K87" s="37">
        <f>(1-AMD!B$49)*Yard!K$69</f>
        <v>0.11065003460819496</v>
      </c>
      <c r="L87" s="37">
        <f>(1-AMD!C$49)*Yard!L$69</f>
        <v>8.3591519552329685E-2</v>
      </c>
      <c r="M87" s="37">
        <f>(1-AMD!D$49)*Yard!M$69</f>
        <v>3.3065075447005307E-2</v>
      </c>
      <c r="N87" s="37">
        <f>(1-AMD!E$49)*Yard!N$69</f>
        <v>6.6667118761414734E-2</v>
      </c>
      <c r="O87" s="37">
        <f>(1-AMD!F$49)*Yard!O$69</f>
        <v>0</v>
      </c>
      <c r="P87" s="37">
        <f>(1-AMD!G$49)*Yard!P$69</f>
        <v>0</v>
      </c>
      <c r="Q87" s="37">
        <f>(1-AMD!H$49)*Yard!Q$69</f>
        <v>0</v>
      </c>
      <c r="R87" s="37">
        <f>(1-AMD!I$49)*Yard!R$69</f>
        <v>0</v>
      </c>
      <c r="S87" s="37">
        <f>(1-AMD!J$49)*Yard!S$69</f>
        <v>0</v>
      </c>
      <c r="T87" s="17"/>
    </row>
    <row r="88" spans="1:20" x14ac:dyDescent="0.25">
      <c r="A88" s="4" t="s">
        <v>177</v>
      </c>
      <c r="B88" s="37">
        <f>(1-AMD!B$50)*Yard!B$70</f>
        <v>0</v>
      </c>
      <c r="C88" s="37">
        <f>(1-AMD!C$50)*Yard!C$70</f>
        <v>1.4784799496840595</v>
      </c>
      <c r="D88" s="37">
        <f>(1-AMD!D$50)*Yard!D$70</f>
        <v>0.58482070125049646</v>
      </c>
      <c r="E88" s="37">
        <f>(1-AMD!E$50)*Yard!E$70</f>
        <v>1.246222066065904</v>
      </c>
      <c r="F88" s="37">
        <f>(1-AMD!F$50)*Yard!F$70</f>
        <v>0.78612111261202655</v>
      </c>
      <c r="G88" s="37">
        <f>(1-AMD!G$50)*Yard!G$70</f>
        <v>0</v>
      </c>
      <c r="H88" s="37">
        <f>(1-AMD!H$50)*Yard!H$70</f>
        <v>0.99903138000859293</v>
      </c>
      <c r="I88" s="37">
        <f>(1-AMD!I$50)*Yard!I$70</f>
        <v>0.90704097238645265</v>
      </c>
      <c r="J88" s="37">
        <f>(1-AMD!J$50)*Yard!J$70</f>
        <v>0</v>
      </c>
      <c r="K88" s="37">
        <f>(1-AMD!B$50)*Yard!K$70</f>
        <v>0.89335459064121203</v>
      </c>
      <c r="L88" s="37">
        <f>(1-AMD!C$50)*Yard!L$70</f>
        <v>0.53901559388416675</v>
      </c>
      <c r="M88" s="37">
        <f>(1-AMD!D$50)*Yard!M$70</f>
        <v>0.21321051913328484</v>
      </c>
      <c r="N88" s="37">
        <f>(1-AMD!E$50)*Yard!N$70</f>
        <v>0.45434036978019948</v>
      </c>
      <c r="O88" s="37">
        <f>(1-AMD!F$50)*Yard!O$70</f>
        <v>0.28659944862289249</v>
      </c>
      <c r="P88" s="37">
        <f>(1-AMD!G$50)*Yard!P$70</f>
        <v>0</v>
      </c>
      <c r="Q88" s="37">
        <f>(1-AMD!H$50)*Yard!Q$70</f>
        <v>0.52031575955457521</v>
      </c>
      <c r="R88" s="37">
        <f>(1-AMD!I$50)*Yard!R$70</f>
        <v>0.47240529370590795</v>
      </c>
      <c r="S88" s="37">
        <f>(1-AMD!J$50)*Yard!S$70</f>
        <v>0</v>
      </c>
      <c r="T88" s="17"/>
    </row>
    <row r="89" spans="1:20" x14ac:dyDescent="0.25">
      <c r="A89" s="4" t="s">
        <v>178</v>
      </c>
      <c r="B89" s="37">
        <f>(1-AMD!B$51)*Yard!B$71</f>
        <v>0</v>
      </c>
      <c r="C89" s="37">
        <f>(1-AMD!C$51)*Yard!C$71</f>
        <v>1.4377608106111681</v>
      </c>
      <c r="D89" s="37">
        <f>(1-AMD!D$51)*Yard!D$71</f>
        <v>0.56871402664052717</v>
      </c>
      <c r="E89" s="37">
        <f>(1-AMD!E$51)*Yard!E$71</f>
        <v>1.2115343993951717</v>
      </c>
      <c r="F89" s="37">
        <f>(1-AMD!F$51)*Yard!F$71</f>
        <v>0.76424001464431568</v>
      </c>
      <c r="G89" s="37">
        <f>(1-AMD!G$51)*Yard!G$71</f>
        <v>0</v>
      </c>
      <c r="H89" s="37">
        <f>(1-AMD!H$51)*Yard!H$71</f>
        <v>0.97122408270022764</v>
      </c>
      <c r="I89" s="37">
        <f>(1-AMD!I$51)*Yard!I$71</f>
        <v>0.88179415982907139</v>
      </c>
      <c r="J89" s="37">
        <f>(1-AMD!J$51)*Yard!J$71</f>
        <v>0</v>
      </c>
      <c r="K89" s="37">
        <f>(1-AMD!B$51)*Yard!K$71</f>
        <v>0.86923511740343762</v>
      </c>
      <c r="L89" s="37">
        <f>(1-AMD!C$51)*Yard!L$71</f>
        <v>0.52417044773624843</v>
      </c>
      <c r="M89" s="37">
        <f>(1-AMD!D$51)*Yard!M$71</f>
        <v>0.20733844167816148</v>
      </c>
      <c r="N89" s="37">
        <f>(1-AMD!E$51)*Yard!N$71</f>
        <v>0.44169414265011481</v>
      </c>
      <c r="O89" s="37">
        <f>(1-AMD!F$51)*Yard!O$71</f>
        <v>0.27862216559080022</v>
      </c>
      <c r="P89" s="37">
        <f>(1-AMD!G$51)*Yard!P$71</f>
        <v>0</v>
      </c>
      <c r="Q89" s="37">
        <f>(1-AMD!H$51)*Yard!Q$71</f>
        <v>0.50583315639546567</v>
      </c>
      <c r="R89" s="37">
        <f>(1-AMD!I$51)*Yard!R$71</f>
        <v>0.45925624282022615</v>
      </c>
      <c r="S89" s="37">
        <f>(1-AMD!J$51)*Yard!S$71</f>
        <v>0</v>
      </c>
      <c r="T89" s="17"/>
    </row>
    <row r="90" spans="1:20" x14ac:dyDescent="0.25">
      <c r="A90" s="4" t="s">
        <v>179</v>
      </c>
      <c r="B90" s="37">
        <f>(1-AMD!B$52)*Yard!B$72</f>
        <v>0</v>
      </c>
      <c r="C90" s="37">
        <f>(1-AMD!C$52)*Yard!C$72</f>
        <v>1.2511903381653109</v>
      </c>
      <c r="D90" s="37">
        <f>(1-AMD!D$52)*Yard!D$72</f>
        <v>0.49491507214558206</v>
      </c>
      <c r="E90" s="37">
        <f>(1-AMD!E$52)*Yard!E$72</f>
        <v>1.0544343765560118</v>
      </c>
      <c r="F90" s="37">
        <f>(1-AMD!F$52)*Yard!F$72</f>
        <v>0.66514078657851738</v>
      </c>
      <c r="G90" s="37">
        <f>(1-AMD!G$52)*Yard!G$72</f>
        <v>0</v>
      </c>
      <c r="H90" s="37">
        <f>(1-AMD!H$52)*Yard!H$72</f>
        <v>0.67622813559364126</v>
      </c>
      <c r="I90" s="37">
        <f>(1-AMD!I$52)*Yard!I$72</f>
        <v>0</v>
      </c>
      <c r="J90" s="37">
        <f>(1-AMD!J$52)*Yard!J$72</f>
        <v>0</v>
      </c>
      <c r="K90" s="37">
        <f>(1-AMD!B$52)*Yard!K$72</f>
        <v>0.75627491169386463</v>
      </c>
      <c r="L90" s="37">
        <f>(1-AMD!C$52)*Yard!L$72</f>
        <v>0.45615167343488372</v>
      </c>
      <c r="M90" s="37">
        <f>(1-AMD!D$52)*Yard!M$72</f>
        <v>0.18043324942741512</v>
      </c>
      <c r="N90" s="37">
        <f>(1-AMD!E$52)*Yard!N$72</f>
        <v>0.38441953292141251</v>
      </c>
      <c r="O90" s="37">
        <f>(1-AMD!F$52)*Yard!O$72</f>
        <v>0.24249314721570267</v>
      </c>
      <c r="P90" s="37">
        <f>(1-AMD!G$52)*Yard!P$72</f>
        <v>0</v>
      </c>
      <c r="Q90" s="37">
        <f>(1-AMD!H$52)*Yard!Q$72</f>
        <v>0.35219329747235117</v>
      </c>
      <c r="R90" s="37">
        <f>(1-AMD!I$52)*Yard!R$72</f>
        <v>0</v>
      </c>
      <c r="S90" s="37">
        <f>(1-AMD!J$52)*Yard!S$72</f>
        <v>0</v>
      </c>
      <c r="T90" s="17"/>
    </row>
    <row r="91" spans="1:20" x14ac:dyDescent="0.25">
      <c r="A91" s="4" t="s">
        <v>180</v>
      </c>
      <c r="B91" s="37">
        <f>(1-AMD!B$53)*Yard!B$73</f>
        <v>0</v>
      </c>
      <c r="C91" s="37">
        <f>(1-AMD!C$53)*Yard!C$73</f>
        <v>1.182182286785568</v>
      </c>
      <c r="D91" s="37">
        <f>(1-AMD!D$53)*Yard!D$73</f>
        <v>0.46761856602221141</v>
      </c>
      <c r="E91" s="37">
        <f>(1-AMD!E$53)*Yard!E$73</f>
        <v>0.99627818767379672</v>
      </c>
      <c r="F91" s="37">
        <f>(1-AMD!F$53)*Yard!F$73</f>
        <v>0.62845566507871553</v>
      </c>
      <c r="G91" s="37">
        <f>(1-AMD!G$53)*Yard!G$73</f>
        <v>0</v>
      </c>
      <c r="H91" s="37">
        <f>(1-AMD!H$53)*Yard!H$73</f>
        <v>0</v>
      </c>
      <c r="I91" s="37">
        <f>(1-AMD!I$53)*Yard!I$73</f>
        <v>0</v>
      </c>
      <c r="J91" s="37">
        <f>(1-AMD!J$53)*Yard!J$73</f>
        <v>0</v>
      </c>
      <c r="K91" s="37">
        <f>(1-AMD!B$53)*Yard!K$73</f>
        <v>0.71456338597995261</v>
      </c>
      <c r="L91" s="37">
        <f>(1-AMD!C$53)*Yard!L$73</f>
        <v>0.43099312068941709</v>
      </c>
      <c r="M91" s="37">
        <f>(1-AMD!D$53)*Yard!M$73</f>
        <v>0.17048164848605946</v>
      </c>
      <c r="N91" s="37">
        <f>(1-AMD!E$53)*Yard!N$73</f>
        <v>0.3632172888902469</v>
      </c>
      <c r="O91" s="37">
        <f>(1-AMD!F$53)*Yard!O$73</f>
        <v>0.22911869965815945</v>
      </c>
      <c r="P91" s="37">
        <f>(1-AMD!G$53)*Yard!P$73</f>
        <v>0</v>
      </c>
      <c r="Q91" s="37">
        <f>(1-AMD!H$53)*Yard!Q$73</f>
        <v>0</v>
      </c>
      <c r="R91" s="37">
        <f>(1-AMD!I$53)*Yard!R$73</f>
        <v>0</v>
      </c>
      <c r="S91" s="37">
        <f>(1-AMD!J$53)*Yard!S$73</f>
        <v>0</v>
      </c>
      <c r="T91" s="17"/>
    </row>
    <row r="92" spans="1:20" x14ac:dyDescent="0.25">
      <c r="A92" s="4" t="s">
        <v>193</v>
      </c>
      <c r="B92" s="37">
        <f>(1-AMD!B$54)*Yard!B$74</f>
        <v>0</v>
      </c>
      <c r="C92" s="37">
        <f>(1-AMD!C$54)*Yard!C$74</f>
        <v>1.0545369000505067</v>
      </c>
      <c r="D92" s="37">
        <f>(1-AMD!D$54)*Yard!D$74</f>
        <v>0.41712774631394189</v>
      </c>
      <c r="E92" s="37">
        <f>(1-AMD!E$54)*Yard!E$74</f>
        <v>0.71096454302264778</v>
      </c>
      <c r="F92" s="37">
        <f>(1-AMD!F$54)*Yard!F$74</f>
        <v>0</v>
      </c>
      <c r="G92" s="37">
        <f>(1-AMD!G$54)*Yard!G$74</f>
        <v>0</v>
      </c>
      <c r="H92" s="37">
        <f>(1-AMD!H$54)*Yard!H$74</f>
        <v>0</v>
      </c>
      <c r="I92" s="37">
        <f>(1-AMD!I$54)*Yard!I$74</f>
        <v>0</v>
      </c>
      <c r="J92" s="37">
        <f>(1-AMD!J$54)*Yard!J$74</f>
        <v>0</v>
      </c>
      <c r="K92" s="37">
        <f>(1-AMD!B$54)*Yard!K$74</f>
        <v>0.63740885510118772</v>
      </c>
      <c r="L92" s="37">
        <f>(1-AMD!C$54)*Yard!L$74</f>
        <v>0.38445691033886353</v>
      </c>
      <c r="M92" s="37">
        <f>(1-AMD!D$54)*Yard!M$74</f>
        <v>0.15207400002483615</v>
      </c>
      <c r="N92" s="37">
        <f>(1-AMD!E$54)*Yard!N$74</f>
        <v>0.25919930498200472</v>
      </c>
      <c r="O92" s="37">
        <f>(1-AMD!F$54)*Yard!O$74</f>
        <v>0</v>
      </c>
      <c r="P92" s="37">
        <f>(1-AMD!G$54)*Yard!P$74</f>
        <v>0</v>
      </c>
      <c r="Q92" s="37">
        <f>(1-AMD!H$54)*Yard!Q$74</f>
        <v>0</v>
      </c>
      <c r="R92" s="37">
        <f>(1-AMD!I$54)*Yard!R$74</f>
        <v>0</v>
      </c>
      <c r="S92" s="37">
        <f>(1-AMD!J$54)*Yard!S$74</f>
        <v>0</v>
      </c>
      <c r="T92" s="17"/>
    </row>
    <row r="93" spans="1:20" x14ac:dyDescent="0.25">
      <c r="A93" s="4" t="s">
        <v>215</v>
      </c>
      <c r="B93" s="37">
        <f>(1-AMD!B$55)*Yard!B$75</f>
        <v>0</v>
      </c>
      <c r="C93" s="37">
        <f>(1-AMD!C$55)*Yard!C$75</f>
        <v>0.14473086992146619</v>
      </c>
      <c r="D93" s="37">
        <f>(1-AMD!D$55)*Yard!D$75</f>
        <v>5.7249074536420683E-2</v>
      </c>
      <c r="E93" s="37">
        <f>(1-AMD!E$55)*Yard!E$75</f>
        <v>0.14459058440025307</v>
      </c>
      <c r="F93" s="37">
        <f>(1-AMD!F$55)*Yard!F$75</f>
        <v>9.120823180476334E-2</v>
      </c>
      <c r="G93" s="37">
        <f>(1-AMD!G$55)*Yard!G$75</f>
        <v>0</v>
      </c>
      <c r="H93" s="37">
        <f>(1-AMD!H$55)*Yard!H$75</f>
        <v>0.11591074737236656</v>
      </c>
      <c r="I93" s="37">
        <f>(1-AMD!I$55)*Yard!I$75</f>
        <v>0.1052377323781036</v>
      </c>
      <c r="J93" s="37">
        <f>(1-AMD!J$55)*Yard!J$75</f>
        <v>2.5002758217388637E-3</v>
      </c>
      <c r="K93" s="37">
        <f>(1-AMD!B$55)*Yard!K$75</f>
        <v>6.9335116942766173E-2</v>
      </c>
      <c r="L93" s="37">
        <f>(1-AMD!C$55)*Yard!L$75</f>
        <v>5.2765136125628088E-2</v>
      </c>
      <c r="M93" s="37">
        <f>(1-AMD!D$55)*Yard!M$75</f>
        <v>2.0871533575522534E-2</v>
      </c>
      <c r="N93" s="37">
        <f>(1-AMD!E$55)*Yard!N$75</f>
        <v>5.2713991648798211E-2</v>
      </c>
      <c r="O93" s="37">
        <f>(1-AMD!F$55)*Yard!O$75</f>
        <v>3.3252164998162435E-2</v>
      </c>
      <c r="P93" s="37">
        <f>(1-AMD!G$55)*Yard!P$75</f>
        <v>0</v>
      </c>
      <c r="Q93" s="37">
        <f>(1-AMD!H$55)*Yard!Q$75</f>
        <v>6.0368662853285605E-2</v>
      </c>
      <c r="R93" s="37">
        <f>(1-AMD!I$55)*Yard!R$75</f>
        <v>5.480994066036559E-2</v>
      </c>
      <c r="S93" s="37">
        <f>(1-AMD!J$55)*Yard!S$75</f>
        <v>3.0384532375448331E-2</v>
      </c>
      <c r="T93" s="17"/>
    </row>
    <row r="94" spans="1:20" x14ac:dyDescent="0.25">
      <c r="A94" s="4" t="s">
        <v>216</v>
      </c>
      <c r="B94" s="37">
        <f>(1-AMD!B$56)*Yard!B$76</f>
        <v>0</v>
      </c>
      <c r="C94" s="37">
        <f>(1-AMD!C$56)*Yard!C$76</f>
        <v>0.18580457164139302</v>
      </c>
      <c r="D94" s="37">
        <f>(1-AMD!D$56)*Yard!D$76</f>
        <v>7.3495998309674695E-2</v>
      </c>
      <c r="E94" s="37">
        <f>(1-AMD!E$56)*Yard!E$76</f>
        <v>0.16428290636294571</v>
      </c>
      <c r="F94" s="37">
        <f>(1-AMD!F$56)*Yard!F$76</f>
        <v>0.10363021539240391</v>
      </c>
      <c r="G94" s="37">
        <f>(1-AMD!G$56)*Yard!G$76</f>
        <v>0</v>
      </c>
      <c r="H94" s="37">
        <f>(1-AMD!H$56)*Yard!H$76</f>
        <v>0.13169705714945729</v>
      </c>
      <c r="I94" s="37">
        <f>(1-AMD!I$56)*Yard!I$76</f>
        <v>0.11957044510078403</v>
      </c>
      <c r="J94" s="37">
        <f>(1-AMD!J$56)*Yard!J$76</f>
        <v>2.8407975554426497E-3</v>
      </c>
      <c r="K94" s="37">
        <f>(1-AMD!B$56)*Yard!K$76</f>
        <v>0.10817301584023543</v>
      </c>
      <c r="L94" s="37">
        <f>(1-AMD!C$56)*Yard!L$76</f>
        <v>6.7739546654711366E-2</v>
      </c>
      <c r="M94" s="37">
        <f>(1-AMD!D$56)*Yard!M$76</f>
        <v>2.6794742252314322E-2</v>
      </c>
      <c r="N94" s="37">
        <f>(1-AMD!E$56)*Yard!N$76</f>
        <v>5.9893303495365521E-2</v>
      </c>
      <c r="O94" s="37">
        <f>(1-AMD!F$56)*Yard!O$76</f>
        <v>3.7780899298646038E-2</v>
      </c>
      <c r="P94" s="37">
        <f>(1-AMD!G$56)*Yard!P$76</f>
        <v>0</v>
      </c>
      <c r="Q94" s="37">
        <f>(1-AMD!H$56)*Yard!Q$76</f>
        <v>6.8590492444023904E-2</v>
      </c>
      <c r="R94" s="37">
        <f>(1-AMD!I$56)*Yard!R$76</f>
        <v>6.2274707489526494E-2</v>
      </c>
      <c r="S94" s="37">
        <f>(1-AMD!J$56)*Yard!S$76</f>
        <v>3.4522713272254632E-2</v>
      </c>
      <c r="T94" s="17"/>
    </row>
    <row r="95" spans="1:20" x14ac:dyDescent="0.25">
      <c r="A95" s="4" t="s">
        <v>217</v>
      </c>
      <c r="B95" s="37">
        <f>(1-AMD!B$57)*Yard!B$77</f>
        <v>0</v>
      </c>
      <c r="C95" s="37">
        <f>(1-AMD!C$57)*Yard!C$77</f>
        <v>0.34238167139775755</v>
      </c>
      <c r="D95" s="37">
        <f>(1-AMD!D$57)*Yard!D$77</f>
        <v>0.13543091281348907</v>
      </c>
      <c r="E95" s="37">
        <f>(1-AMD!E$57)*Yard!E$77</f>
        <v>0.29588563151891761</v>
      </c>
      <c r="F95" s="37">
        <f>(1-AMD!F$57)*Yard!F$77</f>
        <v>0.18664566146693706</v>
      </c>
      <c r="G95" s="37">
        <f>(1-AMD!G$57)*Yard!G$77</f>
        <v>0</v>
      </c>
      <c r="H95" s="37">
        <f>(1-AMD!H$57)*Yard!H$77</f>
        <v>0.23719611362219772</v>
      </c>
      <c r="I95" s="37">
        <f>(1-AMD!I$57)*Yard!I$77</f>
        <v>0.2153551908893144</v>
      </c>
      <c r="J95" s="37">
        <f>(1-AMD!J$57)*Yard!J$77</f>
        <v>5.1164859285636136E-3</v>
      </c>
      <c r="K95" s="37">
        <f>(1-AMD!B$57)*Yard!K$77</f>
        <v>0.20546824826577392</v>
      </c>
      <c r="L95" s="37">
        <f>(1-AMD!C$57)*Yard!L$77</f>
        <v>0.12482351213687594</v>
      </c>
      <c r="M95" s="37">
        <f>(1-AMD!D$57)*Yard!M$77</f>
        <v>4.9374612023678141E-2</v>
      </c>
      <c r="N95" s="37">
        <f>(1-AMD!E$57)*Yard!N$77</f>
        <v>0.10787225719837609</v>
      </c>
      <c r="O95" s="37">
        <f>(1-AMD!F$57)*Yard!O$77</f>
        <v>6.8046186275980775E-2</v>
      </c>
      <c r="P95" s="37">
        <f>(1-AMD!G$57)*Yard!P$77</f>
        <v>0</v>
      </c>
      <c r="Q95" s="37">
        <f>(1-AMD!H$57)*Yard!Q$77</f>
        <v>0.12353653598114767</v>
      </c>
      <c r="R95" s="37">
        <f>(1-AMD!I$57)*Yard!R$77</f>
        <v>0.11216134143917526</v>
      </c>
      <c r="S95" s="37">
        <f>(1-AMD!J$57)*Yard!S$77</f>
        <v>6.2177952925548799E-2</v>
      </c>
      <c r="T95" s="17"/>
    </row>
    <row r="96" spans="1:20" x14ac:dyDescent="0.25">
      <c r="A96" s="4" t="s">
        <v>218</v>
      </c>
      <c r="B96" s="37">
        <f>(1-AMD!B$58)*Yard!B$78</f>
        <v>0</v>
      </c>
      <c r="C96" s="37">
        <f>(1-AMD!C$58)*Yard!C$78</f>
        <v>0.12467790522273946</v>
      </c>
      <c r="D96" s="37">
        <f>(1-AMD!D$58)*Yard!D$78</f>
        <v>4.9317016425137625E-2</v>
      </c>
      <c r="E96" s="37">
        <f>(1-AMD!E$58)*Yard!E$78</f>
        <v>0.13960441771613083</v>
      </c>
      <c r="F96" s="37">
        <f>(1-AMD!F$58)*Yard!F$78</f>
        <v>8.8062940922725708E-2</v>
      </c>
      <c r="G96" s="37">
        <f>(1-AMD!G$58)*Yard!G$78</f>
        <v>0</v>
      </c>
      <c r="H96" s="37">
        <f>(1-AMD!H$58)*Yard!H$78</f>
        <v>0.1119135970096574</v>
      </c>
      <c r="I96" s="37">
        <f>(1-AMD!I$58)*Yard!I$78</f>
        <v>0.10160863801298428</v>
      </c>
      <c r="J96" s="37">
        <f>(1-AMD!J$58)*Yard!J$78</f>
        <v>2.4140544951208025E-3</v>
      </c>
      <c r="K96" s="37">
        <f>(1-AMD!B$58)*Yard!K$78</f>
        <v>4.621845829133004E-2</v>
      </c>
      <c r="L96" s="37">
        <f>(1-AMD!C$58)*Yard!L$78</f>
        <v>4.5454343254522744E-2</v>
      </c>
      <c r="M96" s="37">
        <f>(1-AMD!D$58)*Yard!M$78</f>
        <v>1.7979710108798754E-2</v>
      </c>
      <c r="N96" s="37">
        <f>(1-AMD!E$58)*Yard!N$78</f>
        <v>5.0896164090824286E-2</v>
      </c>
      <c r="O96" s="37">
        <f>(1-AMD!F$58)*Yard!O$78</f>
        <v>3.2105473199547076E-2</v>
      </c>
      <c r="P96" s="37">
        <f>(1-AMD!G$58)*Yard!P$78</f>
        <v>0</v>
      </c>
      <c r="Q96" s="37">
        <f>(1-AMD!H$58)*Yard!Q$78</f>
        <v>5.8286866056263098E-2</v>
      </c>
      <c r="R96" s="37">
        <f>(1-AMD!I$58)*Yard!R$78</f>
        <v>5.2919834875033739E-2</v>
      </c>
      <c r="S96" s="37">
        <f>(1-AMD!J$58)*Yard!S$78</f>
        <v>2.9336730102074098E-2</v>
      </c>
      <c r="T96" s="17"/>
    </row>
    <row r="97" spans="1:20" x14ac:dyDescent="0.25">
      <c r="A97" s="4" t="s">
        <v>219</v>
      </c>
      <c r="B97" s="37">
        <f>(1-AMD!B$59)*Yard!B$79</f>
        <v>0</v>
      </c>
      <c r="C97" s="37">
        <f>(1-AMD!C$59)*Yard!C$79</f>
        <v>3.2606928792662275</v>
      </c>
      <c r="D97" s="37">
        <f>(1-AMD!D$59)*Yard!D$79</f>
        <v>1.2897846173852208</v>
      </c>
      <c r="E97" s="37">
        <f>(1-AMD!E$59)*Yard!E$79</f>
        <v>2.6621753070880865</v>
      </c>
      <c r="F97" s="37">
        <f>(1-AMD!F$59)*Yard!F$79</f>
        <v>1.6793092269525558</v>
      </c>
      <c r="G97" s="37">
        <f>(1-AMD!G$59)*Yard!G$79</f>
        <v>0</v>
      </c>
      <c r="H97" s="37">
        <f>(1-AMD!H$59)*Yard!H$79</f>
        <v>2.1341274105833099</v>
      </c>
      <c r="I97" s="37">
        <f>(1-AMD!I$59)*Yard!I$79</f>
        <v>1.9376178170453644</v>
      </c>
      <c r="J97" s="37">
        <f>(1-AMD!J$59)*Yard!J$79</f>
        <v>4.6034619620300317E-2</v>
      </c>
      <c r="K97" s="37">
        <f>(1-AMD!B$59)*Yard!K$79</f>
        <v>2.0965780496722233</v>
      </c>
      <c r="L97" s="37">
        <f>(1-AMD!C$59)*Yard!L$79</f>
        <v>1.188764385453545</v>
      </c>
      <c r="M97" s="37">
        <f>(1-AMD!D$59)*Yard!M$79</f>
        <v>0.47022215057506844</v>
      </c>
      <c r="N97" s="37">
        <f>(1-AMD!E$59)*Yard!N$79</f>
        <v>0.9705603410316711</v>
      </c>
      <c r="O97" s="37">
        <f>(1-AMD!F$59)*Yard!O$79</f>
        <v>0.61223276005496163</v>
      </c>
      <c r="P97" s="37">
        <f>(1-AMD!G$59)*Yard!P$79</f>
        <v>0</v>
      </c>
      <c r="Q97" s="37">
        <f>(1-AMD!H$59)*Yard!Q$79</f>
        <v>1.1114967425891495</v>
      </c>
      <c r="R97" s="37">
        <f>(1-AMD!I$59)*Yard!R$79</f>
        <v>1.0091505696185097</v>
      </c>
      <c r="S97" s="37">
        <f>(1-AMD!J$59)*Yard!S$79</f>
        <v>0.55943443442639196</v>
      </c>
      <c r="T97" s="17"/>
    </row>
    <row r="99" spans="1:20" ht="21" customHeight="1" x14ac:dyDescent="0.3">
      <c r="A99" s="1" t="s">
        <v>1000</v>
      </c>
    </row>
    <row r="100" spans="1:20" x14ac:dyDescent="0.25">
      <c r="A100" s="2" t="s">
        <v>350</v>
      </c>
    </row>
    <row r="101" spans="1:20" x14ac:dyDescent="0.25">
      <c r="A101" s="32" t="s">
        <v>989</v>
      </c>
    </row>
    <row r="102" spans="1:20" x14ac:dyDescent="0.25">
      <c r="A102" s="32" t="s">
        <v>1001</v>
      </c>
    </row>
    <row r="103" spans="1:20" x14ac:dyDescent="0.25">
      <c r="A103" s="2" t="s">
        <v>997</v>
      </c>
    </row>
    <row r="105" spans="1:20" ht="30" x14ac:dyDescent="0.25">
      <c r="B105" s="15" t="s">
        <v>139</v>
      </c>
      <c r="C105" s="15" t="s">
        <v>313</v>
      </c>
      <c r="D105" s="15" t="s">
        <v>314</v>
      </c>
      <c r="E105" s="15" t="s">
        <v>315</v>
      </c>
      <c r="F105" s="15" t="s">
        <v>316</v>
      </c>
      <c r="G105" s="15" t="s">
        <v>317</v>
      </c>
      <c r="H105" s="15" t="s">
        <v>318</v>
      </c>
      <c r="I105" s="15" t="s">
        <v>319</v>
      </c>
      <c r="J105" s="15" t="s">
        <v>320</v>
      </c>
      <c r="K105" s="15" t="s">
        <v>301</v>
      </c>
      <c r="L105" s="15" t="s">
        <v>876</v>
      </c>
      <c r="M105" s="15" t="s">
        <v>877</v>
      </c>
      <c r="N105" s="15" t="s">
        <v>878</v>
      </c>
      <c r="O105" s="15" t="s">
        <v>879</v>
      </c>
      <c r="P105" s="15" t="s">
        <v>880</v>
      </c>
      <c r="Q105" s="15" t="s">
        <v>881</v>
      </c>
      <c r="R105" s="15" t="s">
        <v>882</v>
      </c>
      <c r="S105" s="15" t="s">
        <v>883</v>
      </c>
    </row>
    <row r="106" spans="1:20" x14ac:dyDescent="0.25">
      <c r="A106" s="4" t="s">
        <v>172</v>
      </c>
      <c r="B106" s="37">
        <f>(1-AMD!B$42)*Yard!B$94</f>
        <v>0</v>
      </c>
      <c r="C106" s="37">
        <f>(1-AMD!C$42)*Yard!C$94</f>
        <v>2.1762410221114321E-2</v>
      </c>
      <c r="D106" s="37">
        <f>(1-AMD!D$42)*Yard!D$94</f>
        <v>8.6082384878690705E-3</v>
      </c>
      <c r="E106" s="37">
        <f>(1-AMD!E$42)*Yard!E$94</f>
        <v>3.0237137464179883E-2</v>
      </c>
      <c r="F106" s="37">
        <f>(1-AMD!F$42)*Yard!F$94</f>
        <v>1.9073689026051038E-2</v>
      </c>
      <c r="G106" s="37">
        <f>(1-AMD!G$42)*Yard!G$94</f>
        <v>0</v>
      </c>
      <c r="H106" s="37">
        <f>(1-AMD!H$42)*Yard!H$94</f>
        <v>2.4239539638156005E-2</v>
      </c>
      <c r="I106" s="37">
        <f>(1-AMD!I$42)*Yard!I$94</f>
        <v>2.2007572578354725E-2</v>
      </c>
      <c r="J106" s="37">
        <f>(1-AMD!J$42)*Yard!J$94</f>
        <v>0</v>
      </c>
      <c r="K106" s="37">
        <f>(1-AMD!B$42)*Yard!K$94</f>
        <v>2.7999104116190974E-3</v>
      </c>
      <c r="L106" s="37">
        <f>(1-AMD!C$42)*Yard!L$94</f>
        <v>7.9340125459202004E-3</v>
      </c>
      <c r="M106" s="37">
        <f>(1-AMD!D$42)*Yard!M$94</f>
        <v>3.1383413632540755E-3</v>
      </c>
      <c r="N106" s="37">
        <f>(1-AMD!E$42)*Yard!N$94</f>
        <v>1.1023679158513398E-2</v>
      </c>
      <c r="O106" s="37">
        <f>(1-AMD!F$42)*Yard!O$94</f>
        <v>6.9537742599321628E-3</v>
      </c>
      <c r="P106" s="37">
        <f>(1-AMD!G$42)*Yard!P$94</f>
        <v>0</v>
      </c>
      <c r="Q106" s="37">
        <f>(1-AMD!H$42)*Yard!Q$94</f>
        <v>1.2624442765723635E-2</v>
      </c>
      <c r="R106" s="37">
        <f>(1-AMD!I$42)*Yard!R$94</f>
        <v>1.1461989153894842E-2</v>
      </c>
      <c r="S106" s="37">
        <f>(1-AMD!J$42)*Yard!S$94</f>
        <v>0</v>
      </c>
      <c r="T106" s="17"/>
    </row>
    <row r="107" spans="1:20" x14ac:dyDescent="0.25">
      <c r="A107" s="4" t="s">
        <v>174</v>
      </c>
      <c r="B107" s="37">
        <f>(1-AMD!B$45)*Yard!B$95</f>
        <v>0</v>
      </c>
      <c r="C107" s="37">
        <f>(1-AMD!C$45)*Yard!C$95</f>
        <v>1.8251136138600545E-2</v>
      </c>
      <c r="D107" s="37">
        <f>(1-AMD!D$45)*Yard!D$95</f>
        <v>7.2193351269156719E-3</v>
      </c>
      <c r="E107" s="37">
        <f>(1-AMD!E$45)*Yard!E$95</f>
        <v>2.5358130335189827E-2</v>
      </c>
      <c r="F107" s="37">
        <f>(1-AMD!F$45)*Yard!F$95</f>
        <v>1.5995994755405019E-2</v>
      </c>
      <c r="G107" s="37">
        <f>(1-AMD!G$45)*Yard!G$95</f>
        <v>0</v>
      </c>
      <c r="H107" s="37">
        <f>(1-AMD!H$45)*Yard!H$95</f>
        <v>2.0328293514474439E-2</v>
      </c>
      <c r="I107" s="37">
        <f>(1-AMD!I$45)*Yard!I$95</f>
        <v>1.8456472424487325E-2</v>
      </c>
      <c r="J107" s="37">
        <f>(1-AMD!J$45)*Yard!J$95</f>
        <v>0</v>
      </c>
      <c r="K107" s="37">
        <f>(1-AMD!B$45)*Yard!K$95</f>
        <v>2.3481923874902875E-3</v>
      </c>
      <c r="L107" s="37">
        <f>(1-AMD!C$45)*Yard!L$95</f>
        <v>6.6538927273993697E-3</v>
      </c>
      <c r="M107" s="37">
        <f>(1-AMD!D$45)*Yard!M$95</f>
        <v>2.631983079455915E-3</v>
      </c>
      <c r="N107" s="37">
        <f>(1-AMD!E$45)*Yard!N$95</f>
        <v>9.2449192059285545E-3</v>
      </c>
      <c r="O107" s="37">
        <f>(1-AMD!F$45)*Yard!O$95</f>
        <v>5.8317264395064206E-3</v>
      </c>
      <c r="P107" s="37">
        <f>(1-AMD!G$45)*Yard!P$95</f>
        <v>0</v>
      </c>
      <c r="Q107" s="37">
        <f>(1-AMD!H$45)*Yard!Q$95</f>
        <v>1.0587386634783322E-2</v>
      </c>
      <c r="R107" s="37">
        <f>(1-AMD!I$45)*Yard!R$95</f>
        <v>9.6125043321087702E-3</v>
      </c>
      <c r="S107" s="37">
        <f>(1-AMD!J$45)*Yard!S$95</f>
        <v>0</v>
      </c>
      <c r="T107" s="17"/>
    </row>
    <row r="108" spans="1:20" x14ac:dyDescent="0.25">
      <c r="A108" s="4" t="s">
        <v>175</v>
      </c>
      <c r="B108" s="37">
        <f>(1-AMD!B$47)*Yard!B$96</f>
        <v>0</v>
      </c>
      <c r="C108" s="37">
        <f>(1-AMD!C$47)*Yard!C$96</f>
        <v>1.3813342942816083E-2</v>
      </c>
      <c r="D108" s="37">
        <f>(1-AMD!D$47)*Yard!D$96</f>
        <v>5.4639421441985579E-3</v>
      </c>
      <c r="E108" s="37">
        <f>(1-AMD!E$47)*Yard!E$96</f>
        <v>1.9192540952865204E-2</v>
      </c>
      <c r="F108" s="37">
        <f>(1-AMD!F$47)*Yard!F$96</f>
        <v>1.2106720028916898E-2</v>
      </c>
      <c r="G108" s="37">
        <f>(1-AMD!G$47)*Yard!G$96</f>
        <v>0</v>
      </c>
      <c r="H108" s="37">
        <f>(1-AMD!H$47)*Yard!H$96</f>
        <v>1.5385661348896689E-2</v>
      </c>
      <c r="I108" s="37">
        <f>(1-AMD!I$47)*Yard!I$96</f>
        <v>1.39689558405982E-2</v>
      </c>
      <c r="J108" s="37">
        <f>(1-AMD!J$47)*Yard!J$96</f>
        <v>0</v>
      </c>
      <c r="K108" s="37">
        <f>(1-AMD!B$47)*Yard!K$96</f>
        <v>1.7771984964850801E-3</v>
      </c>
      <c r="L108" s="37">
        <f>(1-AMD!C$47)*Yard!L$96</f>
        <v>5.0359879763257837E-3</v>
      </c>
      <c r="M108" s="37">
        <f>(1-AMD!D$47)*Yard!M$96</f>
        <v>1.9920121476339737E-3</v>
      </c>
      <c r="N108" s="37">
        <f>(1-AMD!E$47)*Yard!N$96</f>
        <v>6.9971046019700793E-3</v>
      </c>
      <c r="O108" s="37">
        <f>(1-AMD!F$47)*Yard!O$96</f>
        <v>4.4137973516451632E-3</v>
      </c>
      <c r="P108" s="37">
        <f>(1-AMD!G$47)*Yard!P$96</f>
        <v>0</v>
      </c>
      <c r="Q108" s="37">
        <f>(1-AMD!H$47)*Yard!Q$96</f>
        <v>8.0131637816339626E-3</v>
      </c>
      <c r="R108" s="37">
        <f>(1-AMD!I$47)*Yard!R$96</f>
        <v>7.2753148838254319E-3</v>
      </c>
      <c r="S108" s="37">
        <f>(1-AMD!J$47)*Yard!S$96</f>
        <v>0</v>
      </c>
      <c r="T108" s="17"/>
    </row>
    <row r="109" spans="1:20" x14ac:dyDescent="0.25">
      <c r="A109" s="4" t="s">
        <v>176</v>
      </c>
      <c r="B109" s="37">
        <f>(1-AMD!B$48)*Yard!B$97</f>
        <v>0</v>
      </c>
      <c r="C109" s="37">
        <f>(1-AMD!C$48)*Yard!C$97</f>
        <v>1.3158486468412502E-2</v>
      </c>
      <c r="D109" s="37">
        <f>(1-AMD!D$48)*Yard!D$97</f>
        <v>5.2049101413222474E-3</v>
      </c>
      <c r="E109" s="37">
        <f>(1-AMD!E$48)*Yard!E$97</f>
        <v>1.8282669985694572E-2</v>
      </c>
      <c r="F109" s="37">
        <f>(1-AMD!F$48)*Yard!F$97</f>
        <v>1.1532770332051454E-2</v>
      </c>
      <c r="G109" s="37">
        <f>(1-AMD!G$48)*Yard!G$97</f>
        <v>0</v>
      </c>
      <c r="H109" s="37">
        <f>(1-AMD!H$48)*Yard!H$97</f>
        <v>1.4656265141981704E-2</v>
      </c>
      <c r="I109" s="37">
        <f>(1-AMD!I$48)*Yard!I$97</f>
        <v>0</v>
      </c>
      <c r="J109" s="37">
        <f>(1-AMD!J$48)*Yard!J$97</f>
        <v>0</v>
      </c>
      <c r="K109" s="37">
        <f>(1-AMD!B$48)*Yard!K$97</f>
        <v>1.6929459048755432E-3</v>
      </c>
      <c r="L109" s="37">
        <f>(1-AMD!C$48)*Yard!L$97</f>
        <v>4.7972442236391358E-3</v>
      </c>
      <c r="M109" s="37">
        <f>(1-AMD!D$48)*Yard!M$97</f>
        <v>1.8975757713441117E-3</v>
      </c>
      <c r="N109" s="37">
        <f>(1-AMD!E$48)*Yard!N$97</f>
        <v>6.6653891533890973E-3</v>
      </c>
      <c r="O109" s="37">
        <f>(1-AMD!F$48)*Yard!O$97</f>
        <v>4.2045501198638502E-3</v>
      </c>
      <c r="P109" s="37">
        <f>(1-AMD!G$48)*Yard!P$97</f>
        <v>0</v>
      </c>
      <c r="Q109" s="37">
        <f>(1-AMD!H$48)*Yard!Q$97</f>
        <v>7.6332794766845683E-3</v>
      </c>
      <c r="R109" s="37">
        <f>(1-AMD!I$48)*Yard!R$97</f>
        <v>0</v>
      </c>
      <c r="S109" s="37">
        <f>(1-AMD!J$48)*Yard!S$97</f>
        <v>0</v>
      </c>
      <c r="T109" s="17"/>
    </row>
    <row r="110" spans="1:20" x14ac:dyDescent="0.25">
      <c r="A110" s="4" t="s">
        <v>192</v>
      </c>
      <c r="B110" s="37">
        <f>(1-AMD!B$49)*Yard!B$98</f>
        <v>0</v>
      </c>
      <c r="C110" s="37">
        <f>(1-AMD!C$49)*Yard!C$98</f>
        <v>1.6410360099574885E-2</v>
      </c>
      <c r="D110" s="37">
        <f>(1-AMD!D$49)*Yard!D$98</f>
        <v>6.4912062576549549E-3</v>
      </c>
      <c r="E110" s="37">
        <f>(1-AMD!E$49)*Yard!E$98</f>
        <v>1.8240711727274147E-2</v>
      </c>
      <c r="F110" s="37">
        <f>(1-AMD!F$49)*Yard!F$98</f>
        <v>0</v>
      </c>
      <c r="G110" s="37">
        <f>(1-AMD!G$49)*Yard!G$98</f>
        <v>0</v>
      </c>
      <c r="H110" s="37">
        <f>(1-AMD!H$49)*Yard!H$98</f>
        <v>0</v>
      </c>
      <c r="I110" s="37">
        <f>(1-AMD!I$49)*Yard!I$98</f>
        <v>0</v>
      </c>
      <c r="J110" s="37">
        <f>(1-AMD!J$49)*Yard!J$98</f>
        <v>0</v>
      </c>
      <c r="K110" s="37">
        <f>(1-AMD!B$49)*Yard!K$98</f>
        <v>2.1113257968383989E-3</v>
      </c>
      <c r="L110" s="37">
        <f>(1-AMD!C$49)*Yard!L$98</f>
        <v>5.9827933390747684E-3</v>
      </c>
      <c r="M110" s="37">
        <f>(1-AMD!D$49)*Yard!M$98</f>
        <v>2.3665261045590687E-3</v>
      </c>
      <c r="N110" s="37">
        <f>(1-AMD!E$49)*Yard!N$98</f>
        <v>6.65009225633908E-3</v>
      </c>
      <c r="O110" s="37">
        <f>(1-AMD!F$49)*Yard!O$98</f>
        <v>0</v>
      </c>
      <c r="P110" s="37">
        <f>(1-AMD!G$49)*Yard!P$98</f>
        <v>0</v>
      </c>
      <c r="Q110" s="37">
        <f>(1-AMD!H$49)*Yard!Q$98</f>
        <v>0</v>
      </c>
      <c r="R110" s="37">
        <f>(1-AMD!I$49)*Yard!R$98</f>
        <v>0</v>
      </c>
      <c r="S110" s="37">
        <f>(1-AMD!J$49)*Yard!S$98</f>
        <v>0</v>
      </c>
      <c r="T110" s="17"/>
    </row>
    <row r="111" spans="1:20" x14ac:dyDescent="0.25">
      <c r="A111" s="4" t="s">
        <v>177</v>
      </c>
      <c r="B111" s="37">
        <f>(1-AMD!B$50)*Yard!B$99</f>
        <v>0</v>
      </c>
      <c r="C111" s="37">
        <f>(1-AMD!C$50)*Yard!C$99</f>
        <v>0.14777144645466794</v>
      </c>
      <c r="D111" s="37">
        <f>(1-AMD!D$50)*Yard!D$99</f>
        <v>5.8451790948457802E-2</v>
      </c>
      <c r="E111" s="37">
        <f>(1-AMD!E$50)*Yard!E$99</f>
        <v>0.20239851997197436</v>
      </c>
      <c r="F111" s="37">
        <f>(1-AMD!F$50)*Yard!F$99</f>
        <v>0.1276736739333115</v>
      </c>
      <c r="G111" s="37">
        <f>(1-AMD!G$50)*Yard!G$99</f>
        <v>0</v>
      </c>
      <c r="H111" s="37">
        <f>(1-AMD!H$50)*Yard!H$99</f>
        <v>0.16225236113625774</v>
      </c>
      <c r="I111" s="37">
        <f>(1-AMD!I$50)*Yard!I$99</f>
        <v>0.14731222898700463</v>
      </c>
      <c r="J111" s="37">
        <f>(1-AMD!J$50)*Yard!J$99</f>
        <v>0</v>
      </c>
      <c r="K111" s="37">
        <f>(1-AMD!B$50)*Yard!K$99</f>
        <v>2.8460092324639086E-2</v>
      </c>
      <c r="L111" s="37">
        <f>(1-AMD!C$50)*Yard!L$99</f>
        <v>5.3873651777899344E-2</v>
      </c>
      <c r="M111" s="37">
        <f>(1-AMD!D$50)*Yard!M$99</f>
        <v>2.1310012907790086E-2</v>
      </c>
      <c r="N111" s="37">
        <f>(1-AMD!E$50)*Yard!N$99</f>
        <v>7.378927151990336E-2</v>
      </c>
      <c r="O111" s="37">
        <f>(1-AMD!F$50)*Yard!O$99</f>
        <v>4.6546523132250293E-2</v>
      </c>
      <c r="P111" s="37">
        <f>(1-AMD!G$50)*Yard!P$99</f>
        <v>0</v>
      </c>
      <c r="Q111" s="37">
        <f>(1-AMD!H$50)*Yard!Q$99</f>
        <v>8.4504313091155414E-2</v>
      </c>
      <c r="R111" s="37">
        <f>(1-AMD!I$50)*Yard!R$99</f>
        <v>7.6723189932624142E-2</v>
      </c>
      <c r="S111" s="37">
        <f>(1-AMD!J$50)*Yard!S$99</f>
        <v>0</v>
      </c>
      <c r="T111" s="17"/>
    </row>
    <row r="112" spans="1:20" x14ac:dyDescent="0.25">
      <c r="A112" s="4" t="s">
        <v>178</v>
      </c>
      <c r="B112" s="37">
        <f>(1-AMD!B$51)*Yard!B$100</f>
        <v>0</v>
      </c>
      <c r="C112" s="37">
        <f>(1-AMD!C$51)*Yard!C$100</f>
        <v>0.14370164078670752</v>
      </c>
      <c r="D112" s="37">
        <f>(1-AMD!D$51)*Yard!D$100</f>
        <v>5.6841957412873872E-2</v>
      </c>
      <c r="E112" s="37">
        <f>(1-AMD!E$51)*Yard!E$100</f>
        <v>0.19676490732250448</v>
      </c>
      <c r="F112" s="37">
        <f>(1-AMD!F$51)*Yard!F$100</f>
        <v>0.1241199719369995</v>
      </c>
      <c r="G112" s="37">
        <f>(1-AMD!G$51)*Yard!G$100</f>
        <v>0</v>
      </c>
      <c r="H112" s="37">
        <f>(1-AMD!H$51)*Yard!H$100</f>
        <v>0.15773618703463807</v>
      </c>
      <c r="I112" s="37">
        <f>(1-AMD!I$51)*Yard!I$100</f>
        <v>0.14321190238008227</v>
      </c>
      <c r="J112" s="37">
        <f>(1-AMD!J$51)*Yard!J$100</f>
        <v>0</v>
      </c>
      <c r="K112" s="37">
        <f>(1-AMD!B$51)*Yard!K$100</f>
        <v>2.7691704897787661E-2</v>
      </c>
      <c r="L112" s="37">
        <f>(1-AMD!C$51)*Yard!L$100</f>
        <v>5.2389905772701501E-2</v>
      </c>
      <c r="M112" s="37">
        <f>(1-AMD!D$51)*Yard!M$100</f>
        <v>2.0723109189939293E-2</v>
      </c>
      <c r="N112" s="37">
        <f>(1-AMD!E$51)*Yard!N$100</f>
        <v>7.1735401889397851E-2</v>
      </c>
      <c r="O112" s="37">
        <f>(1-AMD!F$51)*Yard!O$100</f>
        <v>4.5250935192462011E-2</v>
      </c>
      <c r="P112" s="37">
        <f>(1-AMD!G$51)*Yard!P$100</f>
        <v>0</v>
      </c>
      <c r="Q112" s="37">
        <f>(1-AMD!H$51)*Yard!Q$100</f>
        <v>8.2152198227711651E-2</v>
      </c>
      <c r="R112" s="37">
        <f>(1-AMD!I$51)*Yard!R$100</f>
        <v>7.4587656859694734E-2</v>
      </c>
      <c r="S112" s="37">
        <f>(1-AMD!J$51)*Yard!S$100</f>
        <v>0</v>
      </c>
      <c r="T112" s="17"/>
    </row>
    <row r="113" spans="1:20" x14ac:dyDescent="0.25">
      <c r="A113" s="4" t="s">
        <v>179</v>
      </c>
      <c r="B113" s="37">
        <f>(1-AMD!B$52)*Yard!B$101</f>
        <v>0</v>
      </c>
      <c r="C113" s="37">
        <f>(1-AMD!C$52)*Yard!C$101</f>
        <v>0.12505425325538078</v>
      </c>
      <c r="D113" s="37">
        <f>(1-AMD!D$52)*Yard!D$101</f>
        <v>4.9465882914947364E-2</v>
      </c>
      <c r="E113" s="37">
        <f>(1-AMD!E$52)*Yard!E$101</f>
        <v>0.17125034376595785</v>
      </c>
      <c r="F113" s="37">
        <f>(1-AMD!F$52)*Yard!F$101</f>
        <v>0.10802529857416882</v>
      </c>
      <c r="G113" s="37">
        <f>(1-AMD!G$52)*Yard!G$101</f>
        <v>0</v>
      </c>
      <c r="H113" s="37">
        <f>(1-AMD!H$52)*Yard!H$101</f>
        <v>0.10982599131760412</v>
      </c>
      <c r="I113" s="37">
        <f>(1-AMD!I$52)*Yard!I$101</f>
        <v>0</v>
      </c>
      <c r="J113" s="37">
        <f>(1-AMD!J$52)*Yard!J$101</f>
        <v>0</v>
      </c>
      <c r="K113" s="37">
        <f>(1-AMD!B$52)*Yard!K$101</f>
        <v>2.4093069017719928E-2</v>
      </c>
      <c r="L113" s="37">
        <f>(1-AMD!C$52)*Yard!L$101</f>
        <v>4.5591550024465521E-2</v>
      </c>
      <c r="M113" s="37">
        <f>(1-AMD!D$52)*Yard!M$101</f>
        <v>1.8033982985094031E-2</v>
      </c>
      <c r="N113" s="37">
        <f>(1-AMD!E$52)*Yard!N$101</f>
        <v>6.2433451172334606E-2</v>
      </c>
      <c r="O113" s="37">
        <f>(1-AMD!F$52)*Yard!O$101</f>
        <v>3.9383233081999369E-2</v>
      </c>
      <c r="P113" s="37">
        <f>(1-AMD!G$52)*Yard!P$101</f>
        <v>0</v>
      </c>
      <c r="Q113" s="37">
        <f>(1-AMD!H$52)*Yard!Q$101</f>
        <v>5.7199598766118701E-2</v>
      </c>
      <c r="R113" s="37">
        <f>(1-AMD!I$52)*Yard!R$101</f>
        <v>0</v>
      </c>
      <c r="S113" s="37">
        <f>(1-AMD!J$52)*Yard!S$101</f>
        <v>0</v>
      </c>
      <c r="T113" s="17"/>
    </row>
    <row r="114" spans="1:20" x14ac:dyDescent="0.25">
      <c r="A114" s="4" t="s">
        <v>180</v>
      </c>
      <c r="B114" s="37">
        <f>(1-AMD!B$53)*Yard!B$102</f>
        <v>0</v>
      </c>
      <c r="C114" s="37">
        <f>(1-AMD!C$53)*Yard!C$102</f>
        <v>0.11815702101927118</v>
      </c>
      <c r="D114" s="37">
        <f>(1-AMD!D$53)*Yard!D$102</f>
        <v>4.6737645583172178E-2</v>
      </c>
      <c r="E114" s="37">
        <f>(1-AMD!E$53)*Yard!E$102</f>
        <v>0.16180521606562029</v>
      </c>
      <c r="F114" s="37">
        <f>(1-AMD!F$53)*Yard!F$102</f>
        <v>0.10206727993629362</v>
      </c>
      <c r="G114" s="37">
        <f>(1-AMD!G$53)*Yard!G$102</f>
        <v>0</v>
      </c>
      <c r="H114" s="37">
        <f>(1-AMD!H$53)*Yard!H$102</f>
        <v>0</v>
      </c>
      <c r="I114" s="37">
        <f>(1-AMD!I$53)*Yard!I$102</f>
        <v>0</v>
      </c>
      <c r="J114" s="37">
        <f>(1-AMD!J$53)*Yard!J$102</f>
        <v>0</v>
      </c>
      <c r="K114" s="37">
        <f>(1-AMD!B$53)*Yard!K$102</f>
        <v>2.2764241824961642E-2</v>
      </c>
      <c r="L114" s="37">
        <f>(1-AMD!C$53)*Yard!L$102</f>
        <v>4.3076997337634634E-2</v>
      </c>
      <c r="M114" s="37">
        <f>(1-AMD!D$53)*Yard!M$102</f>
        <v>1.7039338136539944E-2</v>
      </c>
      <c r="N114" s="37">
        <f>(1-AMD!E$53)*Yard!N$102</f>
        <v>5.8990001622817777E-2</v>
      </c>
      <c r="O114" s="37">
        <f>(1-AMD!F$53)*Yard!O$102</f>
        <v>3.7211093408983514E-2</v>
      </c>
      <c r="P114" s="37">
        <f>(1-AMD!G$53)*Yard!P$102</f>
        <v>0</v>
      </c>
      <c r="Q114" s="37">
        <f>(1-AMD!H$53)*Yard!Q$102</f>
        <v>0</v>
      </c>
      <c r="R114" s="37">
        <f>(1-AMD!I$53)*Yard!R$102</f>
        <v>0</v>
      </c>
      <c r="S114" s="37">
        <f>(1-AMD!J$53)*Yard!S$102</f>
        <v>0</v>
      </c>
      <c r="T114" s="17"/>
    </row>
    <row r="115" spans="1:20" x14ac:dyDescent="0.25">
      <c r="A115" s="4" t="s">
        <v>193</v>
      </c>
      <c r="B115" s="37">
        <f>(1-AMD!B$54)*Yard!B$103</f>
        <v>0</v>
      </c>
      <c r="C115" s="37">
        <f>(1-AMD!C$54)*Yard!C$103</f>
        <v>0.10539909120416868</v>
      </c>
      <c r="D115" s="37">
        <f>(1-AMD!D$54)*Yard!D$103</f>
        <v>4.1691177781855542E-2</v>
      </c>
      <c r="E115" s="37">
        <f>(1-AMD!E$54)*Yard!E$103</f>
        <v>0.11546751993775498</v>
      </c>
      <c r="F115" s="37">
        <f>(1-AMD!F$54)*Yard!F$103</f>
        <v>0</v>
      </c>
      <c r="G115" s="37">
        <f>(1-AMD!G$54)*Yard!G$103</f>
        <v>0</v>
      </c>
      <c r="H115" s="37">
        <f>(1-AMD!H$54)*Yard!H$103</f>
        <v>0</v>
      </c>
      <c r="I115" s="37">
        <f>(1-AMD!I$54)*Yard!I$103</f>
        <v>0</v>
      </c>
      <c r="J115" s="37">
        <f>(1-AMD!J$54)*Yard!J$103</f>
        <v>0</v>
      </c>
      <c r="K115" s="37">
        <f>(1-AMD!B$54)*Yard!K$103</f>
        <v>2.0306287172825364E-2</v>
      </c>
      <c r="L115" s="37">
        <f>(1-AMD!C$54)*Yard!L$103</f>
        <v>3.8425785721616784E-2</v>
      </c>
      <c r="M115" s="37">
        <f>(1-AMD!D$54)*Yard!M$103</f>
        <v>1.5199526349085345E-2</v>
      </c>
      <c r="N115" s="37">
        <f>(1-AMD!E$54)*Yard!N$103</f>
        <v>4.2096474725193817E-2</v>
      </c>
      <c r="O115" s="37">
        <f>(1-AMD!F$54)*Yard!O$103</f>
        <v>0</v>
      </c>
      <c r="P115" s="37">
        <f>(1-AMD!G$54)*Yard!P$103</f>
        <v>0</v>
      </c>
      <c r="Q115" s="37">
        <f>(1-AMD!H$54)*Yard!Q$103</f>
        <v>0</v>
      </c>
      <c r="R115" s="37">
        <f>(1-AMD!I$54)*Yard!R$103</f>
        <v>0</v>
      </c>
      <c r="S115" s="37">
        <f>(1-AMD!J$54)*Yard!S$103</f>
        <v>0</v>
      </c>
      <c r="T115" s="17"/>
    </row>
    <row r="116" spans="1:20" x14ac:dyDescent="0.25">
      <c r="A116" s="4" t="s">
        <v>219</v>
      </c>
      <c r="B116" s="37">
        <f>(1-AMD!B$59)*Yard!B$104</f>
        <v>0</v>
      </c>
      <c r="C116" s="37">
        <f>(1-AMD!C$59)*Yard!C$104</f>
        <v>0.11255429905679941</v>
      </c>
      <c r="D116" s="37">
        <f>(1-AMD!D$59)*Yard!D$104</f>
        <v>4.4521458757165865E-2</v>
      </c>
      <c r="E116" s="37">
        <f>(1-AMD!E$59)*Yard!E$104</f>
        <v>0.15215295350547192</v>
      </c>
      <c r="F116" s="37">
        <f>(1-AMD!F$59)*Yard!F$104</f>
        <v>9.5978599925225644E-2</v>
      </c>
      <c r="G116" s="37">
        <f>(1-AMD!G$59)*Yard!G$104</f>
        <v>0</v>
      </c>
      <c r="H116" s="37">
        <f>(1-AMD!H$59)*Yard!H$104</f>
        <v>0.12197310515677899</v>
      </c>
      <c r="I116" s="37">
        <f>(1-AMD!I$59)*Yard!I$104</f>
        <v>0.11074187069624206</v>
      </c>
      <c r="J116" s="37">
        <f>(1-AMD!J$59)*Yard!J$104</f>
        <v>2.6310451156543162E-3</v>
      </c>
      <c r="K116" s="37">
        <f>(1-AMD!B$59)*Yard!K$104</f>
        <v>1.8269287517982544E-2</v>
      </c>
      <c r="L116" s="37">
        <f>(1-AMD!C$59)*Yard!L$104</f>
        <v>4.1034389653563624E-2</v>
      </c>
      <c r="M116" s="37">
        <f>(1-AMD!D$59)*Yard!M$104</f>
        <v>1.6231373673827189E-2</v>
      </c>
      <c r="N116" s="37">
        <f>(1-AMD!E$59)*Yard!N$104</f>
        <v>5.5471036054636706E-2</v>
      </c>
      <c r="O116" s="37">
        <f>(1-AMD!F$59)*Yard!O$104</f>
        <v>3.4991317974871088E-2</v>
      </c>
      <c r="P116" s="37">
        <f>(1-AMD!G$59)*Yard!P$104</f>
        <v>0</v>
      </c>
      <c r="Q116" s="37">
        <f>(1-AMD!H$59)*Yard!Q$104</f>
        <v>6.3526061467992778E-2</v>
      </c>
      <c r="R116" s="37">
        <f>(1-AMD!I$59)*Yard!R$104</f>
        <v>5.7676607280658342E-2</v>
      </c>
      <c r="S116" s="37">
        <f>(1-AMD!J$59)*Yard!S$104</f>
        <v>3.197370258224784E-2</v>
      </c>
      <c r="T116" s="17"/>
    </row>
    <row r="118" spans="1:20" ht="21" customHeight="1" x14ac:dyDescent="0.3">
      <c r="A118" s="1" t="s">
        <v>1002</v>
      </c>
    </row>
    <row r="119" spans="1:20" x14ac:dyDescent="0.25">
      <c r="A119" s="2" t="s">
        <v>350</v>
      </c>
    </row>
    <row r="120" spans="1:20" x14ac:dyDescent="0.25">
      <c r="A120" s="32" t="s">
        <v>989</v>
      </c>
    </row>
    <row r="121" spans="1:20" x14ac:dyDescent="0.25">
      <c r="A121" s="32" t="s">
        <v>1003</v>
      </c>
    </row>
    <row r="122" spans="1:20" x14ac:dyDescent="0.25">
      <c r="A122" s="2" t="s">
        <v>997</v>
      </c>
    </row>
    <row r="124" spans="1:20" ht="30" x14ac:dyDescent="0.25">
      <c r="B124" s="15" t="s">
        <v>139</v>
      </c>
      <c r="C124" s="15" t="s">
        <v>313</v>
      </c>
      <c r="D124" s="15" t="s">
        <v>314</v>
      </c>
      <c r="E124" s="15" t="s">
        <v>315</v>
      </c>
      <c r="F124" s="15" t="s">
        <v>316</v>
      </c>
      <c r="G124" s="15" t="s">
        <v>317</v>
      </c>
      <c r="H124" s="15" t="s">
        <v>318</v>
      </c>
      <c r="I124" s="15" t="s">
        <v>319</v>
      </c>
      <c r="J124" s="15" t="s">
        <v>320</v>
      </c>
      <c r="K124" s="15" t="s">
        <v>301</v>
      </c>
      <c r="L124" s="15" t="s">
        <v>876</v>
      </c>
      <c r="M124" s="15" t="s">
        <v>877</v>
      </c>
      <c r="N124" s="15" t="s">
        <v>878</v>
      </c>
      <c r="O124" s="15" t="s">
        <v>879</v>
      </c>
      <c r="P124" s="15" t="s">
        <v>880</v>
      </c>
      <c r="Q124" s="15" t="s">
        <v>881</v>
      </c>
      <c r="R124" s="15" t="s">
        <v>882</v>
      </c>
      <c r="S124" s="15" t="s">
        <v>883</v>
      </c>
    </row>
    <row r="125" spans="1:20" x14ac:dyDescent="0.25">
      <c r="A125" s="4" t="s">
        <v>177</v>
      </c>
      <c r="B125" s="37">
        <f>(1-AMD!B$50)*Yard!B$119</f>
        <v>0</v>
      </c>
      <c r="C125" s="37">
        <f>(1-AMD!C$50)*Yard!C$119</f>
        <v>1.9564672440106578E-2</v>
      </c>
      <c r="D125" s="37">
        <f>(1-AMD!D$50)*Yard!D$119</f>
        <v>7.7389114804055498E-3</v>
      </c>
      <c r="E125" s="37">
        <f>(1-AMD!E$50)*Yard!E$119</f>
        <v>2.7188802892207091E-2</v>
      </c>
      <c r="F125" s="37">
        <f>(1-AMD!F$50)*Yard!F$119</f>
        <v>1.7150789223050567E-2</v>
      </c>
      <c r="G125" s="37">
        <f>(1-AMD!G$50)*Yard!G$119</f>
        <v>0</v>
      </c>
      <c r="H125" s="37">
        <f>(1-AMD!H$50)*Yard!H$119</f>
        <v>2.1795848439700821E-2</v>
      </c>
      <c r="I125" s="37">
        <f>(1-AMD!I$50)*Yard!I$119</f>
        <v>1.9788895482506199E-2</v>
      </c>
      <c r="J125" s="37">
        <f>(1-AMD!J$50)*Yard!J$119</f>
        <v>0</v>
      </c>
      <c r="K125" s="37">
        <f>(1-AMD!B$50)*Yard!K$119</f>
        <v>2.5162966931382047E-3</v>
      </c>
      <c r="L125" s="37">
        <f>(1-AMD!C$50)*Yard!L$119</f>
        <v>7.1327741283923182E-3</v>
      </c>
      <c r="M125" s="37">
        <f>(1-AMD!D$50)*Yard!M$119</f>
        <v>2.8214071949499149E-3</v>
      </c>
      <c r="N125" s="37">
        <f>(1-AMD!E$50)*Yard!N$119</f>
        <v>9.9123351257311663E-3</v>
      </c>
      <c r="O125" s="37">
        <f>(1-AMD!F$50)*Yard!O$119</f>
        <v>6.2527346688876365E-3</v>
      </c>
      <c r="P125" s="37">
        <f>(1-AMD!G$50)*Yard!P$119</f>
        <v>0</v>
      </c>
      <c r="Q125" s="37">
        <f>(1-AMD!H$50)*Yard!Q$119</f>
        <v>1.1351718937939461E-2</v>
      </c>
      <c r="R125" s="37">
        <f>(1-AMD!I$50)*Yard!R$119</f>
        <v>1.0306457224234298E-2</v>
      </c>
      <c r="S125" s="37">
        <f>(1-AMD!J$50)*Yard!S$119</f>
        <v>0</v>
      </c>
      <c r="T125" s="17"/>
    </row>
    <row r="126" spans="1:20" x14ac:dyDescent="0.25">
      <c r="A126" s="4" t="s">
        <v>178</v>
      </c>
      <c r="B126" s="37">
        <f>(1-AMD!B$51)*Yard!B$120</f>
        <v>0</v>
      </c>
      <c r="C126" s="37">
        <f>(1-AMD!C$51)*Yard!C$120</f>
        <v>1.9025837525115327E-2</v>
      </c>
      <c r="D126" s="37">
        <f>(1-AMD!D$51)*Yard!D$120</f>
        <v>7.52577242978077E-3</v>
      </c>
      <c r="E126" s="37">
        <f>(1-AMD!E$51)*Yard!E$120</f>
        <v>2.6432022734334933E-2</v>
      </c>
      <c r="F126" s="37">
        <f>(1-AMD!F$51)*Yard!F$120</f>
        <v>1.6673409728730409E-2</v>
      </c>
      <c r="G126" s="37">
        <f>(1-AMD!G$51)*Yard!G$120</f>
        <v>0</v>
      </c>
      <c r="H126" s="37">
        <f>(1-AMD!H$51)*Yard!H$120</f>
        <v>2.1189177168128136E-2</v>
      </c>
      <c r="I126" s="37">
        <f>(1-AMD!I$51)*Yard!I$120</f>
        <v>1.9238086257593285E-2</v>
      </c>
      <c r="J126" s="37">
        <f>(1-AMD!J$51)*Yard!J$120</f>
        <v>0</v>
      </c>
      <c r="K126" s="37">
        <f>(1-AMD!B$51)*Yard!K$120</f>
        <v>2.4483597827733247E-3</v>
      </c>
      <c r="L126" s="37">
        <f>(1-AMD!C$51)*Yard!L$120</f>
        <v>6.9363288389099704E-3</v>
      </c>
      <c r="M126" s="37">
        <f>(1-AMD!D$51)*Yard!M$120</f>
        <v>2.743702203430095E-3</v>
      </c>
      <c r="N126" s="37">
        <f>(1-AMD!E$51)*Yard!N$120</f>
        <v>9.6364326311979241E-3</v>
      </c>
      <c r="O126" s="37">
        <f>(1-AMD!F$51)*Yard!O$120</f>
        <v>6.0786944381127197E-3</v>
      </c>
      <c r="P126" s="37">
        <f>(1-AMD!G$51)*Yard!P$120</f>
        <v>0</v>
      </c>
      <c r="Q126" s="37">
        <f>(1-AMD!H$51)*Yard!Q$120</f>
        <v>1.1035752262833052E-2</v>
      </c>
      <c r="R126" s="37">
        <f>(1-AMD!I$51)*Yard!R$120</f>
        <v>1.0019584633477671E-2</v>
      </c>
      <c r="S126" s="37">
        <f>(1-AMD!J$51)*Yard!S$120</f>
        <v>0</v>
      </c>
      <c r="T126" s="17"/>
    </row>
    <row r="127" spans="1:20" x14ac:dyDescent="0.25">
      <c r="A127" s="4" t="s">
        <v>179</v>
      </c>
      <c r="B127" s="37">
        <f>(1-AMD!B$52)*Yard!B$121</f>
        <v>0</v>
      </c>
      <c r="C127" s="37">
        <f>(1-AMD!C$52)*Yard!C$121</f>
        <v>1.6556957117789449E-2</v>
      </c>
      <c r="D127" s="37">
        <f>(1-AMD!D$52)*Yard!D$121</f>
        <v>6.5491934971922874E-3</v>
      </c>
      <c r="E127" s="37">
        <f>(1-AMD!E$52)*Yard!E$121</f>
        <v>2.3004574551829984E-2</v>
      </c>
      <c r="F127" s="37">
        <f>(1-AMD!F$52)*Yard!F$121</f>
        <v>1.4511363772381271E-2</v>
      </c>
      <c r="G127" s="37">
        <f>(1-AMD!G$52)*Yard!G$121</f>
        <v>0</v>
      </c>
      <c r="H127" s="37">
        <f>(1-AMD!H$52)*Yard!H$121</f>
        <v>1.4753256253005482E-2</v>
      </c>
      <c r="I127" s="37">
        <f>(1-AMD!I$52)*Yard!I$121</f>
        <v>0</v>
      </c>
      <c r="J127" s="37">
        <f>(1-AMD!J$52)*Yard!J$121</f>
        <v>0</v>
      </c>
      <c r="K127" s="37">
        <f>(1-AMD!B$52)*Yard!K$121</f>
        <v>2.1301866910794719E-3</v>
      </c>
      <c r="L127" s="37">
        <f>(1-AMD!C$52)*Yard!L$121</f>
        <v>6.0362388246570755E-3</v>
      </c>
      <c r="M127" s="37">
        <f>(1-AMD!D$52)*Yard!M$121</f>
        <v>2.3876667540238092E-3</v>
      </c>
      <c r="N127" s="37">
        <f>(1-AMD!E$52)*Yard!N$121</f>
        <v>8.3868735702212101E-3</v>
      </c>
      <c r="O127" s="37">
        <f>(1-AMD!F$52)*Yard!O$121</f>
        <v>5.2904683377753914E-3</v>
      </c>
      <c r="P127" s="37">
        <f>(1-AMD!G$52)*Yard!P$121</f>
        <v>0</v>
      </c>
      <c r="Q127" s="37">
        <f>(1-AMD!H$52)*Yard!Q$121</f>
        <v>7.6837944100612817E-3</v>
      </c>
      <c r="R127" s="37">
        <f>(1-AMD!I$52)*Yard!R$121</f>
        <v>0</v>
      </c>
      <c r="S127" s="37">
        <f>(1-AMD!J$52)*Yard!S$121</f>
        <v>0</v>
      </c>
      <c r="T127" s="17"/>
    </row>
    <row r="128" spans="1:20" x14ac:dyDescent="0.25">
      <c r="A128" s="4" t="s">
        <v>180</v>
      </c>
      <c r="B128" s="37">
        <f>(1-AMD!B$53)*Yard!B$122</f>
        <v>0</v>
      </c>
      <c r="C128" s="37">
        <f>(1-AMD!C$53)*Yard!C$122</f>
        <v>1.5643776035243674E-2</v>
      </c>
      <c r="D128" s="37">
        <f>(1-AMD!D$53)*Yard!D$122</f>
        <v>6.1879798052668546E-3</v>
      </c>
      <c r="E128" s="37">
        <f>(1-AMD!E$53)*Yard!E$122</f>
        <v>2.1735782095384345E-2</v>
      </c>
      <c r="F128" s="37">
        <f>(1-AMD!F$53)*Yard!F$122</f>
        <v>1.3711005180847523E-2</v>
      </c>
      <c r="G128" s="37">
        <f>(1-AMD!G$53)*Yard!G$122</f>
        <v>0</v>
      </c>
      <c r="H128" s="37">
        <f>(1-AMD!H$53)*Yard!H$122</f>
        <v>0</v>
      </c>
      <c r="I128" s="37">
        <f>(1-AMD!I$53)*Yard!I$122</f>
        <v>0</v>
      </c>
      <c r="J128" s="37">
        <f>(1-AMD!J$53)*Yard!J$122</f>
        <v>0</v>
      </c>
      <c r="K128" s="37">
        <f>(1-AMD!B$53)*Yard!K$122</f>
        <v>2.0126985454772522E-3</v>
      </c>
      <c r="L128" s="37">
        <f>(1-AMD!C$53)*Yard!L$122</f>
        <v>5.7033165935254457E-3</v>
      </c>
      <c r="M128" s="37">
        <f>(1-AMD!D$53)*Yard!M$122</f>
        <v>2.2559775737181274E-3</v>
      </c>
      <c r="N128" s="37">
        <f>(1-AMD!E$53)*Yard!N$122</f>
        <v>7.9243046192030119E-3</v>
      </c>
      <c r="O128" s="37">
        <f>(1-AMD!F$53)*Yard!O$122</f>
        <v>4.9986782721555987E-3</v>
      </c>
      <c r="P128" s="37">
        <f>(1-AMD!G$53)*Yard!P$122</f>
        <v>0</v>
      </c>
      <c r="Q128" s="37">
        <f>(1-AMD!H$53)*Yard!Q$122</f>
        <v>0</v>
      </c>
      <c r="R128" s="37">
        <f>(1-AMD!I$53)*Yard!R$122</f>
        <v>0</v>
      </c>
      <c r="S128" s="37">
        <f>(1-AMD!J$53)*Yard!S$122</f>
        <v>0</v>
      </c>
      <c r="T128" s="17"/>
    </row>
    <row r="129" spans="1:20" x14ac:dyDescent="0.25">
      <c r="A129" s="4" t="s">
        <v>193</v>
      </c>
      <c r="B129" s="37">
        <f>(1-AMD!B$54)*Yard!B$123</f>
        <v>0</v>
      </c>
      <c r="C129" s="37">
        <f>(1-AMD!C$54)*Yard!C$123</f>
        <v>1.3954649185403156E-2</v>
      </c>
      <c r="D129" s="37">
        <f>(1-AMD!D$54)*Yard!D$123</f>
        <v>5.5198365889615759E-3</v>
      </c>
      <c r="E129" s="37">
        <f>(1-AMD!E$54)*Yard!E$123</f>
        <v>1.5511099787065247E-2</v>
      </c>
      <c r="F129" s="37">
        <f>(1-AMD!F$54)*Yard!F$123</f>
        <v>0</v>
      </c>
      <c r="G129" s="37">
        <f>(1-AMD!G$54)*Yard!G$123</f>
        <v>0</v>
      </c>
      <c r="H129" s="37">
        <f>(1-AMD!H$54)*Yard!H$123</f>
        <v>0</v>
      </c>
      <c r="I129" s="37">
        <f>(1-AMD!I$54)*Yard!I$123</f>
        <v>0</v>
      </c>
      <c r="J129" s="37">
        <f>(1-AMD!J$54)*Yard!J$123</f>
        <v>0</v>
      </c>
      <c r="K129" s="37">
        <f>(1-AMD!B$54)*Yard!K$123</f>
        <v>1.7953786895715275E-3</v>
      </c>
      <c r="L129" s="37">
        <f>(1-AMD!C$54)*Yard!L$123</f>
        <v>5.0875045817987815E-3</v>
      </c>
      <c r="M129" s="37">
        <f>(1-AMD!D$54)*Yard!M$123</f>
        <v>2.0123898181902788E-3</v>
      </c>
      <c r="N129" s="37">
        <f>(1-AMD!E$54)*Yard!N$123</f>
        <v>5.6549462610623637E-3</v>
      </c>
      <c r="O129" s="37">
        <f>(1-AMD!F$54)*Yard!O$123</f>
        <v>0</v>
      </c>
      <c r="P129" s="37">
        <f>(1-AMD!G$54)*Yard!P$123</f>
        <v>0</v>
      </c>
      <c r="Q129" s="37">
        <f>(1-AMD!H$54)*Yard!Q$123</f>
        <v>0</v>
      </c>
      <c r="R129" s="37">
        <f>(1-AMD!I$54)*Yard!R$123</f>
        <v>0</v>
      </c>
      <c r="S129" s="37">
        <f>(1-AMD!J$54)*Yard!S$123</f>
        <v>0</v>
      </c>
      <c r="T129" s="17"/>
    </row>
    <row r="130" spans="1:20" x14ac:dyDescent="0.25">
      <c r="A130" s="4" t="s">
        <v>219</v>
      </c>
      <c r="B130" s="37">
        <f>(1-AMD!B$59)*Yard!B$124</f>
        <v>0</v>
      </c>
      <c r="C130" s="37">
        <f>(1-AMD!C$59)*Yard!C$124</f>
        <v>1.5179288881540067E-2</v>
      </c>
      <c r="D130" s="37">
        <f>(1-AMD!D$59)*Yard!D$124</f>
        <v>6.0042494117577387E-3</v>
      </c>
      <c r="E130" s="37">
        <f>(1-AMD!E$59)*Yard!E$124</f>
        <v>2.1090414152487327E-2</v>
      </c>
      <c r="F130" s="37">
        <f>(1-AMD!F$59)*Yard!F$124</f>
        <v>1.3303904890193936E-2</v>
      </c>
      <c r="G130" s="37">
        <f>(1-AMD!G$59)*Yard!G$124</f>
        <v>0</v>
      </c>
      <c r="H130" s="37">
        <f>(1-AMD!H$59)*Yard!H$124</f>
        <v>1.690708753234187E-2</v>
      </c>
      <c r="I130" s="37">
        <f>(1-AMD!I$59)*Yard!I$124</f>
        <v>1.5350289713048191E-2</v>
      </c>
      <c r="J130" s="37">
        <f>(1-AMD!J$59)*Yard!J$124</f>
        <v>3.6469769310809239E-4</v>
      </c>
      <c r="K130" s="37">
        <f>(1-AMD!B$59)*Yard!K$124</f>
        <v>1.9529385095021807E-3</v>
      </c>
      <c r="L130" s="37">
        <f>(1-AMD!C$59)*Yard!L$124</f>
        <v>5.53397657707232E-3</v>
      </c>
      <c r="M130" s="37">
        <f>(1-AMD!D$59)*Yard!M$124</f>
        <v>2.1889942188251165E-3</v>
      </c>
      <c r="N130" s="37">
        <f>(1-AMD!E$59)*Yard!N$124</f>
        <v>7.6890201399723163E-3</v>
      </c>
      <c r="O130" s="37">
        <f>(1-AMD!F$59)*Yard!O$124</f>
        <v>4.8502600234103591E-3</v>
      </c>
      <c r="P130" s="37">
        <f>(1-AMD!G$59)*Yard!P$124</f>
        <v>0</v>
      </c>
      <c r="Q130" s="37">
        <f>(1-AMD!H$59)*Yard!Q$124</f>
        <v>8.8055533262333414E-3</v>
      </c>
      <c r="R130" s="37">
        <f>(1-AMD!I$59)*Yard!R$124</f>
        <v>7.9947415178878139E-3</v>
      </c>
      <c r="S130" s="37">
        <f>(1-AMD!J$59)*Yard!S$124</f>
        <v>4.4319785709832386E-3</v>
      </c>
      <c r="T130" s="17"/>
    </row>
  </sheetData>
  <sheetProtection sheet="1" objects="1" scenarios="1"/>
  <hyperlinks>
    <hyperlink ref="A6" location="'Yard'!B10" display="x1 = 2901. Unit cost at each level, £/kW/year (relative to system simultaneous maximum load)"/>
    <hyperlink ref="A7" location="'AMD'!B201" display="x2 = 2612. Diversity allowances (including calculated LV value)"/>
    <hyperlink ref="A16" location="'AMD'!B40" display="x1 = 2602. Standing charges factors adapted to use 132kV/HV"/>
    <hyperlink ref="A17" location="'LAFs'!B236" display="x2 = 2012. Loss adjustment factors between end user meter reading and each network level, scaled by network use"/>
    <hyperlink ref="A18" location="'Standing'!B10" display="x3 = 3001. Costs based on aggregate maximum load (£/kW/year)"/>
    <hyperlink ref="A19" location="'Input'!E57" display="x4 = 1010. Power factor for all flows in the network model (in Financial and general assumptions)"/>
    <hyperlink ref="A20" location="'Input'!F57" display="x5 = 1010. Days in the charging year (in Financial and general assumptions)"/>
    <hyperlink ref="A21" location="'Contrib'!B93" display="x6 = 2804. Proportion of annual charge covered by contributions (for all charging levels)"/>
    <hyperlink ref="A47" location="'AMD'!B40" display="x1 = 2602. Standing charges factors adapted to use 132kV/HV"/>
    <hyperlink ref="A48" location="'Yard'!B22" display="x2 = 2902. Pay-as-you-go yardstick unit costs by charging level (p/kWh)"/>
    <hyperlink ref="A74" location="'AMD'!B40" display="x1 = 2602. Standing charges factors adapted to use 132kV/HV"/>
    <hyperlink ref="A75" location="'Yard'!B60" display="x2 = 2903. Contributions to pay-as-you-go unit rate 1 (p/kWh)"/>
    <hyperlink ref="A101" location="'AMD'!B40" display="x1 = 2602. Standing charges factors adapted to use 132kV/HV"/>
    <hyperlink ref="A102" location="'Yard'!B93" display="x2 = 2904. Contributions to pay-as-you-go unit rate 2 (p/kWh)"/>
    <hyperlink ref="A120" location="'AMD'!B40" display="x1 = 2602. Standing charges factors adapted to use 132kV/HV"/>
    <hyperlink ref="A121" location="'Yard'!B118" display="x2 = 2905. Contributions to pay-as-you-go unit rate 3 (p/kWh)"/>
  </hyperlinks>
  <pageMargins left="0.7" right="0.7" top="0.75" bottom="0.75" header="0.3" footer="0.3"/>
  <pageSetup paperSize="9" fitToHeight="0" orientation="landscape"/>
  <headerFooter>
    <oddHeader>&amp;L&amp;A&amp;C&amp;R&amp;P of &amp;N</oddHeader>
    <oddFooter>&amp;F</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97"/>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x14ac:dyDescent="0.25"/>
  <cols>
    <col min="1" max="1" width="50.7109375" customWidth="1"/>
    <col min="2" max="251" width="16.7109375" customWidth="1"/>
  </cols>
  <sheetData>
    <row r="1" spans="1:6" ht="21" customHeight="1" x14ac:dyDescent="0.3">
      <c r="A1" s="1" t="str">
        <f>"Standing charges as fixed charges for "&amp;Input!B7&amp;" in "&amp;Input!C7&amp;" ("&amp;Input!D7&amp;")"</f>
        <v>Standing charges as fixed charges for Electricity North West in 2017/2018 (December 2015)</v>
      </c>
    </row>
    <row r="2" spans="1:6" x14ac:dyDescent="0.25">
      <c r="A2" s="2" t="s">
        <v>1004</v>
      </c>
    </row>
    <row r="4" spans="1:6" ht="21" customHeight="1" x14ac:dyDescent="0.3">
      <c r="A4" s="1" t="s">
        <v>1005</v>
      </c>
    </row>
    <row r="6" spans="1:6" ht="45" x14ac:dyDescent="0.25">
      <c r="B6" s="15" t="s">
        <v>1006</v>
      </c>
      <c r="C6" s="15" t="s">
        <v>1007</v>
      </c>
      <c r="D6" s="15" t="s">
        <v>1008</v>
      </c>
      <c r="E6" s="15" t="s">
        <v>1009</v>
      </c>
    </row>
    <row r="7" spans="1:6" x14ac:dyDescent="0.25">
      <c r="A7" s="4" t="s">
        <v>171</v>
      </c>
      <c r="B7" s="36">
        <v>1</v>
      </c>
      <c r="C7" s="36">
        <v>0</v>
      </c>
      <c r="D7" s="36">
        <v>0</v>
      </c>
      <c r="E7" s="36">
        <v>0</v>
      </c>
      <c r="F7" s="17"/>
    </row>
    <row r="8" spans="1:6" x14ac:dyDescent="0.25">
      <c r="A8" s="4" t="s">
        <v>172</v>
      </c>
      <c r="B8" s="36">
        <v>1</v>
      </c>
      <c r="C8" s="36">
        <v>0</v>
      </c>
      <c r="D8" s="36">
        <v>0</v>
      </c>
      <c r="E8" s="36">
        <v>0</v>
      </c>
      <c r="F8" s="17"/>
    </row>
    <row r="9" spans="1:6" x14ac:dyDescent="0.25">
      <c r="A9" s="4" t="s">
        <v>173</v>
      </c>
      <c r="B9" s="36">
        <v>1</v>
      </c>
      <c r="C9" s="36">
        <v>0</v>
      </c>
      <c r="D9" s="36">
        <v>0</v>
      </c>
      <c r="E9" s="36">
        <v>0</v>
      </c>
      <c r="F9" s="17"/>
    </row>
    <row r="10" spans="1:6" x14ac:dyDescent="0.25">
      <c r="A10" s="4" t="s">
        <v>174</v>
      </c>
      <c r="B10" s="36">
        <v>1</v>
      </c>
      <c r="C10" s="36">
        <v>0</v>
      </c>
      <c r="D10" s="36">
        <v>0</v>
      </c>
      <c r="E10" s="36">
        <v>0</v>
      </c>
      <c r="F10" s="17"/>
    </row>
    <row r="11" spans="1:6" x14ac:dyDescent="0.25">
      <c r="A11" s="4" t="s">
        <v>175</v>
      </c>
      <c r="B11" s="36">
        <v>0</v>
      </c>
      <c r="C11" s="36">
        <v>1</v>
      </c>
      <c r="D11" s="36">
        <v>0</v>
      </c>
      <c r="E11" s="36">
        <v>0</v>
      </c>
      <c r="F11" s="17"/>
    </row>
    <row r="12" spans="1:6" x14ac:dyDescent="0.25">
      <c r="A12" s="4" t="s">
        <v>176</v>
      </c>
      <c r="B12" s="36">
        <v>0</v>
      </c>
      <c r="C12" s="36">
        <v>0</v>
      </c>
      <c r="D12" s="36">
        <v>1</v>
      </c>
      <c r="E12" s="36">
        <v>0</v>
      </c>
      <c r="F12" s="17"/>
    </row>
    <row r="13" spans="1:6" x14ac:dyDescent="0.25">
      <c r="A13" s="4" t="s">
        <v>192</v>
      </c>
      <c r="B13" s="36">
        <v>0</v>
      </c>
      <c r="C13" s="36">
        <v>0</v>
      </c>
      <c r="D13" s="36">
        <v>0</v>
      </c>
      <c r="E13" s="36">
        <v>1</v>
      </c>
      <c r="F13" s="17"/>
    </row>
    <row r="14" spans="1:6" x14ac:dyDescent="0.25">
      <c r="A14" s="4" t="s">
        <v>177</v>
      </c>
      <c r="B14" s="36">
        <v>1</v>
      </c>
      <c r="C14" s="36">
        <v>0</v>
      </c>
      <c r="D14" s="36">
        <v>0</v>
      </c>
      <c r="E14" s="36">
        <v>0</v>
      </c>
      <c r="F14" s="17"/>
    </row>
    <row r="15" spans="1:6" x14ac:dyDescent="0.25">
      <c r="A15" s="4" t="s">
        <v>178</v>
      </c>
      <c r="B15" s="36">
        <v>1</v>
      </c>
      <c r="C15" s="36">
        <v>0</v>
      </c>
      <c r="D15" s="36">
        <v>0</v>
      </c>
      <c r="E15" s="36">
        <v>0</v>
      </c>
      <c r="F15" s="17"/>
    </row>
    <row r="17" spans="1:4" ht="21" customHeight="1" x14ac:dyDescent="0.3">
      <c r="A17" s="1" t="s">
        <v>1010</v>
      </c>
    </row>
    <row r="18" spans="1:4" x14ac:dyDescent="0.25">
      <c r="A18" s="2" t="s">
        <v>350</v>
      </c>
    </row>
    <row r="19" spans="1:4" x14ac:dyDescent="0.25">
      <c r="A19" s="32" t="s">
        <v>573</v>
      </c>
    </row>
    <row r="20" spans="1:4" x14ac:dyDescent="0.25">
      <c r="A20" s="32" t="s">
        <v>498</v>
      </c>
    </row>
    <row r="21" spans="1:4" x14ac:dyDescent="0.25">
      <c r="A21" s="32" t="s">
        <v>403</v>
      </c>
    </row>
    <row r="22" spans="1:4" x14ac:dyDescent="0.25">
      <c r="A22" s="32" t="s">
        <v>1011</v>
      </c>
    </row>
    <row r="23" spans="1:4" x14ac:dyDescent="0.25">
      <c r="A23" s="33" t="s">
        <v>353</v>
      </c>
      <c r="B23" s="33" t="s">
        <v>483</v>
      </c>
      <c r="C23" s="33" t="s">
        <v>412</v>
      </c>
    </row>
    <row r="24" spans="1:4" ht="30" x14ac:dyDescent="0.25">
      <c r="A24" s="33" t="s">
        <v>356</v>
      </c>
      <c r="B24" s="33" t="s">
        <v>1012</v>
      </c>
      <c r="C24" s="33" t="s">
        <v>1013</v>
      </c>
    </row>
    <row r="26" spans="1:4" ht="75" x14ac:dyDescent="0.25">
      <c r="B26" s="15" t="s">
        <v>1014</v>
      </c>
      <c r="C26" s="15" t="s">
        <v>227</v>
      </c>
    </row>
    <row r="27" spans="1:4" x14ac:dyDescent="0.25">
      <c r="A27" s="4" t="s">
        <v>171</v>
      </c>
      <c r="B27" s="21">
        <f>Multi!B$119/Input!C$165/(24*Input!F$58)*1000</f>
        <v>1699394.7972853079</v>
      </c>
      <c r="C27" s="43">
        <f>Loads!E$302</f>
        <v>2035124.6994942075</v>
      </c>
      <c r="D27" s="17"/>
    </row>
    <row r="28" spans="1:4" x14ac:dyDescent="0.25">
      <c r="A28" s="4" t="s">
        <v>172</v>
      </c>
      <c r="B28" s="21">
        <f>Multi!B$120/Input!C$166/(24*Input!F$58)*1000</f>
        <v>440157.09155138623</v>
      </c>
      <c r="C28" s="43">
        <f>Loads!E$303</f>
        <v>180410.97029837116</v>
      </c>
      <c r="D28" s="17"/>
    </row>
    <row r="29" spans="1:4" x14ac:dyDescent="0.25">
      <c r="A29" s="4" t="s">
        <v>173</v>
      </c>
      <c r="B29" s="21">
        <f>Multi!B$122/Input!C$168/(24*Input!F$58)*1000</f>
        <v>456644.21686862787</v>
      </c>
      <c r="C29" s="43">
        <f>Loads!E$305</f>
        <v>123636.37700544407</v>
      </c>
      <c r="D29" s="17"/>
    </row>
    <row r="30" spans="1:4" x14ac:dyDescent="0.25">
      <c r="A30" s="4" t="s">
        <v>174</v>
      </c>
      <c r="B30" s="21">
        <f>Multi!B$123/Input!C$169/(24*Input!F$58)*1000</f>
        <v>167475.27079399925</v>
      </c>
      <c r="C30" s="43">
        <f>Loads!E$306</f>
        <v>33442.030579177452</v>
      </c>
      <c r="D30" s="17"/>
    </row>
    <row r="31" spans="1:4" x14ac:dyDescent="0.25">
      <c r="A31" s="4" t="s">
        <v>175</v>
      </c>
      <c r="B31" s="21">
        <f>Multi!B$125/Input!C$171/(24*Input!F$58)*1000</f>
        <v>0</v>
      </c>
      <c r="C31" s="43">
        <f>Loads!E$308</f>
        <v>0</v>
      </c>
      <c r="D31" s="17"/>
    </row>
    <row r="32" spans="1:4" x14ac:dyDescent="0.25">
      <c r="A32" s="4" t="s">
        <v>176</v>
      </c>
      <c r="B32" s="21">
        <f>Multi!B$126/Input!C$172/(24*Input!F$58)*1000</f>
        <v>0</v>
      </c>
      <c r="C32" s="43">
        <f>Loads!E$309</f>
        <v>0</v>
      </c>
      <c r="D32" s="17"/>
    </row>
    <row r="33" spans="1:6" x14ac:dyDescent="0.25">
      <c r="A33" s="4" t="s">
        <v>192</v>
      </c>
      <c r="B33" s="21">
        <f>Multi!B$127/Input!C$173/(24*Input!F$58)*1000</f>
        <v>1586.7029641196432</v>
      </c>
      <c r="C33" s="43">
        <f>Loads!E$310</f>
        <v>60</v>
      </c>
      <c r="D33" s="17"/>
    </row>
    <row r="34" spans="1:6" x14ac:dyDescent="0.25">
      <c r="A34" s="4" t="s">
        <v>177</v>
      </c>
      <c r="B34" s="21">
        <f>Multi!B$128/Input!C$174/(24*Input!F$58)*1000</f>
        <v>0</v>
      </c>
      <c r="C34" s="43">
        <f>Loads!E$311</f>
        <v>0</v>
      </c>
      <c r="D34" s="17"/>
    </row>
    <row r="35" spans="1:6" x14ac:dyDescent="0.25">
      <c r="A35" s="4" t="s">
        <v>178</v>
      </c>
      <c r="B35" s="21">
        <f>Multi!B$129/Input!C$175/(24*Input!F$58)*1000</f>
        <v>148428.24395003766</v>
      </c>
      <c r="C35" s="43">
        <f>Loads!E$312</f>
        <v>5419.348</v>
      </c>
      <c r="D35" s="17"/>
    </row>
    <row r="37" spans="1:6" ht="21" customHeight="1" x14ac:dyDescent="0.3">
      <c r="A37" s="1" t="s">
        <v>1015</v>
      </c>
    </row>
    <row r="38" spans="1:6" x14ac:dyDescent="0.25">
      <c r="A38" s="2" t="s">
        <v>350</v>
      </c>
    </row>
    <row r="39" spans="1:6" x14ac:dyDescent="0.25">
      <c r="A39" s="32" t="s">
        <v>1016</v>
      </c>
    </row>
    <row r="40" spans="1:6" x14ac:dyDescent="0.25">
      <c r="A40" s="32" t="s">
        <v>1017</v>
      </c>
    </row>
    <row r="41" spans="1:6" x14ac:dyDescent="0.25">
      <c r="A41" s="2" t="s">
        <v>363</v>
      </c>
    </row>
    <row r="43" spans="1:6" ht="45" x14ac:dyDescent="0.25">
      <c r="B43" s="15" t="s">
        <v>1006</v>
      </c>
      <c r="C43" s="15" t="s">
        <v>1007</v>
      </c>
      <c r="D43" s="15" t="s">
        <v>1008</v>
      </c>
      <c r="E43" s="15" t="s">
        <v>1009</v>
      </c>
    </row>
    <row r="44" spans="1:6" x14ac:dyDescent="0.25">
      <c r="A44" s="4" t="s">
        <v>1018</v>
      </c>
      <c r="B44" s="21">
        <f>SUMPRODUCT(B$7:B$15,$B$27:$B$35)</f>
        <v>2912099.6204493586</v>
      </c>
      <c r="C44" s="21">
        <f>SUMPRODUCT(C$7:C$15,$B$27:$B$35)</f>
        <v>0</v>
      </c>
      <c r="D44" s="21">
        <f>SUMPRODUCT(D$7:D$15,$B$27:$B$35)</f>
        <v>0</v>
      </c>
      <c r="E44" s="21">
        <f>SUMPRODUCT(E$7:E$15,$B$27:$B$35)</f>
        <v>1586.7029641196432</v>
      </c>
      <c r="F44" s="17"/>
    </row>
    <row r="46" spans="1:6" ht="21" customHeight="1" x14ac:dyDescent="0.3">
      <c r="A46" s="1" t="s">
        <v>1019</v>
      </c>
    </row>
    <row r="47" spans="1:6" x14ac:dyDescent="0.25">
      <c r="A47" s="2" t="s">
        <v>350</v>
      </c>
    </row>
    <row r="48" spans="1:6" x14ac:dyDescent="0.25">
      <c r="A48" s="32" t="s">
        <v>1016</v>
      </c>
    </row>
    <row r="49" spans="1:6" x14ac:dyDescent="0.25">
      <c r="A49" s="32" t="s">
        <v>1020</v>
      </c>
    </row>
    <row r="50" spans="1:6" x14ac:dyDescent="0.25">
      <c r="A50" s="2" t="s">
        <v>363</v>
      </c>
    </row>
    <row r="52" spans="1:6" ht="45" x14ac:dyDescent="0.25">
      <c r="B52" s="15" t="s">
        <v>1006</v>
      </c>
      <c r="C52" s="15" t="s">
        <v>1007</v>
      </c>
      <c r="D52" s="15" t="s">
        <v>1008</v>
      </c>
      <c r="E52" s="15" t="s">
        <v>1009</v>
      </c>
    </row>
    <row r="53" spans="1:6" ht="30" x14ac:dyDescent="0.25">
      <c r="A53" s="4" t="s">
        <v>1021</v>
      </c>
      <c r="B53" s="21">
        <f>SUMPRODUCT(B$7:B$15,$C$27:$C$35)</f>
        <v>2378033.4253772004</v>
      </c>
      <c r="C53" s="21">
        <f>SUMPRODUCT(C$7:C$15,$C$27:$C$35)</f>
        <v>0</v>
      </c>
      <c r="D53" s="21">
        <f>SUMPRODUCT(D$7:D$15,$C$27:$C$35)</f>
        <v>0</v>
      </c>
      <c r="E53" s="21">
        <f>SUMPRODUCT(E$7:E$15,$C$27:$C$35)</f>
        <v>60</v>
      </c>
      <c r="F53" s="17"/>
    </row>
    <row r="55" spans="1:6" ht="21" customHeight="1" x14ac:dyDescent="0.3">
      <c r="A55" s="1" t="s">
        <v>1022</v>
      </c>
    </row>
    <row r="56" spans="1:6" x14ac:dyDescent="0.25">
      <c r="A56" s="2" t="s">
        <v>350</v>
      </c>
    </row>
    <row r="57" spans="1:6" x14ac:dyDescent="0.25">
      <c r="A57" s="32" t="s">
        <v>1023</v>
      </c>
    </row>
    <row r="58" spans="1:6" x14ac:dyDescent="0.25">
      <c r="A58" s="32" t="s">
        <v>1024</v>
      </c>
    </row>
    <row r="59" spans="1:6" x14ac:dyDescent="0.25">
      <c r="A59" s="32" t="s">
        <v>1025</v>
      </c>
    </row>
    <row r="60" spans="1:6" x14ac:dyDescent="0.25">
      <c r="A60" s="2" t="s">
        <v>1026</v>
      </c>
    </row>
    <row r="62" spans="1:6" ht="45" x14ac:dyDescent="0.25">
      <c r="B62" s="15" t="s">
        <v>1006</v>
      </c>
      <c r="C62" s="15" t="s">
        <v>1007</v>
      </c>
      <c r="D62" s="15" t="s">
        <v>1008</v>
      </c>
      <c r="E62" s="15" t="s">
        <v>1009</v>
      </c>
    </row>
    <row r="63" spans="1:6" x14ac:dyDescent="0.25">
      <c r="A63" s="4" t="s">
        <v>1027</v>
      </c>
      <c r="B63" s="37">
        <f>IF(B53,B44/B53/Input!$E58,0)</f>
        <v>1.2890348759666475</v>
      </c>
      <c r="C63" s="37">
        <f>IF(C53,C44/C53/Input!$E58,0)</f>
        <v>0</v>
      </c>
      <c r="D63" s="37">
        <f>IF(D53,D44/D53/Input!$E58,0)</f>
        <v>0</v>
      </c>
      <c r="E63" s="37">
        <f>IF(E53,E44/E53/Input!$E58,0)</f>
        <v>27.836894107362159</v>
      </c>
      <c r="F63" s="17"/>
    </row>
    <row r="65" spans="1:3" ht="21" customHeight="1" x14ac:dyDescent="0.3">
      <c r="A65" s="1" t="s">
        <v>1028</v>
      </c>
    </row>
    <row r="66" spans="1:3" x14ac:dyDescent="0.25">
      <c r="A66" s="2" t="s">
        <v>350</v>
      </c>
    </row>
    <row r="67" spans="1:3" x14ac:dyDescent="0.25">
      <c r="A67" s="32" t="s">
        <v>1016</v>
      </c>
    </row>
    <row r="68" spans="1:3" x14ac:dyDescent="0.25">
      <c r="A68" s="32" t="s">
        <v>1029</v>
      </c>
    </row>
    <row r="69" spans="1:3" x14ac:dyDescent="0.25">
      <c r="A69" s="2" t="s">
        <v>363</v>
      </c>
    </row>
    <row r="71" spans="1:3" ht="45" x14ac:dyDescent="0.25">
      <c r="B71" s="15" t="s">
        <v>1030</v>
      </c>
    </row>
    <row r="72" spans="1:3" x14ac:dyDescent="0.25">
      <c r="A72" s="4" t="s">
        <v>171</v>
      </c>
      <c r="B72" s="37">
        <f t="shared" ref="B72:B80" si="0">SUMPRODUCT($B7:$E7,$B$63:$E$63)</f>
        <v>1.2890348759666475</v>
      </c>
      <c r="C72" s="17"/>
    </row>
    <row r="73" spans="1:3" x14ac:dyDescent="0.25">
      <c r="A73" s="4" t="s">
        <v>172</v>
      </c>
      <c r="B73" s="37">
        <f t="shared" si="0"/>
        <v>1.2890348759666475</v>
      </c>
      <c r="C73" s="17"/>
    </row>
    <row r="74" spans="1:3" x14ac:dyDescent="0.25">
      <c r="A74" s="4" t="s">
        <v>173</v>
      </c>
      <c r="B74" s="37">
        <f t="shared" si="0"/>
        <v>1.2890348759666475</v>
      </c>
      <c r="C74" s="17"/>
    </row>
    <row r="75" spans="1:3" x14ac:dyDescent="0.25">
      <c r="A75" s="4" t="s">
        <v>174</v>
      </c>
      <c r="B75" s="37">
        <f t="shared" si="0"/>
        <v>1.2890348759666475</v>
      </c>
      <c r="C75" s="17"/>
    </row>
    <row r="76" spans="1:3" x14ac:dyDescent="0.25">
      <c r="A76" s="4" t="s">
        <v>175</v>
      </c>
      <c r="B76" s="37">
        <f t="shared" si="0"/>
        <v>0</v>
      </c>
      <c r="C76" s="17"/>
    </row>
    <row r="77" spans="1:3" x14ac:dyDescent="0.25">
      <c r="A77" s="4" t="s">
        <v>176</v>
      </c>
      <c r="B77" s="37">
        <f t="shared" si="0"/>
        <v>0</v>
      </c>
      <c r="C77" s="17"/>
    </row>
    <row r="78" spans="1:3" x14ac:dyDescent="0.25">
      <c r="A78" s="4" t="s">
        <v>192</v>
      </c>
      <c r="B78" s="37">
        <f t="shared" si="0"/>
        <v>27.836894107362159</v>
      </c>
      <c r="C78" s="17"/>
    </row>
    <row r="79" spans="1:3" x14ac:dyDescent="0.25">
      <c r="A79" s="4" t="s">
        <v>177</v>
      </c>
      <c r="B79" s="37">
        <f t="shared" si="0"/>
        <v>1.2890348759666475</v>
      </c>
      <c r="C79" s="17"/>
    </row>
    <row r="80" spans="1:3" x14ac:dyDescent="0.25">
      <c r="A80" s="4" t="s">
        <v>178</v>
      </c>
      <c r="B80" s="37">
        <f t="shared" si="0"/>
        <v>1.2890348759666475</v>
      </c>
      <c r="C80" s="17"/>
    </row>
    <row r="82" spans="1:20" ht="21" customHeight="1" x14ac:dyDescent="0.3">
      <c r="A82" s="1" t="s">
        <v>1031</v>
      </c>
    </row>
    <row r="83" spans="1:20" x14ac:dyDescent="0.25">
      <c r="A83" s="2" t="s">
        <v>350</v>
      </c>
    </row>
    <row r="84" spans="1:20" x14ac:dyDescent="0.25">
      <c r="A84" s="32" t="s">
        <v>1032</v>
      </c>
    </row>
    <row r="85" spans="1:20" x14ac:dyDescent="0.25">
      <c r="A85" s="32" t="s">
        <v>1033</v>
      </c>
    </row>
    <row r="86" spans="1:20" x14ac:dyDescent="0.25">
      <c r="A86" s="2" t="s">
        <v>688</v>
      </c>
    </row>
    <row r="88" spans="1:20" ht="30" x14ac:dyDescent="0.25">
      <c r="B88" s="15" t="s">
        <v>139</v>
      </c>
      <c r="C88" s="15" t="s">
        <v>313</v>
      </c>
      <c r="D88" s="15" t="s">
        <v>314</v>
      </c>
      <c r="E88" s="15" t="s">
        <v>315</v>
      </c>
      <c r="F88" s="15" t="s">
        <v>316</v>
      </c>
      <c r="G88" s="15" t="s">
        <v>317</v>
      </c>
      <c r="H88" s="15" t="s">
        <v>318</v>
      </c>
      <c r="I88" s="15" t="s">
        <v>319</v>
      </c>
      <c r="J88" s="15" t="s">
        <v>320</v>
      </c>
      <c r="K88" s="15" t="s">
        <v>301</v>
      </c>
      <c r="L88" s="15" t="s">
        <v>876</v>
      </c>
      <c r="M88" s="15" t="s">
        <v>877</v>
      </c>
      <c r="N88" s="15" t="s">
        <v>878</v>
      </c>
      <c r="O88" s="15" t="s">
        <v>879</v>
      </c>
      <c r="P88" s="15" t="s">
        <v>880</v>
      </c>
      <c r="Q88" s="15" t="s">
        <v>881</v>
      </c>
      <c r="R88" s="15" t="s">
        <v>882</v>
      </c>
      <c r="S88" s="15" t="s">
        <v>883</v>
      </c>
    </row>
    <row r="89" spans="1:20" x14ac:dyDescent="0.25">
      <c r="A89" s="4" t="s">
        <v>171</v>
      </c>
      <c r="B89" s="37">
        <f>Standing!B$25*$B72</f>
        <v>0</v>
      </c>
      <c r="C89" s="37">
        <f>Standing!C$25*$B72</f>
        <v>0</v>
      </c>
      <c r="D89" s="37">
        <f>Standing!D$25*$B72</f>
        <v>0</v>
      </c>
      <c r="E89" s="37">
        <f>Standing!E$25*$B72</f>
        <v>0</v>
      </c>
      <c r="F89" s="37">
        <f>Standing!F$25*$B72</f>
        <v>0</v>
      </c>
      <c r="G89" s="37">
        <f>Standing!G$25*$B72</f>
        <v>0</v>
      </c>
      <c r="H89" s="37">
        <f>Standing!H$25*$B72</f>
        <v>0</v>
      </c>
      <c r="I89" s="37">
        <f>Standing!I$25*$B72</f>
        <v>0</v>
      </c>
      <c r="J89" s="37">
        <f>Standing!J$25*$B72</f>
        <v>3.6519822693171271E-2</v>
      </c>
      <c r="K89" s="37">
        <f>Standing!K$25*$B72</f>
        <v>0</v>
      </c>
      <c r="L89" s="37">
        <f>Standing!L$25*$B72</f>
        <v>0</v>
      </c>
      <c r="M89" s="37">
        <f>Standing!M$25*$B72</f>
        <v>0</v>
      </c>
      <c r="N89" s="37">
        <f>Standing!N$25*$B72</f>
        <v>0</v>
      </c>
      <c r="O89" s="37">
        <f>Standing!O$25*$B72</f>
        <v>0</v>
      </c>
      <c r="P89" s="37">
        <f>Standing!P$25*$B72</f>
        <v>0</v>
      </c>
      <c r="Q89" s="37">
        <f>Standing!Q$25*$B72</f>
        <v>0</v>
      </c>
      <c r="R89" s="37">
        <f>Standing!R$25*$B72</f>
        <v>0</v>
      </c>
      <c r="S89" s="37">
        <f>Standing!S$25*$B72</f>
        <v>0.44380612943518233</v>
      </c>
      <c r="T89" s="17"/>
    </row>
    <row r="90" spans="1:20" x14ac:dyDescent="0.25">
      <c r="A90" s="4" t="s">
        <v>172</v>
      </c>
      <c r="B90" s="37">
        <f>Standing!B$26*$B73</f>
        <v>0</v>
      </c>
      <c r="C90" s="37">
        <f>Standing!C$26*$B73</f>
        <v>0</v>
      </c>
      <c r="D90" s="37">
        <f>Standing!D$26*$B73</f>
        <v>0</v>
      </c>
      <c r="E90" s="37">
        <f>Standing!E$26*$B73</f>
        <v>0</v>
      </c>
      <c r="F90" s="37">
        <f>Standing!F$26*$B73</f>
        <v>0</v>
      </c>
      <c r="G90" s="37">
        <f>Standing!G$26*$B73</f>
        <v>0</v>
      </c>
      <c r="H90" s="37">
        <f>Standing!H$26*$B73</f>
        <v>0</v>
      </c>
      <c r="I90" s="37">
        <f>Standing!I$26*$B73</f>
        <v>0</v>
      </c>
      <c r="J90" s="37">
        <f>Standing!J$26*$B73</f>
        <v>3.6519822693171271E-2</v>
      </c>
      <c r="K90" s="37">
        <f>Standing!K$26*$B73</f>
        <v>0</v>
      </c>
      <c r="L90" s="37">
        <f>Standing!L$26*$B73</f>
        <v>0</v>
      </c>
      <c r="M90" s="37">
        <f>Standing!M$26*$B73</f>
        <v>0</v>
      </c>
      <c r="N90" s="37">
        <f>Standing!N$26*$B73</f>
        <v>0</v>
      </c>
      <c r="O90" s="37">
        <f>Standing!O$26*$B73</f>
        <v>0</v>
      </c>
      <c r="P90" s="37">
        <f>Standing!P$26*$B73</f>
        <v>0</v>
      </c>
      <c r="Q90" s="37">
        <f>Standing!Q$26*$B73</f>
        <v>0</v>
      </c>
      <c r="R90" s="37">
        <f>Standing!R$26*$B73</f>
        <v>0</v>
      </c>
      <c r="S90" s="37">
        <f>Standing!S$26*$B73</f>
        <v>0.44380612943518233</v>
      </c>
      <c r="T90" s="17"/>
    </row>
    <row r="91" spans="1:20" x14ac:dyDescent="0.25">
      <c r="A91" s="4" t="s">
        <v>173</v>
      </c>
      <c r="B91" s="37">
        <f>Standing!B$28*$B74</f>
        <v>0</v>
      </c>
      <c r="C91" s="37">
        <f>Standing!C$28*$B74</f>
        <v>0</v>
      </c>
      <c r="D91" s="37">
        <f>Standing!D$28*$B74</f>
        <v>0</v>
      </c>
      <c r="E91" s="37">
        <f>Standing!E$28*$B74</f>
        <v>0</v>
      </c>
      <c r="F91" s="37">
        <f>Standing!F$28*$B74</f>
        <v>0</v>
      </c>
      <c r="G91" s="37">
        <f>Standing!G$28*$B74</f>
        <v>0</v>
      </c>
      <c r="H91" s="37">
        <f>Standing!H$28*$B74</f>
        <v>0</v>
      </c>
      <c r="I91" s="37">
        <f>Standing!I$28*$B74</f>
        <v>0</v>
      </c>
      <c r="J91" s="37">
        <f>Standing!J$28*$B74</f>
        <v>3.6519822693171271E-2</v>
      </c>
      <c r="K91" s="37">
        <f>Standing!K$28*$B74</f>
        <v>0</v>
      </c>
      <c r="L91" s="37">
        <f>Standing!L$28*$B74</f>
        <v>0</v>
      </c>
      <c r="M91" s="37">
        <f>Standing!M$28*$B74</f>
        <v>0</v>
      </c>
      <c r="N91" s="37">
        <f>Standing!N$28*$B74</f>
        <v>0</v>
      </c>
      <c r="O91" s="37">
        <f>Standing!O$28*$B74</f>
        <v>0</v>
      </c>
      <c r="P91" s="37">
        <f>Standing!P$28*$B74</f>
        <v>0</v>
      </c>
      <c r="Q91" s="37">
        <f>Standing!Q$28*$B74</f>
        <v>0</v>
      </c>
      <c r="R91" s="37">
        <f>Standing!R$28*$B74</f>
        <v>0</v>
      </c>
      <c r="S91" s="37">
        <f>Standing!S$28*$B74</f>
        <v>0.44380612943518233</v>
      </c>
      <c r="T91" s="17"/>
    </row>
    <row r="92" spans="1:20" x14ac:dyDescent="0.25">
      <c r="A92" s="4" t="s">
        <v>174</v>
      </c>
      <c r="B92" s="37">
        <f>Standing!B$29*$B75</f>
        <v>0</v>
      </c>
      <c r="C92" s="37">
        <f>Standing!C$29*$B75</f>
        <v>0</v>
      </c>
      <c r="D92" s="37">
        <f>Standing!D$29*$B75</f>
        <v>0</v>
      </c>
      <c r="E92" s="37">
        <f>Standing!E$29*$B75</f>
        <v>0</v>
      </c>
      <c r="F92" s="37">
        <f>Standing!F$29*$B75</f>
        <v>0</v>
      </c>
      <c r="G92" s="37">
        <f>Standing!G$29*$B75</f>
        <v>0</v>
      </c>
      <c r="H92" s="37">
        <f>Standing!H$29*$B75</f>
        <v>0</v>
      </c>
      <c r="I92" s="37">
        <f>Standing!I$29*$B75</f>
        <v>0</v>
      </c>
      <c r="J92" s="37">
        <f>Standing!J$29*$B75</f>
        <v>3.6519822693171271E-2</v>
      </c>
      <c r="K92" s="37">
        <f>Standing!K$29*$B75</f>
        <v>0</v>
      </c>
      <c r="L92" s="37">
        <f>Standing!L$29*$B75</f>
        <v>0</v>
      </c>
      <c r="M92" s="37">
        <f>Standing!M$29*$B75</f>
        <v>0</v>
      </c>
      <c r="N92" s="37">
        <f>Standing!N$29*$B75</f>
        <v>0</v>
      </c>
      <c r="O92" s="37">
        <f>Standing!O$29*$B75</f>
        <v>0</v>
      </c>
      <c r="P92" s="37">
        <f>Standing!P$29*$B75</f>
        <v>0</v>
      </c>
      <c r="Q92" s="37">
        <f>Standing!Q$29*$B75</f>
        <v>0</v>
      </c>
      <c r="R92" s="37">
        <f>Standing!R$29*$B75</f>
        <v>0</v>
      </c>
      <c r="S92" s="37">
        <f>Standing!S$29*$B75</f>
        <v>0.44380612943518233</v>
      </c>
      <c r="T92" s="17"/>
    </row>
    <row r="93" spans="1:20" x14ac:dyDescent="0.25">
      <c r="A93" s="4" t="s">
        <v>175</v>
      </c>
      <c r="B93" s="37">
        <f>Standing!B$31*$B76</f>
        <v>0</v>
      </c>
      <c r="C93" s="37">
        <f>Standing!C$31*$B76</f>
        <v>0</v>
      </c>
      <c r="D93" s="37">
        <f>Standing!D$31*$B76</f>
        <v>0</v>
      </c>
      <c r="E93" s="37">
        <f>Standing!E$31*$B76</f>
        <v>0</v>
      </c>
      <c r="F93" s="37">
        <f>Standing!F$31*$B76</f>
        <v>0</v>
      </c>
      <c r="G93" s="37">
        <f>Standing!G$31*$B76</f>
        <v>0</v>
      </c>
      <c r="H93" s="37">
        <f>Standing!H$31*$B76</f>
        <v>0</v>
      </c>
      <c r="I93" s="37">
        <f>Standing!I$31*$B76</f>
        <v>0</v>
      </c>
      <c r="J93" s="37">
        <f>Standing!J$31*$B76</f>
        <v>0</v>
      </c>
      <c r="K93" s="37">
        <f>Standing!K$31*$B76</f>
        <v>0</v>
      </c>
      <c r="L93" s="37">
        <f>Standing!L$31*$B76</f>
        <v>0</v>
      </c>
      <c r="M93" s="37">
        <f>Standing!M$31*$B76</f>
        <v>0</v>
      </c>
      <c r="N93" s="37">
        <f>Standing!N$31*$B76</f>
        <v>0</v>
      </c>
      <c r="O93" s="37">
        <f>Standing!O$31*$B76</f>
        <v>0</v>
      </c>
      <c r="P93" s="37">
        <f>Standing!P$31*$B76</f>
        <v>0</v>
      </c>
      <c r="Q93" s="37">
        <f>Standing!Q$31*$B76</f>
        <v>0</v>
      </c>
      <c r="R93" s="37">
        <f>Standing!R$31*$B76</f>
        <v>0</v>
      </c>
      <c r="S93" s="37">
        <f>Standing!S$31*$B76</f>
        <v>0</v>
      </c>
      <c r="T93" s="17"/>
    </row>
    <row r="94" spans="1:20" x14ac:dyDescent="0.25">
      <c r="A94" s="4" t="s">
        <v>176</v>
      </c>
      <c r="B94" s="37">
        <f>Standing!B$32*$B77</f>
        <v>0</v>
      </c>
      <c r="C94" s="37">
        <f>Standing!C$32*$B77</f>
        <v>0</v>
      </c>
      <c r="D94" s="37">
        <f>Standing!D$32*$B77</f>
        <v>0</v>
      </c>
      <c r="E94" s="37">
        <f>Standing!E$32*$B77</f>
        <v>0</v>
      </c>
      <c r="F94" s="37">
        <f>Standing!F$32*$B77</f>
        <v>0</v>
      </c>
      <c r="G94" s="37">
        <f>Standing!G$32*$B77</f>
        <v>0</v>
      </c>
      <c r="H94" s="37">
        <f>Standing!H$32*$B77</f>
        <v>0</v>
      </c>
      <c r="I94" s="37">
        <f>Standing!I$32*$B77</f>
        <v>0</v>
      </c>
      <c r="J94" s="37">
        <f>Standing!J$32*$B77</f>
        <v>0</v>
      </c>
      <c r="K94" s="37">
        <f>Standing!K$32*$B77</f>
        <v>0</v>
      </c>
      <c r="L94" s="37">
        <f>Standing!L$32*$B77</f>
        <v>0</v>
      </c>
      <c r="M94" s="37">
        <f>Standing!M$32*$B77</f>
        <v>0</v>
      </c>
      <c r="N94" s="37">
        <f>Standing!N$32*$B77</f>
        <v>0</v>
      </c>
      <c r="O94" s="37">
        <f>Standing!O$32*$B77</f>
        <v>0</v>
      </c>
      <c r="P94" s="37">
        <f>Standing!P$32*$B77</f>
        <v>0</v>
      </c>
      <c r="Q94" s="37">
        <f>Standing!Q$32*$B77</f>
        <v>0</v>
      </c>
      <c r="R94" s="37">
        <f>Standing!R$32*$B77</f>
        <v>0</v>
      </c>
      <c r="S94" s="37">
        <f>Standing!S$32*$B77</f>
        <v>0</v>
      </c>
      <c r="T94" s="17"/>
    </row>
    <row r="95" spans="1:20" x14ac:dyDescent="0.25">
      <c r="A95" s="4" t="s">
        <v>192</v>
      </c>
      <c r="B95" s="37">
        <f>Standing!B$33*$B78</f>
        <v>0</v>
      </c>
      <c r="C95" s="37">
        <f>Standing!C$33*$B78</f>
        <v>0</v>
      </c>
      <c r="D95" s="37">
        <f>Standing!D$33*$B78</f>
        <v>0</v>
      </c>
      <c r="E95" s="37">
        <f>Standing!E$33*$B78</f>
        <v>12.838337793822387</v>
      </c>
      <c r="F95" s="37">
        <f>Standing!F$33*$B78</f>
        <v>17.411704246436585</v>
      </c>
      <c r="G95" s="37">
        <f>Standing!G$33*$B78</f>
        <v>0</v>
      </c>
      <c r="H95" s="37">
        <f>Standing!H$33*$B78</f>
        <v>5.0674762190067764</v>
      </c>
      <c r="I95" s="37">
        <f>Standing!I$33*$B78</f>
        <v>0</v>
      </c>
      <c r="J95" s="37">
        <f>Standing!J$33*$B78</f>
        <v>0</v>
      </c>
      <c r="K95" s="37">
        <f>Standing!K$33*$B78</f>
        <v>0</v>
      </c>
      <c r="L95" s="37">
        <f>Standing!L$33*$B78</f>
        <v>0</v>
      </c>
      <c r="M95" s="37">
        <f>Standing!M$33*$B78</f>
        <v>0</v>
      </c>
      <c r="N95" s="37">
        <f>Standing!N$33*$B78</f>
        <v>4.680526287760264</v>
      </c>
      <c r="O95" s="37">
        <f>Standing!O$33*$B78</f>
        <v>14.762459408856902</v>
      </c>
      <c r="P95" s="37">
        <f>Standing!P$33*$B78</f>
        <v>0</v>
      </c>
      <c r="Q95" s="37">
        <f>Standing!Q$33*$B78</f>
        <v>20.527454597808152</v>
      </c>
      <c r="R95" s="37">
        <f>Standing!R$33*$B78</f>
        <v>0</v>
      </c>
      <c r="S95" s="37">
        <f>Standing!S$33*$B78</f>
        <v>0</v>
      </c>
      <c r="T95" s="17"/>
    </row>
    <row r="96" spans="1:20" x14ac:dyDescent="0.25">
      <c r="A96" s="4" t="s">
        <v>177</v>
      </c>
      <c r="B96" s="37">
        <f>Standing!B$34*$B79</f>
        <v>0</v>
      </c>
      <c r="C96" s="37">
        <f>Standing!C$34*$B79</f>
        <v>0</v>
      </c>
      <c r="D96" s="37">
        <f>Standing!D$34*$B79</f>
        <v>0</v>
      </c>
      <c r="E96" s="37">
        <f>Standing!E$34*$B79</f>
        <v>0</v>
      </c>
      <c r="F96" s="37">
        <f>Standing!F$34*$B79</f>
        <v>0</v>
      </c>
      <c r="G96" s="37">
        <f>Standing!G$34*$B79</f>
        <v>0</v>
      </c>
      <c r="H96" s="37">
        <f>Standing!H$34*$B79</f>
        <v>0</v>
      </c>
      <c r="I96" s="37">
        <f>Standing!I$34*$B79</f>
        <v>0</v>
      </c>
      <c r="J96" s="37">
        <f>Standing!J$34*$B79</f>
        <v>3.6519822693171271E-2</v>
      </c>
      <c r="K96" s="37">
        <f>Standing!K$34*$B79</f>
        <v>0</v>
      </c>
      <c r="L96" s="37">
        <f>Standing!L$34*$B79</f>
        <v>0</v>
      </c>
      <c r="M96" s="37">
        <f>Standing!M$34*$B79</f>
        <v>0</v>
      </c>
      <c r="N96" s="37">
        <f>Standing!N$34*$B79</f>
        <v>0</v>
      </c>
      <c r="O96" s="37">
        <f>Standing!O$34*$B79</f>
        <v>0</v>
      </c>
      <c r="P96" s="37">
        <f>Standing!P$34*$B79</f>
        <v>0</v>
      </c>
      <c r="Q96" s="37">
        <f>Standing!Q$34*$B79</f>
        <v>0</v>
      </c>
      <c r="R96" s="37">
        <f>Standing!R$34*$B79</f>
        <v>0</v>
      </c>
      <c r="S96" s="37">
        <f>Standing!S$34*$B79</f>
        <v>0.44380612943518233</v>
      </c>
      <c r="T96" s="17"/>
    </row>
    <row r="97" spans="1:20" x14ac:dyDescent="0.25">
      <c r="A97" s="4" t="s">
        <v>178</v>
      </c>
      <c r="B97" s="37">
        <f>Standing!B$35*$B80</f>
        <v>0</v>
      </c>
      <c r="C97" s="37">
        <f>Standing!C$35*$B80</f>
        <v>0</v>
      </c>
      <c r="D97" s="37">
        <f>Standing!D$35*$B80</f>
        <v>0</v>
      </c>
      <c r="E97" s="37">
        <f>Standing!E$35*$B80</f>
        <v>0</v>
      </c>
      <c r="F97" s="37">
        <f>Standing!F$35*$B80</f>
        <v>0</v>
      </c>
      <c r="G97" s="37">
        <f>Standing!G$35*$B80</f>
        <v>0</v>
      </c>
      <c r="H97" s="37">
        <f>Standing!H$35*$B80</f>
        <v>0</v>
      </c>
      <c r="I97" s="37">
        <f>Standing!I$35*$B80</f>
        <v>0</v>
      </c>
      <c r="J97" s="37">
        <f>Standing!J$35*$B80</f>
        <v>3.6519822693171271E-2</v>
      </c>
      <c r="K97" s="37">
        <f>Standing!K$35*$B80</f>
        <v>0</v>
      </c>
      <c r="L97" s="37">
        <f>Standing!L$35*$B80</f>
        <v>0</v>
      </c>
      <c r="M97" s="37">
        <f>Standing!M$35*$B80</f>
        <v>0</v>
      </c>
      <c r="N97" s="37">
        <f>Standing!N$35*$B80</f>
        <v>0</v>
      </c>
      <c r="O97" s="37">
        <f>Standing!O$35*$B80</f>
        <v>0</v>
      </c>
      <c r="P97" s="37">
        <f>Standing!P$35*$B80</f>
        <v>0</v>
      </c>
      <c r="Q97" s="37">
        <f>Standing!Q$35*$B80</f>
        <v>0</v>
      </c>
      <c r="R97" s="37">
        <f>Standing!R$35*$B80</f>
        <v>0</v>
      </c>
      <c r="S97" s="37">
        <f>Standing!S$35*$B80</f>
        <v>0.44380612943518233</v>
      </c>
      <c r="T97" s="17"/>
    </row>
  </sheetData>
  <sheetProtection sheet="1" objects="1" scenarios="1"/>
  <hyperlinks>
    <hyperlink ref="A19" location="'Multi'!B118" display="x1 = 2407. All units (MWh)"/>
    <hyperlink ref="A20" location="'Input'!C164" display="x2 = 1041. Load factor for each type of demand user (in Load profile data for demand users)"/>
    <hyperlink ref="A21" location="'Input'!F57" display="x3 = 1010. Days in the charging year (in Financial and general assumptions)"/>
    <hyperlink ref="A22" location="'Loads'!E301" display="x4 = 2305. MPANs (in Equivalent volume for each end user)"/>
    <hyperlink ref="A39" location="'AggCap'!B6" display="x1 = 3101. Mapping of tariffs to tariff groups"/>
    <hyperlink ref="A40" location="'AggCap'!B26" display="x2 = 3102. Unit-based contributions to aggregate maximum load (kW) (in Capacity use for tariffs charged for capacity on an exit point basis)"/>
    <hyperlink ref="A48" location="'AggCap'!B6" display="x1 = 3101. Mapping of tariffs to tariff groups"/>
    <hyperlink ref="A49" location="'AggCap'!C26" display="x2 = 3102. MPANs (in Equivalent volume for each end user) (in Capacity use for tariffs charged for capacity on an exit point basis)"/>
    <hyperlink ref="A57" location="'AggCap'!B52" display="x1 = 3104. Aggregate number of users charged for capacity on an exit point basis"/>
    <hyperlink ref="A58" location="'AggCap'!B43" display="x2 = 3103. Aggregate capacity (kW)"/>
    <hyperlink ref="A59" location="'Input'!E57" display="x3 = 1010. Power factor for all flows in the network model (in Financial and general assumptions)"/>
    <hyperlink ref="A67" location="'AggCap'!B6" display="x1 = 3101. Mapping of tariffs to tariff groups"/>
    <hyperlink ref="A68" location="'AggCap'!B62" display="x2 = 3105. Average maximum kVA by exit point"/>
    <hyperlink ref="A84" location="'Standing'!B24" display="x1 = 3002. Capacity elements p/kVA/day"/>
    <hyperlink ref="A85" location="'AggCap'!B71" display="x2 = 3106. Deemed average maximum kVA for each tariff"/>
  </hyperlinks>
  <pageMargins left="0.7" right="0.7" top="0.75" bottom="0.75" header="0.3" footer="0.3"/>
  <pageSetup paperSize="9" fitToHeight="0" orientation="landscape"/>
  <headerFooter>
    <oddHeader>&amp;L&amp;A&amp;C&amp;R&amp;P of &amp;N</oddHeader>
    <oddFooter>&amp;F</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82"/>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x14ac:dyDescent="0.25"/>
  <cols>
    <col min="1" max="1" width="50.7109375" customWidth="1"/>
    <col min="2" max="251" width="16.7109375" customWidth="1"/>
  </cols>
  <sheetData>
    <row r="1" spans="1:11" ht="21" customHeight="1" x14ac:dyDescent="0.3">
      <c r="A1" s="1" t="str">
        <f>"Reactive power unit charges for "&amp;Input!B7&amp;" in "&amp;Input!C7&amp;" ("&amp;Input!D7&amp;")"</f>
        <v>Reactive power unit charges for Electricity North West in 2017/2018 (December 2015)</v>
      </c>
    </row>
    <row r="3" spans="1:11" ht="21" customHeight="1" x14ac:dyDescent="0.3">
      <c r="A3" s="1" t="s">
        <v>1034</v>
      </c>
    </row>
    <row r="4" spans="1:11" x14ac:dyDescent="0.25">
      <c r="A4" s="2" t="s">
        <v>1035</v>
      </c>
    </row>
    <row r="5" spans="1:11" x14ac:dyDescent="0.25">
      <c r="A5" s="2" t="s">
        <v>1036</v>
      </c>
    </row>
    <row r="7" spans="1:11" x14ac:dyDescent="0.25">
      <c r="B7" s="15" t="s">
        <v>139</v>
      </c>
      <c r="C7" s="15" t="s">
        <v>140</v>
      </c>
      <c r="D7" s="15" t="s">
        <v>141</v>
      </c>
      <c r="E7" s="15" t="s">
        <v>142</v>
      </c>
      <c r="F7" s="15" t="s">
        <v>143</v>
      </c>
      <c r="G7" s="15" t="s">
        <v>148</v>
      </c>
      <c r="H7" s="15" t="s">
        <v>144</v>
      </c>
      <c r="I7" s="15" t="s">
        <v>145</v>
      </c>
      <c r="J7" s="15" t="s">
        <v>146</v>
      </c>
    </row>
    <row r="8" spans="1:11" x14ac:dyDescent="0.25">
      <c r="A8" s="4" t="s">
        <v>183</v>
      </c>
      <c r="B8" s="36">
        <v>1</v>
      </c>
      <c r="C8" s="36">
        <v>1</v>
      </c>
      <c r="D8" s="36">
        <v>1</v>
      </c>
      <c r="E8" s="36">
        <v>1</v>
      </c>
      <c r="F8" s="36">
        <v>1</v>
      </c>
      <c r="G8" s="36">
        <v>1</v>
      </c>
      <c r="H8" s="36">
        <v>1</v>
      </c>
      <c r="I8" s="36">
        <v>1</v>
      </c>
      <c r="J8" s="36">
        <v>1</v>
      </c>
      <c r="K8" s="17"/>
    </row>
    <row r="9" spans="1:11" x14ac:dyDescent="0.25">
      <c r="A9" s="4" t="s">
        <v>184</v>
      </c>
      <c r="B9" s="36">
        <v>1</v>
      </c>
      <c r="C9" s="36">
        <v>1</v>
      </c>
      <c r="D9" s="36">
        <v>1</v>
      </c>
      <c r="E9" s="36">
        <v>1</v>
      </c>
      <c r="F9" s="36">
        <v>1</v>
      </c>
      <c r="G9" s="36">
        <v>1</v>
      </c>
      <c r="H9" s="36">
        <v>1</v>
      </c>
      <c r="I9" s="36">
        <v>1</v>
      </c>
      <c r="J9" s="36">
        <v>1</v>
      </c>
      <c r="K9" s="17"/>
    </row>
    <row r="10" spans="1:11" x14ac:dyDescent="0.25">
      <c r="A10" s="4" t="s">
        <v>185</v>
      </c>
      <c r="B10" s="36">
        <v>1</v>
      </c>
      <c r="C10" s="36">
        <v>1</v>
      </c>
      <c r="D10" s="36">
        <v>1</v>
      </c>
      <c r="E10" s="36">
        <v>1</v>
      </c>
      <c r="F10" s="36">
        <v>1</v>
      </c>
      <c r="G10" s="36">
        <v>1</v>
      </c>
      <c r="H10" s="36">
        <v>1</v>
      </c>
      <c r="I10" s="36">
        <v>1</v>
      </c>
      <c r="J10" s="36">
        <v>0</v>
      </c>
      <c r="K10" s="17"/>
    </row>
    <row r="11" spans="1:11" x14ac:dyDescent="0.25">
      <c r="A11" s="4" t="s">
        <v>186</v>
      </c>
      <c r="B11" s="36">
        <v>1</v>
      </c>
      <c r="C11" s="36">
        <v>1</v>
      </c>
      <c r="D11" s="36">
        <v>1</v>
      </c>
      <c r="E11" s="36">
        <v>1</v>
      </c>
      <c r="F11" s="36">
        <v>1</v>
      </c>
      <c r="G11" s="36">
        <v>1</v>
      </c>
      <c r="H11" s="36">
        <v>1</v>
      </c>
      <c r="I11" s="36">
        <v>1</v>
      </c>
      <c r="J11" s="36">
        <v>0</v>
      </c>
      <c r="K11" s="17"/>
    </row>
    <row r="12" spans="1:11" x14ac:dyDescent="0.25">
      <c r="A12" s="4" t="s">
        <v>194</v>
      </c>
      <c r="B12" s="36">
        <v>1</v>
      </c>
      <c r="C12" s="36">
        <v>1</v>
      </c>
      <c r="D12" s="36">
        <v>1</v>
      </c>
      <c r="E12" s="36">
        <v>1</v>
      </c>
      <c r="F12" s="36">
        <v>1</v>
      </c>
      <c r="G12" s="36">
        <v>1</v>
      </c>
      <c r="H12" s="36">
        <v>1</v>
      </c>
      <c r="I12" s="36">
        <v>0</v>
      </c>
      <c r="J12" s="36">
        <v>0</v>
      </c>
      <c r="K12" s="17"/>
    </row>
    <row r="13" spans="1:11" x14ac:dyDescent="0.25">
      <c r="A13" s="4" t="s">
        <v>195</v>
      </c>
      <c r="B13" s="36">
        <v>1</v>
      </c>
      <c r="C13" s="36">
        <v>1</v>
      </c>
      <c r="D13" s="36">
        <v>1</v>
      </c>
      <c r="E13" s="36">
        <v>1</v>
      </c>
      <c r="F13" s="36">
        <v>1</v>
      </c>
      <c r="G13" s="36">
        <v>1</v>
      </c>
      <c r="H13" s="36">
        <v>1</v>
      </c>
      <c r="I13" s="36">
        <v>0</v>
      </c>
      <c r="J13" s="36">
        <v>0</v>
      </c>
      <c r="K13" s="17"/>
    </row>
    <row r="15" spans="1:11" ht="21" customHeight="1" x14ac:dyDescent="0.3">
      <c r="A15" s="1" t="s">
        <v>1037</v>
      </c>
    </row>
    <row r="16" spans="1:11" x14ac:dyDescent="0.25">
      <c r="A16" s="2" t="s">
        <v>350</v>
      </c>
    </row>
    <row r="17" spans="1:20" x14ac:dyDescent="0.25">
      <c r="A17" s="32" t="s">
        <v>1038</v>
      </c>
    </row>
    <row r="18" spans="1:20" x14ac:dyDescent="0.25">
      <c r="A18" s="2" t="s">
        <v>1039</v>
      </c>
    </row>
    <row r="20" spans="1:20" ht="30" x14ac:dyDescent="0.25">
      <c r="B20" s="15" t="s">
        <v>139</v>
      </c>
      <c r="C20" s="15" t="s">
        <v>313</v>
      </c>
      <c r="D20" s="15" t="s">
        <v>314</v>
      </c>
      <c r="E20" s="15" t="s">
        <v>315</v>
      </c>
      <c r="F20" s="15" t="s">
        <v>316</v>
      </c>
      <c r="G20" s="15" t="s">
        <v>317</v>
      </c>
      <c r="H20" s="15" t="s">
        <v>318</v>
      </c>
      <c r="I20" s="15" t="s">
        <v>319</v>
      </c>
      <c r="J20" s="15" t="s">
        <v>320</v>
      </c>
      <c r="K20" s="15" t="s">
        <v>301</v>
      </c>
      <c r="L20" s="15" t="s">
        <v>876</v>
      </c>
      <c r="M20" s="15" t="s">
        <v>877</v>
      </c>
      <c r="N20" s="15" t="s">
        <v>878</v>
      </c>
      <c r="O20" s="15" t="s">
        <v>879</v>
      </c>
      <c r="P20" s="15" t="s">
        <v>880</v>
      </c>
      <c r="Q20" s="15" t="s">
        <v>881</v>
      </c>
      <c r="R20" s="15" t="s">
        <v>882</v>
      </c>
      <c r="S20" s="15" t="s">
        <v>883</v>
      </c>
    </row>
    <row r="21" spans="1:20" x14ac:dyDescent="0.25">
      <c r="A21" s="4" t="s">
        <v>179</v>
      </c>
      <c r="B21" s="37">
        <f>ABS(Standing!B$63)</f>
        <v>0</v>
      </c>
      <c r="C21" s="37">
        <f>ABS(Standing!C$63)</f>
        <v>0.19312762237114434</v>
      </c>
      <c r="D21" s="37">
        <f>ABS(Standing!D$63)</f>
        <v>7.6392670438357443E-2</v>
      </c>
      <c r="E21" s="37">
        <f>ABS(Standing!E$63)</f>
        <v>0.19289665765684641</v>
      </c>
      <c r="F21" s="37">
        <f>ABS(Standing!F$63)</f>
        <v>0.12167986690770254</v>
      </c>
      <c r="G21" s="37">
        <f>ABS(Standing!G$63)</f>
        <v>0</v>
      </c>
      <c r="H21" s="37">
        <f>ABS(Standing!H$63)</f>
        <v>0.1237081700575655</v>
      </c>
      <c r="I21" s="37">
        <f>ABS(Standing!I$63)</f>
        <v>0</v>
      </c>
      <c r="J21" s="37">
        <f>ABS(Standing!J$63)</f>
        <v>0</v>
      </c>
      <c r="K21" s="37">
        <f>ABS(Standing!K$63)</f>
        <v>9.2559480574474953E-2</v>
      </c>
      <c r="L21" s="37">
        <f>ABS(Standing!L$63)</f>
        <v>7.0409341763521774E-2</v>
      </c>
      <c r="M21" s="37">
        <f>ABS(Standing!M$63)</f>
        <v>2.7850794076394375E-2</v>
      </c>
      <c r="N21" s="37">
        <f>ABS(Standing!N$63)</f>
        <v>7.0325137995543588E-2</v>
      </c>
      <c r="O21" s="37">
        <f>ABS(Standing!O$63)</f>
        <v>4.4361335937641348E-2</v>
      </c>
      <c r="P21" s="37">
        <f>ABS(Standing!P$63)</f>
        <v>0</v>
      </c>
      <c r="Q21" s="37">
        <f>ABS(Standing!Q$63)</f>
        <v>6.4429718379872242E-2</v>
      </c>
      <c r="R21" s="37">
        <f>ABS(Standing!R$63)</f>
        <v>0</v>
      </c>
      <c r="S21" s="37">
        <f>ABS(Standing!S$63)</f>
        <v>0</v>
      </c>
      <c r="T21" s="17"/>
    </row>
    <row r="22" spans="1:20" x14ac:dyDescent="0.25">
      <c r="A22" s="4" t="s">
        <v>180</v>
      </c>
      <c r="B22" s="37">
        <f>ABS(Standing!B$64)</f>
        <v>0</v>
      </c>
      <c r="C22" s="37">
        <f>ABS(Standing!C$64)</f>
        <v>0.17636948197141505</v>
      </c>
      <c r="D22" s="37">
        <f>ABS(Standing!D$64)</f>
        <v>6.9763897811229006E-2</v>
      </c>
      <c r="E22" s="37">
        <f>ABS(Standing!E$64)</f>
        <v>0.17615855861144064</v>
      </c>
      <c r="F22" s="37">
        <f>ABS(Standing!F$64)</f>
        <v>0.11112141717159521</v>
      </c>
      <c r="G22" s="37">
        <f>ABS(Standing!G$64)</f>
        <v>0</v>
      </c>
      <c r="H22" s="37">
        <f>ABS(Standing!H$64)</f>
        <v>0</v>
      </c>
      <c r="I22" s="37">
        <f>ABS(Standing!I$64)</f>
        <v>0</v>
      </c>
      <c r="J22" s="37">
        <f>ABS(Standing!J$64)</f>
        <v>0</v>
      </c>
      <c r="K22" s="37">
        <f>ABS(Standing!K$64)</f>
        <v>8.4527875609069339E-2</v>
      </c>
      <c r="L22" s="37">
        <f>ABS(Standing!L$64)</f>
        <v>6.4299756711736281E-2</v>
      </c>
      <c r="M22" s="37">
        <f>ABS(Standing!M$64)</f>
        <v>2.5434114827481827E-2</v>
      </c>
      <c r="N22" s="37">
        <f>ABS(Standing!N$64)</f>
        <v>6.4222859503786311E-2</v>
      </c>
      <c r="O22" s="37">
        <f>ABS(Standing!O$64)</f>
        <v>4.0511997935986213E-2</v>
      </c>
      <c r="P22" s="37">
        <f>ABS(Standing!P$64)</f>
        <v>0</v>
      </c>
      <c r="Q22" s="37">
        <f>ABS(Standing!Q$64)</f>
        <v>0</v>
      </c>
      <c r="R22" s="37">
        <f>ABS(Standing!R$64)</f>
        <v>0</v>
      </c>
      <c r="S22" s="37">
        <f>ABS(Standing!S$64)</f>
        <v>0</v>
      </c>
      <c r="T22" s="17"/>
    </row>
    <row r="23" spans="1:20" x14ac:dyDescent="0.25">
      <c r="A23" s="4" t="s">
        <v>193</v>
      </c>
      <c r="B23" s="37">
        <f>ABS(Standing!B$65)</f>
        <v>0</v>
      </c>
      <c r="C23" s="37">
        <f>ABS(Standing!C$65)</f>
        <v>0.14907430744946937</v>
      </c>
      <c r="D23" s="37">
        <f>ABS(Standing!D$65)</f>
        <v>5.8967144626926392E-2</v>
      </c>
      <c r="E23" s="37">
        <f>ABS(Standing!E$65)</f>
        <v>0.11911682149433747</v>
      </c>
      <c r="F23" s="37">
        <f>ABS(Standing!F$65)</f>
        <v>0</v>
      </c>
      <c r="G23" s="37">
        <f>ABS(Standing!G$65)</f>
        <v>0</v>
      </c>
      <c r="H23" s="37">
        <f>ABS(Standing!H$65)</f>
        <v>0</v>
      </c>
      <c r="I23" s="37">
        <f>ABS(Standing!I$65)</f>
        <v>0</v>
      </c>
      <c r="J23" s="37">
        <f>ABS(Standing!J$65)</f>
        <v>0</v>
      </c>
      <c r="K23" s="37">
        <f>ABS(Standing!K$65)</f>
        <v>7.144622967503636E-2</v>
      </c>
      <c r="L23" s="37">
        <f>ABS(Standing!L$65)</f>
        <v>5.4348641237858875E-2</v>
      </c>
      <c r="M23" s="37">
        <f>ABS(Standing!M$65)</f>
        <v>2.1497897545061963E-2</v>
      </c>
      <c r="N23" s="37">
        <f>ABS(Standing!N$65)</f>
        <v>4.3426915794891149E-2</v>
      </c>
      <c r="O23" s="37">
        <f>ABS(Standing!O$65)</f>
        <v>0</v>
      </c>
      <c r="P23" s="37">
        <f>ABS(Standing!P$65)</f>
        <v>0</v>
      </c>
      <c r="Q23" s="37">
        <f>ABS(Standing!Q$65)</f>
        <v>0</v>
      </c>
      <c r="R23" s="37">
        <f>ABS(Standing!R$65)</f>
        <v>0</v>
      </c>
      <c r="S23" s="37">
        <f>ABS(Standing!S$65)</f>
        <v>0</v>
      </c>
      <c r="T23" s="17"/>
    </row>
    <row r="25" spans="1:20" ht="21" customHeight="1" x14ac:dyDescent="0.3">
      <c r="A25" s="1" t="s">
        <v>1040</v>
      </c>
    </row>
    <row r="26" spans="1:20" x14ac:dyDescent="0.25">
      <c r="A26" s="2" t="s">
        <v>350</v>
      </c>
    </row>
    <row r="27" spans="1:20" x14ac:dyDescent="0.25">
      <c r="A27" s="32" t="s">
        <v>1041</v>
      </c>
    </row>
    <row r="28" spans="1:20" x14ac:dyDescent="0.25">
      <c r="A28" s="32" t="s">
        <v>1042</v>
      </c>
    </row>
    <row r="29" spans="1:20" x14ac:dyDescent="0.25">
      <c r="A29" s="32" t="s">
        <v>1025</v>
      </c>
    </row>
    <row r="30" spans="1:20" x14ac:dyDescent="0.25">
      <c r="A30" s="2" t="s">
        <v>693</v>
      </c>
    </row>
    <row r="32" spans="1:20" ht="30" x14ac:dyDescent="0.25">
      <c r="B32" s="15" t="s">
        <v>139</v>
      </c>
      <c r="C32" s="15" t="s">
        <v>313</v>
      </c>
      <c r="D32" s="15" t="s">
        <v>314</v>
      </c>
      <c r="E32" s="15" t="s">
        <v>315</v>
      </c>
      <c r="F32" s="15" t="s">
        <v>316</v>
      </c>
      <c r="G32" s="15" t="s">
        <v>317</v>
      </c>
      <c r="H32" s="15" t="s">
        <v>318</v>
      </c>
      <c r="I32" s="15" t="s">
        <v>319</v>
      </c>
      <c r="J32" s="15" t="s">
        <v>320</v>
      </c>
      <c r="K32" s="15" t="s">
        <v>301</v>
      </c>
      <c r="L32" s="15" t="s">
        <v>876</v>
      </c>
      <c r="M32" s="15" t="s">
        <v>877</v>
      </c>
      <c r="N32" s="15" t="s">
        <v>878</v>
      </c>
      <c r="O32" s="15" t="s">
        <v>879</v>
      </c>
      <c r="P32" s="15" t="s">
        <v>880</v>
      </c>
      <c r="Q32" s="15" t="s">
        <v>881</v>
      </c>
      <c r="R32" s="15" t="s">
        <v>882</v>
      </c>
      <c r="S32" s="15" t="s">
        <v>883</v>
      </c>
    </row>
    <row r="33" spans="1:20" x14ac:dyDescent="0.25">
      <c r="A33" s="4" t="s">
        <v>179</v>
      </c>
      <c r="B33" s="37">
        <f>B21*Input!B$375*Input!$E$58</f>
        <v>0</v>
      </c>
      <c r="C33" s="37">
        <f>C21*Input!C$375*Input!$E$58</f>
        <v>3.3843257185408246E-2</v>
      </c>
      <c r="D33" s="37">
        <f>D21*Input!D$375*Input!$E$58</f>
        <v>1.457458679431268E-2</v>
      </c>
      <c r="E33" s="37">
        <f>E21*Input!E$375*Input!$E$58</f>
        <v>3.6801817022761175E-2</v>
      </c>
      <c r="F33" s="37">
        <f>F21*Input!F$375*Input!$E$58</f>
        <v>2.3737899011359566E-2</v>
      </c>
      <c r="G33" s="37">
        <f>G21*Input!G$375*Input!$E$58</f>
        <v>0</v>
      </c>
      <c r="H33" s="37">
        <f>H21*Input!H$375*Input!$E$58</f>
        <v>2.4133590234233691E-2</v>
      </c>
      <c r="I33" s="37">
        <f>I21*Input!I$375*Input!$E$58</f>
        <v>0</v>
      </c>
      <c r="J33" s="37">
        <f>J21*Input!J$375*Input!$E$58</f>
        <v>0</v>
      </c>
      <c r="K33" s="37">
        <f>K21*Input!B$375*Input!$E$58</f>
        <v>1.6219918557324877E-2</v>
      </c>
      <c r="L33" s="37">
        <f>L21*Input!C$375*Input!$E$58</f>
        <v>1.2338377246621172E-2</v>
      </c>
      <c r="M33" s="37">
        <f>M21*Input!D$375*Input!$E$58</f>
        <v>5.3135178182372629E-3</v>
      </c>
      <c r="N33" s="37">
        <f>N21*Input!E$375*Input!$E$58</f>
        <v>1.341699173044519E-2</v>
      </c>
      <c r="O33" s="37">
        <f>O21*Input!F$375*Input!$E$58</f>
        <v>8.6542247231046789E-3</v>
      </c>
      <c r="P33" s="37">
        <f>P21*Input!G$375*Input!$E$58</f>
        <v>0</v>
      </c>
      <c r="Q33" s="37">
        <f>Q21*Input!H$375*Input!$E$58</f>
        <v>1.2569262172121339E-2</v>
      </c>
      <c r="R33" s="37">
        <f>R21*Input!I$375*Input!$E$58</f>
        <v>0</v>
      </c>
      <c r="S33" s="37">
        <f>S21*Input!J$375*Input!$E$58</f>
        <v>0</v>
      </c>
      <c r="T33" s="17"/>
    </row>
    <row r="34" spans="1:20" x14ac:dyDescent="0.25">
      <c r="A34" s="4" t="s">
        <v>180</v>
      </c>
      <c r="B34" s="37">
        <f>B22*Input!B$375*Input!$E$58</f>
        <v>0</v>
      </c>
      <c r="C34" s="37">
        <f>C22*Input!C$375*Input!$E$58</f>
        <v>3.0906597744702797E-2</v>
      </c>
      <c r="D34" s="37">
        <f>D22*Input!D$375*Input!$E$58</f>
        <v>1.3309915439855907E-2</v>
      </c>
      <c r="E34" s="37">
        <f>E22*Input!E$375*Input!$E$58</f>
        <v>3.3608436350123005E-2</v>
      </c>
      <c r="F34" s="37">
        <f>F22*Input!F$375*Input!$E$58</f>
        <v>2.1678105391250289E-2</v>
      </c>
      <c r="G34" s="37">
        <f>G22*Input!G$375*Input!$E$58</f>
        <v>0</v>
      </c>
      <c r="H34" s="37">
        <f>H22*Input!H$375*Input!$E$58</f>
        <v>0</v>
      </c>
      <c r="I34" s="37">
        <f>I22*Input!I$375*Input!$E$58</f>
        <v>0</v>
      </c>
      <c r="J34" s="37">
        <f>J22*Input!J$375*Input!$E$58</f>
        <v>0</v>
      </c>
      <c r="K34" s="37">
        <f>K22*Input!B$375*Input!$E$58</f>
        <v>1.4812477875776688E-2</v>
      </c>
      <c r="L34" s="37">
        <f>L22*Input!C$375*Input!$E$58</f>
        <v>1.1267747081629321E-2</v>
      </c>
      <c r="M34" s="37">
        <f>M22*Input!D$375*Input!$E$58</f>
        <v>4.8524513145376492E-3</v>
      </c>
      <c r="N34" s="37">
        <f>N22*Input!E$375*Input!$E$58</f>
        <v>1.225276763655192E-2</v>
      </c>
      <c r="O34" s="37">
        <f>O22*Input!F$375*Input!$E$58</f>
        <v>7.9032771829237822E-3</v>
      </c>
      <c r="P34" s="37">
        <f>P22*Input!G$375*Input!$E$58</f>
        <v>0</v>
      </c>
      <c r="Q34" s="37">
        <f>Q22*Input!H$375*Input!$E$58</f>
        <v>0</v>
      </c>
      <c r="R34" s="37">
        <f>R22*Input!I$375*Input!$E$58</f>
        <v>0</v>
      </c>
      <c r="S34" s="37">
        <f>S22*Input!J$375*Input!$E$58</f>
        <v>0</v>
      </c>
      <c r="T34" s="17"/>
    </row>
    <row r="35" spans="1:20" x14ac:dyDescent="0.25">
      <c r="A35" s="4" t="s">
        <v>193</v>
      </c>
      <c r="B35" s="37">
        <f>B23*Input!B$375*Input!$E$58</f>
        <v>0</v>
      </c>
      <c r="C35" s="37">
        <f>C23*Input!C$375*Input!$E$58</f>
        <v>2.612345176110252E-2</v>
      </c>
      <c r="D35" s="37">
        <f>D23*Input!D$375*Input!$E$58</f>
        <v>1.125005530565147E-2</v>
      </c>
      <c r="E35" s="37">
        <f>E23*Input!E$375*Input!$E$58</f>
        <v>2.2725720197629997E-2</v>
      </c>
      <c r="F35" s="37">
        <f>F23*Input!F$375*Input!$E$58</f>
        <v>0</v>
      </c>
      <c r="G35" s="37">
        <f>G23*Input!G$375*Input!$E$58</f>
        <v>0</v>
      </c>
      <c r="H35" s="37">
        <f>H23*Input!H$375*Input!$E$58</f>
        <v>0</v>
      </c>
      <c r="I35" s="37">
        <f>I23*Input!I$375*Input!$E$58</f>
        <v>0</v>
      </c>
      <c r="J35" s="37">
        <f>J23*Input!J$375*Input!$E$58</f>
        <v>0</v>
      </c>
      <c r="K35" s="37">
        <f>K23*Input!B$375*Input!$E$58</f>
        <v>1.2520079189776623E-2</v>
      </c>
      <c r="L35" s="37">
        <f>L23*Input!C$375*Input!$E$58</f>
        <v>9.5239356261301034E-3</v>
      </c>
      <c r="M35" s="37">
        <f>M23*Input!D$375*Input!$E$58</f>
        <v>4.1014795250360146E-3</v>
      </c>
      <c r="N35" s="37">
        <f>N23*Input!E$375*Input!$E$58</f>
        <v>8.2852104767390071E-3</v>
      </c>
      <c r="O35" s="37">
        <f>O23*Input!F$375*Input!$E$58</f>
        <v>0</v>
      </c>
      <c r="P35" s="37">
        <f>P23*Input!G$375*Input!$E$58</f>
        <v>0</v>
      </c>
      <c r="Q35" s="37">
        <f>Q23*Input!H$375*Input!$E$58</f>
        <v>0</v>
      </c>
      <c r="R35" s="37">
        <f>R23*Input!I$375*Input!$E$58</f>
        <v>0</v>
      </c>
      <c r="S35" s="37">
        <f>S23*Input!J$375*Input!$E$58</f>
        <v>0</v>
      </c>
      <c r="T35" s="17"/>
    </row>
    <row r="37" spans="1:20" ht="21" customHeight="1" x14ac:dyDescent="0.3">
      <c r="A37" s="1" t="s">
        <v>1043</v>
      </c>
    </row>
    <row r="38" spans="1:20" x14ac:dyDescent="0.25">
      <c r="A38" s="2" t="s">
        <v>350</v>
      </c>
    </row>
    <row r="39" spans="1:20" x14ac:dyDescent="0.25">
      <c r="A39" s="32" t="s">
        <v>1044</v>
      </c>
    </row>
    <row r="40" spans="1:20" x14ac:dyDescent="0.25">
      <c r="A40" s="2" t="s">
        <v>1039</v>
      </c>
    </row>
    <row r="42" spans="1:20" ht="30" x14ac:dyDescent="0.25">
      <c r="B42" s="15" t="s">
        <v>1045</v>
      </c>
    </row>
    <row r="43" spans="1:20" x14ac:dyDescent="0.25">
      <c r="A43" s="4" t="s">
        <v>183</v>
      </c>
      <c r="B43" s="37">
        <f>ABS(Loads!B$67)</f>
        <v>1</v>
      </c>
      <c r="C43" s="17"/>
    </row>
    <row r="44" spans="1:20" x14ac:dyDescent="0.25">
      <c r="A44" s="4" t="s">
        <v>184</v>
      </c>
      <c r="B44" s="37">
        <f>ABS(Loads!B$68)</f>
        <v>1</v>
      </c>
      <c r="C44" s="17"/>
    </row>
    <row r="45" spans="1:20" x14ac:dyDescent="0.25">
      <c r="A45" s="4" t="s">
        <v>185</v>
      </c>
      <c r="B45" s="37">
        <f>ABS(Loads!B$69)</f>
        <v>1</v>
      </c>
      <c r="C45" s="17"/>
    </row>
    <row r="46" spans="1:20" x14ac:dyDescent="0.25">
      <c r="A46" s="4" t="s">
        <v>186</v>
      </c>
      <c r="B46" s="37">
        <f>ABS(Loads!B$70)</f>
        <v>1</v>
      </c>
      <c r="C46" s="17"/>
    </row>
    <row r="47" spans="1:20" x14ac:dyDescent="0.25">
      <c r="A47" s="4" t="s">
        <v>194</v>
      </c>
      <c r="B47" s="37">
        <f>ABS(Loads!B$71)</f>
        <v>1</v>
      </c>
      <c r="C47" s="17"/>
    </row>
    <row r="48" spans="1:20" x14ac:dyDescent="0.25">
      <c r="A48" s="4" t="s">
        <v>195</v>
      </c>
      <c r="B48" s="37">
        <f>ABS(Loads!B$72)</f>
        <v>1</v>
      </c>
      <c r="C48" s="17"/>
    </row>
    <row r="50" spans="1:20" ht="21" customHeight="1" x14ac:dyDescent="0.3">
      <c r="A50" s="1" t="s">
        <v>1046</v>
      </c>
    </row>
    <row r="51" spans="1:20" x14ac:dyDescent="0.25">
      <c r="A51" s="2" t="s">
        <v>350</v>
      </c>
    </row>
    <row r="52" spans="1:20" x14ac:dyDescent="0.25">
      <c r="A52" s="32" t="s">
        <v>971</v>
      </c>
    </row>
    <row r="53" spans="1:20" x14ac:dyDescent="0.25">
      <c r="A53" s="32" t="s">
        <v>1047</v>
      </c>
    </row>
    <row r="54" spans="1:20" x14ac:dyDescent="0.25">
      <c r="A54" s="32" t="s">
        <v>397</v>
      </c>
    </row>
    <row r="55" spans="1:20" x14ac:dyDescent="0.25">
      <c r="A55" s="32" t="s">
        <v>1048</v>
      </c>
    </row>
    <row r="56" spans="1:20" x14ac:dyDescent="0.25">
      <c r="A56" s="32" t="s">
        <v>1049</v>
      </c>
    </row>
    <row r="57" spans="1:20" x14ac:dyDescent="0.25">
      <c r="A57" s="32" t="s">
        <v>1050</v>
      </c>
    </row>
    <row r="58" spans="1:20" x14ac:dyDescent="0.25">
      <c r="A58" s="32" t="s">
        <v>1051</v>
      </c>
    </row>
    <row r="59" spans="1:20" x14ac:dyDescent="0.25">
      <c r="A59" s="2" t="s">
        <v>1052</v>
      </c>
    </row>
    <row r="61" spans="1:20" ht="30" x14ac:dyDescent="0.25">
      <c r="B61" s="15" t="s">
        <v>139</v>
      </c>
      <c r="C61" s="15" t="s">
        <v>313</v>
      </c>
      <c r="D61" s="15" t="s">
        <v>314</v>
      </c>
      <c r="E61" s="15" t="s">
        <v>315</v>
      </c>
      <c r="F61" s="15" t="s">
        <v>316</v>
      </c>
      <c r="G61" s="15" t="s">
        <v>317</v>
      </c>
      <c r="H61" s="15" t="s">
        <v>318</v>
      </c>
      <c r="I61" s="15" t="s">
        <v>319</v>
      </c>
      <c r="J61" s="15" t="s">
        <v>320</v>
      </c>
      <c r="K61" s="15" t="s">
        <v>301</v>
      </c>
      <c r="L61" s="15" t="s">
        <v>876</v>
      </c>
      <c r="M61" s="15" t="s">
        <v>877</v>
      </c>
      <c r="N61" s="15" t="s">
        <v>878</v>
      </c>
      <c r="O61" s="15" t="s">
        <v>879</v>
      </c>
      <c r="P61" s="15" t="s">
        <v>880</v>
      </c>
      <c r="Q61" s="15" t="s">
        <v>881</v>
      </c>
      <c r="R61" s="15" t="s">
        <v>882</v>
      </c>
      <c r="S61" s="15" t="s">
        <v>883</v>
      </c>
    </row>
    <row r="62" spans="1:20" x14ac:dyDescent="0.25">
      <c r="A62" s="4" t="s">
        <v>183</v>
      </c>
      <c r="B62" s="37">
        <f>Yard!B$11*$B$43*LAFs!$I$35/LAFs!B$77*(1-Contrib!B$115)*B8/(24*Input!$F$58)*100</f>
        <v>0</v>
      </c>
      <c r="C62" s="37">
        <f>Yard!C$11*$B$43*LAFs!$I$35/LAFs!C$77*(1-Contrib!C$115)*C8/(24*Input!$F$58)*100</f>
        <v>0.1316209213830333</v>
      </c>
      <c r="D62" s="37">
        <f>Yard!D$11*$B$43*LAFs!$I$35/LAFs!D$77*(1-Contrib!D$115)*D8/(24*Input!$F$58)*100</f>
        <v>5.2063363834532167E-2</v>
      </c>
      <c r="E62" s="37">
        <f>Yard!E$11*$B$43*LAFs!$I$35/LAFs!E$77*(1-Contrib!E$115)*E8/(24*Input!$F$58)*100</f>
        <v>0.13146351361230832</v>
      </c>
      <c r="F62" s="37">
        <f>Yard!F$11*$B$43*LAFs!$I$35/LAFs!F$77*(1-Contrib!F$115)*F8/(24*Input!$F$58)*100</f>
        <v>8.2927630959897358E-2</v>
      </c>
      <c r="G62" s="37">
        <f>Yard!G$11*$B$43*LAFs!$I$35/LAFs!G$77*(1-Contrib!G$115)*G8/(24*Input!$F$58)*100</f>
        <v>0</v>
      </c>
      <c r="H62" s="37">
        <f>Yard!H$11*$B$43*LAFs!$I$35/LAFs!H$77*(1-Contrib!H$115)*H8/(24*Input!$F$58)*100</f>
        <v>0.10538745782241457</v>
      </c>
      <c r="I62" s="37">
        <f>Yard!I$11*$B$43*LAFs!$I$35/LAFs!I$77*(1-Contrib!I$115)*I8/(24*Input!$F$58)*100</f>
        <v>9.5683423097037229E-2</v>
      </c>
      <c r="J62" s="37">
        <f>Yard!J$11*$B$43*LAFs!$I$35/LAFs!J$77*(1-Contrib!J$115)*J8/(24*Input!$F$58)*100</f>
        <v>2.2732811122459042E-3</v>
      </c>
      <c r="K62" s="37">
        <f>Yard!K$11*$B$43*LAFs!$I$35/LAFs!B$77*(1-Contrib!K$115)*B8/(24*Input!$F$58)*100</f>
        <v>6.308141718088911E-2</v>
      </c>
      <c r="L62" s="37">
        <f>Yard!L$11*$B$43*LAFs!$I$35/LAFs!C$77*(1-Contrib!L$115)*C8/(24*Input!$F$58)*100</f>
        <v>4.7985587577307011E-2</v>
      </c>
      <c r="M62" s="37">
        <f>Yard!M$11*$B$43*LAFs!$I$35/LAFs!D$77*(1-Contrib!M$115)*D8/(24*Input!$F$58)*100</f>
        <v>1.8980957423788299E-2</v>
      </c>
      <c r="N62" s="37">
        <f>Yard!N$11*$B$43*LAFs!$I$35/LAFs!E$77*(1-Contrib!N$115)*E8/(24*Input!$F$58)*100</f>
        <v>4.7928200770649639E-2</v>
      </c>
      <c r="O62" s="37">
        <f>Yard!O$11*$B$43*LAFs!$I$35/LAFs!F$77*(1-Contrib!O$115)*F8/(24*Input!$F$58)*100</f>
        <v>3.0233271855196951E-2</v>
      </c>
      <c r="P62" s="37">
        <f>Yard!P$11*$B$43*LAFs!$I$35/LAFs!G$77*(1-Contrib!P$115)*G8/(24*Input!$F$58)*100</f>
        <v>0</v>
      </c>
      <c r="Q62" s="37">
        <f>Yard!Q$11*$B$43*LAFs!$I$35/LAFs!H$77*(1-Contrib!Q$115)*H8/(24*Input!$F$58)*100</f>
        <v>5.4887920701673809E-2</v>
      </c>
      <c r="R62" s="37">
        <f>Yard!R$11*$B$43*LAFs!$I$35/LAFs!I$77*(1-Contrib!R$115)*I8/(24*Input!$F$58)*100</f>
        <v>4.9833863041507796E-2</v>
      </c>
      <c r="S62" s="37">
        <f>Yard!S$11*$B$43*LAFs!$I$35/LAFs!J$77*(1-Contrib!S$115)*J8/(24*Input!$F$58)*100</f>
        <v>2.7625985482470902E-2</v>
      </c>
      <c r="T62" s="17"/>
    </row>
    <row r="63" spans="1:20" x14ac:dyDescent="0.25">
      <c r="A63" s="4" t="s">
        <v>184</v>
      </c>
      <c r="B63" s="37">
        <f>Yard!B$11*$B$44*LAFs!$I$36/LAFs!B$77*(1-Contrib!B$116)*B9/(24*Input!$F$58)*100</f>
        <v>0</v>
      </c>
      <c r="C63" s="37">
        <f>Yard!C$11*$B$44*LAFs!$I$36/LAFs!C$77*(1-Contrib!C$116)*C9/(24*Input!$F$58)*100</f>
        <v>0.1316209213830333</v>
      </c>
      <c r="D63" s="37">
        <f>Yard!D$11*$B$44*LAFs!$I$36/LAFs!D$77*(1-Contrib!D$116)*D9/(24*Input!$F$58)*100</f>
        <v>5.2063363834532167E-2</v>
      </c>
      <c r="E63" s="37">
        <f>Yard!E$11*$B$44*LAFs!$I$36/LAFs!E$77*(1-Contrib!E$116)*E9/(24*Input!$F$58)*100</f>
        <v>0.13146351361230832</v>
      </c>
      <c r="F63" s="37">
        <f>Yard!F$11*$B$44*LAFs!$I$36/LAFs!F$77*(1-Contrib!F$116)*F9/(24*Input!$F$58)*100</f>
        <v>8.2927630959897358E-2</v>
      </c>
      <c r="G63" s="37">
        <f>Yard!G$11*$B$44*LAFs!$I$36/LAFs!G$77*(1-Contrib!G$116)*G9/(24*Input!$F$58)*100</f>
        <v>0</v>
      </c>
      <c r="H63" s="37">
        <f>Yard!H$11*$B$44*LAFs!$I$36/LAFs!H$77*(1-Contrib!H$116)*H9/(24*Input!$F$58)*100</f>
        <v>0.10538745782241457</v>
      </c>
      <c r="I63" s="37">
        <f>Yard!I$11*$B$44*LAFs!$I$36/LAFs!I$77*(1-Contrib!I$116)*I9/(24*Input!$F$58)*100</f>
        <v>9.5683423097037229E-2</v>
      </c>
      <c r="J63" s="37">
        <f>Yard!J$11*$B$44*LAFs!$I$36/LAFs!J$77*(1-Contrib!J$116)*J9/(24*Input!$F$58)*100</f>
        <v>2.2732811122459042E-3</v>
      </c>
      <c r="K63" s="37">
        <f>Yard!K$11*$B$44*LAFs!$I$36/LAFs!B$77*(1-Contrib!K$116)*B9/(24*Input!$F$58)*100</f>
        <v>6.308141718088911E-2</v>
      </c>
      <c r="L63" s="37">
        <f>Yard!L$11*$B$44*LAFs!$I$36/LAFs!C$77*(1-Contrib!L$116)*C9/(24*Input!$F$58)*100</f>
        <v>4.7985587577307011E-2</v>
      </c>
      <c r="M63" s="37">
        <f>Yard!M$11*$B$44*LAFs!$I$36/LAFs!D$77*(1-Contrib!M$116)*D9/(24*Input!$F$58)*100</f>
        <v>1.8980957423788299E-2</v>
      </c>
      <c r="N63" s="37">
        <f>Yard!N$11*$B$44*LAFs!$I$36/LAFs!E$77*(1-Contrib!N$116)*E9/(24*Input!$F$58)*100</f>
        <v>4.7928200770649639E-2</v>
      </c>
      <c r="O63" s="37">
        <f>Yard!O$11*$B$44*LAFs!$I$36/LAFs!F$77*(1-Contrib!O$116)*F9/(24*Input!$F$58)*100</f>
        <v>3.0233271855196951E-2</v>
      </c>
      <c r="P63" s="37">
        <f>Yard!P$11*$B$44*LAFs!$I$36/LAFs!G$77*(1-Contrib!P$116)*G9/(24*Input!$F$58)*100</f>
        <v>0</v>
      </c>
      <c r="Q63" s="37">
        <f>Yard!Q$11*$B$44*LAFs!$I$36/LAFs!H$77*(1-Contrib!Q$116)*H9/(24*Input!$F$58)*100</f>
        <v>5.4887920701673809E-2</v>
      </c>
      <c r="R63" s="37">
        <f>Yard!R$11*$B$44*LAFs!$I$36/LAFs!I$77*(1-Contrib!R$116)*I9/(24*Input!$F$58)*100</f>
        <v>4.9833863041507796E-2</v>
      </c>
      <c r="S63" s="37">
        <f>Yard!S$11*$B$44*LAFs!$I$36/LAFs!J$77*(1-Contrib!S$116)*J9/(24*Input!$F$58)*100</f>
        <v>2.7625985482470902E-2</v>
      </c>
      <c r="T63" s="17"/>
    </row>
    <row r="64" spans="1:20" x14ac:dyDescent="0.25">
      <c r="A64" s="4" t="s">
        <v>185</v>
      </c>
      <c r="B64" s="37">
        <f>Yard!B$11*$B$45*LAFs!$I$37/LAFs!B$77*(1-Contrib!B$117)*B10/(24*Input!$F$58)*100</f>
        <v>0</v>
      </c>
      <c r="C64" s="37">
        <f>Yard!C$11*$B$45*LAFs!$I$37/LAFs!C$77*(1-Contrib!C$117)*C10/(24*Input!$F$58)*100</f>
        <v>0.12538109856161625</v>
      </c>
      <c r="D64" s="37">
        <f>Yard!D$11*$B$45*LAFs!$I$37/LAFs!D$77*(1-Contrib!D$117)*D10/(24*Input!$F$58)*100</f>
        <v>4.9595168334904467E-2</v>
      </c>
      <c r="E64" s="37">
        <f>Yard!E$11*$B$45*LAFs!$I$37/LAFs!E$77*(1-Contrib!E$117)*E10/(24*Input!$F$58)*100</f>
        <v>0.12523115310455477</v>
      </c>
      <c r="F64" s="37">
        <f>Yard!F$11*$B$45*LAFs!$I$37/LAFs!F$77*(1-Contrib!F$117)*F10/(24*Input!$F$58)*100</f>
        <v>7.8996236780671386E-2</v>
      </c>
      <c r="G64" s="37">
        <f>Yard!G$11*$B$45*LAFs!$I$37/LAFs!G$77*(1-Contrib!G$117)*G10/(24*Input!$F$58)*100</f>
        <v>0</v>
      </c>
      <c r="H64" s="37">
        <f>Yard!H$11*$B$45*LAFs!$I$37/LAFs!H$77*(1-Contrib!H$117)*H10/(24*Input!$F$58)*100</f>
        <v>0.10039129872018693</v>
      </c>
      <c r="I64" s="37">
        <f>Yard!I$11*$B$45*LAFs!$I$37/LAFs!I$77*(1-Contrib!I$117)*I10/(24*Input!$F$58)*100</f>
        <v>3.9063132135126188E-3</v>
      </c>
      <c r="J64" s="37">
        <f>Yard!J$11*$B$45*LAFs!$I$37/LAFs!J$77*(1-Contrib!J$117)*J10/(24*Input!$F$58)*100</f>
        <v>0</v>
      </c>
      <c r="K64" s="37">
        <f>Yard!K$11*$B$45*LAFs!$I$37/LAFs!B$77*(1-Contrib!K$117)*B10/(24*Input!$F$58)*100</f>
        <v>6.0090882983159496E-2</v>
      </c>
      <c r="L64" s="37">
        <f>Yard!L$11*$B$45*LAFs!$I$37/LAFs!C$77*(1-Contrib!L$117)*C10/(24*Input!$F$58)*100</f>
        <v>4.5710709379238247E-2</v>
      </c>
      <c r="M64" s="37">
        <f>Yard!M$11*$B$45*LAFs!$I$37/LAFs!D$77*(1-Contrib!M$117)*D10/(24*Input!$F$58)*100</f>
        <v>1.8081117109187923E-2</v>
      </c>
      <c r="N64" s="37">
        <f>Yard!N$11*$B$45*LAFs!$I$37/LAFs!E$77*(1-Contrib!N$117)*E10/(24*Input!$F$58)*100</f>
        <v>4.5656043139357533E-2</v>
      </c>
      <c r="O64" s="37">
        <f>Yard!O$11*$B$45*LAFs!$I$37/LAFs!F$77*(1-Contrib!O$117)*F10/(24*Input!$F$58)*100</f>
        <v>2.8799987103001912E-2</v>
      </c>
      <c r="P64" s="37">
        <f>Yard!P$11*$B$45*LAFs!$I$37/LAFs!G$77*(1-Contrib!P$117)*G10/(24*Input!$F$58)*100</f>
        <v>0</v>
      </c>
      <c r="Q64" s="37">
        <f>Yard!Q$11*$B$45*LAFs!$I$37/LAFs!H$77*(1-Contrib!Q$117)*H10/(24*Input!$F$58)*100</f>
        <v>5.2285819936722149E-2</v>
      </c>
      <c r="R64" s="37">
        <f>Yard!R$11*$B$45*LAFs!$I$37/LAFs!I$77*(1-Contrib!R$117)*I10/(24*Input!$F$58)*100</f>
        <v>4.7471362668327327E-2</v>
      </c>
      <c r="S64" s="37">
        <f>Yard!S$11*$B$45*LAFs!$I$37/LAFs!J$77*(1-Contrib!S$117)*J10/(24*Input!$F$58)*100</f>
        <v>0</v>
      </c>
      <c r="T64" s="17"/>
    </row>
    <row r="65" spans="1:20" x14ac:dyDescent="0.25">
      <c r="A65" s="4" t="s">
        <v>186</v>
      </c>
      <c r="B65" s="37">
        <f>Yard!B$11*$B$46*LAFs!$I$38/LAFs!B$77*(1-Contrib!B$118)*B11/(24*Input!$F$58)*100</f>
        <v>0</v>
      </c>
      <c r="C65" s="37">
        <f>Yard!C$11*$B$46*LAFs!$I$38/LAFs!C$77*(1-Contrib!C$118)*C11/(24*Input!$F$58)*100</f>
        <v>0.12538109856161625</v>
      </c>
      <c r="D65" s="37">
        <f>Yard!D$11*$B$46*LAFs!$I$38/LAFs!D$77*(1-Contrib!D$118)*D11/(24*Input!$F$58)*100</f>
        <v>4.9595168334904467E-2</v>
      </c>
      <c r="E65" s="37">
        <f>Yard!E$11*$B$46*LAFs!$I$38/LAFs!E$77*(1-Contrib!E$118)*E11/(24*Input!$F$58)*100</f>
        <v>0.12523115310455477</v>
      </c>
      <c r="F65" s="37">
        <f>Yard!F$11*$B$46*LAFs!$I$38/LAFs!F$77*(1-Contrib!F$118)*F11/(24*Input!$F$58)*100</f>
        <v>7.8996236780671386E-2</v>
      </c>
      <c r="G65" s="37">
        <f>Yard!G$11*$B$46*LAFs!$I$38/LAFs!G$77*(1-Contrib!G$118)*G11/(24*Input!$F$58)*100</f>
        <v>0</v>
      </c>
      <c r="H65" s="37">
        <f>Yard!H$11*$B$46*LAFs!$I$38/LAFs!H$77*(1-Contrib!H$118)*H11/(24*Input!$F$58)*100</f>
        <v>0.10039129872018693</v>
      </c>
      <c r="I65" s="37">
        <f>Yard!I$11*$B$46*LAFs!$I$38/LAFs!I$77*(1-Contrib!I$118)*I11/(24*Input!$F$58)*100</f>
        <v>3.9063132135126188E-3</v>
      </c>
      <c r="J65" s="37">
        <f>Yard!J$11*$B$46*LAFs!$I$38/LAFs!J$77*(1-Contrib!J$118)*J11/(24*Input!$F$58)*100</f>
        <v>0</v>
      </c>
      <c r="K65" s="37">
        <f>Yard!K$11*$B$46*LAFs!$I$38/LAFs!B$77*(1-Contrib!K$118)*B11/(24*Input!$F$58)*100</f>
        <v>6.0090882983159496E-2</v>
      </c>
      <c r="L65" s="37">
        <f>Yard!L$11*$B$46*LAFs!$I$38/LAFs!C$77*(1-Contrib!L$118)*C11/(24*Input!$F$58)*100</f>
        <v>4.5710709379238247E-2</v>
      </c>
      <c r="M65" s="37">
        <f>Yard!M$11*$B$46*LAFs!$I$38/LAFs!D$77*(1-Contrib!M$118)*D11/(24*Input!$F$58)*100</f>
        <v>1.8081117109187923E-2</v>
      </c>
      <c r="N65" s="37">
        <f>Yard!N$11*$B$46*LAFs!$I$38/LAFs!E$77*(1-Contrib!N$118)*E11/(24*Input!$F$58)*100</f>
        <v>4.5656043139357533E-2</v>
      </c>
      <c r="O65" s="37">
        <f>Yard!O$11*$B$46*LAFs!$I$38/LAFs!F$77*(1-Contrib!O$118)*F11/(24*Input!$F$58)*100</f>
        <v>2.8799987103001912E-2</v>
      </c>
      <c r="P65" s="37">
        <f>Yard!P$11*$B$46*LAFs!$I$38/LAFs!G$77*(1-Contrib!P$118)*G11/(24*Input!$F$58)*100</f>
        <v>0</v>
      </c>
      <c r="Q65" s="37">
        <f>Yard!Q$11*$B$46*LAFs!$I$38/LAFs!H$77*(1-Contrib!Q$118)*H11/(24*Input!$F$58)*100</f>
        <v>5.2285819936722149E-2</v>
      </c>
      <c r="R65" s="37">
        <f>Yard!R$11*$B$46*LAFs!$I$38/LAFs!I$77*(1-Contrib!R$118)*I11/(24*Input!$F$58)*100</f>
        <v>4.7471362668327327E-2</v>
      </c>
      <c r="S65" s="37">
        <f>Yard!S$11*$B$46*LAFs!$I$38/LAFs!J$77*(1-Contrib!S$118)*J11/(24*Input!$F$58)*100</f>
        <v>0</v>
      </c>
      <c r="T65" s="17"/>
    </row>
    <row r="66" spans="1:20" x14ac:dyDescent="0.25">
      <c r="A66" s="4" t="s">
        <v>194</v>
      </c>
      <c r="B66" s="37">
        <f>Yard!B$11*$B$47*LAFs!$I$39/LAFs!B$77*(1-Contrib!B$119)*B12/(24*Input!$F$58)*100</f>
        <v>0</v>
      </c>
      <c r="C66" s="37">
        <f>Yard!C$11*$B$47*LAFs!$I$39/LAFs!C$77*(1-Contrib!C$119)*C12/(24*Input!$F$58)*100</f>
        <v>0.12375824050967604</v>
      </c>
      <c r="D66" s="37">
        <f>Yard!D$11*$B$47*LAFs!$I$39/LAFs!D$77*(1-Contrib!D$119)*D12/(24*Input!$F$58)*100</f>
        <v>4.8953238098266155E-2</v>
      </c>
      <c r="E66" s="37">
        <f>Yard!E$11*$B$47*LAFs!$I$39/LAFs!E$77*(1-Contrib!E$119)*E12/(24*Input!$F$58)*100</f>
        <v>0.12361023585705107</v>
      </c>
      <c r="F66" s="37">
        <f>Yard!F$11*$B$47*LAFs!$I$39/LAFs!F$77*(1-Contrib!F$119)*F12/(24*Input!$F$58)*100</f>
        <v>3.3528715370160792E-2</v>
      </c>
      <c r="G66" s="37">
        <f>Yard!G$11*$B$47*LAFs!$I$39/LAFs!G$77*(1-Contrib!G$119)*G12/(24*Input!$F$58)*100</f>
        <v>0</v>
      </c>
      <c r="H66" s="37">
        <f>Yard!H$11*$B$47*LAFs!$I$39/LAFs!H$77*(1-Contrib!H$119)*H12/(24*Input!$F$58)*100</f>
        <v>1.2740386334328372E-2</v>
      </c>
      <c r="I66" s="37">
        <f>Yard!I$11*$B$47*LAFs!$I$39/LAFs!I$77*(1-Contrib!I$119)*I12/(24*Input!$F$58)*100</f>
        <v>0</v>
      </c>
      <c r="J66" s="37">
        <f>Yard!J$11*$B$47*LAFs!$I$39/LAFs!J$77*(1-Contrib!J$119)*J12/(24*Input!$F$58)*100</f>
        <v>0</v>
      </c>
      <c r="K66" s="37">
        <f>Yard!K$11*$B$47*LAFs!$I$39/LAFs!B$77*(1-Contrib!K$119)*B12/(24*Input!$F$58)*100</f>
        <v>5.9313102485012932E-2</v>
      </c>
      <c r="L66" s="37">
        <f>Yard!L$11*$B$47*LAFs!$I$39/LAFs!C$77*(1-Contrib!L$119)*C12/(24*Input!$F$58)*100</f>
        <v>4.5119057259205647E-2</v>
      </c>
      <c r="M66" s="37">
        <f>Yard!M$11*$B$47*LAFs!$I$39/LAFs!D$77*(1-Contrib!M$119)*D12/(24*Input!$F$58)*100</f>
        <v>1.7847085928847775E-2</v>
      </c>
      <c r="N66" s="37">
        <f>Yard!N$11*$B$47*LAFs!$I$39/LAFs!E$77*(1-Contrib!N$119)*E12/(24*Input!$F$58)*100</f>
        <v>4.5065098586482819E-2</v>
      </c>
      <c r="O66" s="37">
        <f>Yard!O$11*$B$47*LAFs!$I$39/LAFs!F$77*(1-Contrib!O$119)*F12/(24*Input!$F$58)*100</f>
        <v>2.8427217271647209E-2</v>
      </c>
      <c r="P66" s="37">
        <f>Yard!P$11*$B$47*LAFs!$I$39/LAFs!G$77*(1-Contrib!P$119)*G12/(24*Input!$F$58)*100</f>
        <v>0</v>
      </c>
      <c r="Q66" s="37">
        <f>Yard!Q$11*$B$47*LAFs!$I$39/LAFs!H$77*(1-Contrib!Q$119)*H12/(24*Input!$F$58)*100</f>
        <v>5.1609063512826993E-2</v>
      </c>
      <c r="R66" s="37">
        <f>Yard!R$11*$B$47*LAFs!$I$39/LAFs!I$77*(1-Contrib!R$119)*I12/(24*Input!$F$58)*100</f>
        <v>0</v>
      </c>
      <c r="S66" s="37">
        <f>Yard!S$11*$B$47*LAFs!$I$39/LAFs!J$77*(1-Contrib!S$119)*J12/(24*Input!$F$58)*100</f>
        <v>0</v>
      </c>
      <c r="T66" s="17"/>
    </row>
    <row r="67" spans="1:20" x14ac:dyDescent="0.25">
      <c r="A67" s="4" t="s">
        <v>195</v>
      </c>
      <c r="B67" s="37">
        <f>Yard!B$11*$B$48*LAFs!$I$40/LAFs!B$77*(1-Contrib!B$120)*B13/(24*Input!$F$58)*100</f>
        <v>0</v>
      </c>
      <c r="C67" s="37">
        <f>Yard!C$11*$B$48*LAFs!$I$40/LAFs!C$77*(1-Contrib!C$120)*C13/(24*Input!$F$58)*100</f>
        <v>0.12375824050967604</v>
      </c>
      <c r="D67" s="37">
        <f>Yard!D$11*$B$48*LAFs!$I$40/LAFs!D$77*(1-Contrib!D$120)*D13/(24*Input!$F$58)*100</f>
        <v>4.8953238098266155E-2</v>
      </c>
      <c r="E67" s="37">
        <f>Yard!E$11*$B$48*LAFs!$I$40/LAFs!E$77*(1-Contrib!E$120)*E13/(24*Input!$F$58)*100</f>
        <v>0.12361023585705107</v>
      </c>
      <c r="F67" s="37">
        <f>Yard!F$11*$B$48*LAFs!$I$40/LAFs!F$77*(1-Contrib!F$120)*F13/(24*Input!$F$58)*100</f>
        <v>3.3528715370160792E-2</v>
      </c>
      <c r="G67" s="37">
        <f>Yard!G$11*$B$48*LAFs!$I$40/LAFs!G$77*(1-Contrib!G$120)*G13/(24*Input!$F$58)*100</f>
        <v>0</v>
      </c>
      <c r="H67" s="37">
        <f>Yard!H$11*$B$48*LAFs!$I$40/LAFs!H$77*(1-Contrib!H$120)*H13/(24*Input!$F$58)*100</f>
        <v>1.2740386334328372E-2</v>
      </c>
      <c r="I67" s="37">
        <f>Yard!I$11*$B$48*LAFs!$I$40/LAFs!I$77*(1-Contrib!I$120)*I13/(24*Input!$F$58)*100</f>
        <v>0</v>
      </c>
      <c r="J67" s="37">
        <f>Yard!J$11*$B$48*LAFs!$I$40/LAFs!J$77*(1-Contrib!J$120)*J13/(24*Input!$F$58)*100</f>
        <v>0</v>
      </c>
      <c r="K67" s="37">
        <f>Yard!K$11*$B$48*LAFs!$I$40/LAFs!B$77*(1-Contrib!K$120)*B13/(24*Input!$F$58)*100</f>
        <v>5.9313102485012932E-2</v>
      </c>
      <c r="L67" s="37">
        <f>Yard!L$11*$B$48*LAFs!$I$40/LAFs!C$77*(1-Contrib!L$120)*C13/(24*Input!$F$58)*100</f>
        <v>4.5119057259205647E-2</v>
      </c>
      <c r="M67" s="37">
        <f>Yard!M$11*$B$48*LAFs!$I$40/LAFs!D$77*(1-Contrib!M$120)*D13/(24*Input!$F$58)*100</f>
        <v>1.7847085928847775E-2</v>
      </c>
      <c r="N67" s="37">
        <f>Yard!N$11*$B$48*LAFs!$I$40/LAFs!E$77*(1-Contrib!N$120)*E13/(24*Input!$F$58)*100</f>
        <v>4.5065098586482819E-2</v>
      </c>
      <c r="O67" s="37">
        <f>Yard!O$11*$B$48*LAFs!$I$40/LAFs!F$77*(1-Contrib!O$120)*F13/(24*Input!$F$58)*100</f>
        <v>2.8427217271647209E-2</v>
      </c>
      <c r="P67" s="37">
        <f>Yard!P$11*$B$48*LAFs!$I$40/LAFs!G$77*(1-Contrib!P$120)*G13/(24*Input!$F$58)*100</f>
        <v>0</v>
      </c>
      <c r="Q67" s="37">
        <f>Yard!Q$11*$B$48*LAFs!$I$40/LAFs!H$77*(1-Contrib!Q$120)*H13/(24*Input!$F$58)*100</f>
        <v>5.1609063512826993E-2</v>
      </c>
      <c r="R67" s="37">
        <f>Yard!R$11*$B$48*LAFs!$I$40/LAFs!I$77*(1-Contrib!R$120)*I13/(24*Input!$F$58)*100</f>
        <v>0</v>
      </c>
      <c r="S67" s="37">
        <f>Yard!S$11*$B$48*LAFs!$I$40/LAFs!J$77*(1-Contrib!S$120)*J13/(24*Input!$F$58)*100</f>
        <v>0</v>
      </c>
      <c r="T67" s="17"/>
    </row>
    <row r="69" spans="1:20" ht="21" customHeight="1" x14ac:dyDescent="0.3">
      <c r="A69" s="1" t="s">
        <v>1053</v>
      </c>
    </row>
    <row r="70" spans="1:20" x14ac:dyDescent="0.25">
      <c r="A70" s="2" t="s">
        <v>350</v>
      </c>
    </row>
    <row r="71" spans="1:20" x14ac:dyDescent="0.25">
      <c r="A71" s="32" t="s">
        <v>1054</v>
      </c>
    </row>
    <row r="72" spans="1:20" x14ac:dyDescent="0.25">
      <c r="A72" s="32" t="s">
        <v>1042</v>
      </c>
    </row>
    <row r="73" spans="1:20" x14ac:dyDescent="0.25">
      <c r="A73" s="32" t="s">
        <v>1025</v>
      </c>
    </row>
    <row r="74" spans="1:20" x14ac:dyDescent="0.25">
      <c r="A74" s="2" t="s">
        <v>693</v>
      </c>
    </row>
    <row r="76" spans="1:20" ht="30" x14ac:dyDescent="0.25">
      <c r="B76" s="15" t="s">
        <v>139</v>
      </c>
      <c r="C76" s="15" t="s">
        <v>313</v>
      </c>
      <c r="D76" s="15" t="s">
        <v>314</v>
      </c>
      <c r="E76" s="15" t="s">
        <v>315</v>
      </c>
      <c r="F76" s="15" t="s">
        <v>316</v>
      </c>
      <c r="G76" s="15" t="s">
        <v>317</v>
      </c>
      <c r="H76" s="15" t="s">
        <v>318</v>
      </c>
      <c r="I76" s="15" t="s">
        <v>319</v>
      </c>
      <c r="J76" s="15" t="s">
        <v>320</v>
      </c>
      <c r="K76" s="15" t="s">
        <v>301</v>
      </c>
      <c r="L76" s="15" t="s">
        <v>876</v>
      </c>
      <c r="M76" s="15" t="s">
        <v>877</v>
      </c>
      <c r="N76" s="15" t="s">
        <v>878</v>
      </c>
      <c r="O76" s="15" t="s">
        <v>879</v>
      </c>
      <c r="P76" s="15" t="s">
        <v>880</v>
      </c>
      <c r="Q76" s="15" t="s">
        <v>881</v>
      </c>
      <c r="R76" s="15" t="s">
        <v>882</v>
      </c>
      <c r="S76" s="15" t="s">
        <v>883</v>
      </c>
    </row>
    <row r="77" spans="1:20" x14ac:dyDescent="0.25">
      <c r="A77" s="4" t="s">
        <v>183</v>
      </c>
      <c r="B77" s="37">
        <f>B62*Input!B$375*Input!$E$58</f>
        <v>0</v>
      </c>
      <c r="C77" s="37">
        <f>C62*Input!C$375*Input!$E$58</f>
        <v>2.3064959008224972E-2</v>
      </c>
      <c r="D77" s="37">
        <f>D62*Input!D$375*Input!$E$58</f>
        <v>9.9329164781922288E-3</v>
      </c>
      <c r="E77" s="37">
        <f>E62*Input!E$375*Input!$E$58</f>
        <v>2.5081285657816726E-2</v>
      </c>
      <c r="F77" s="37">
        <f>F62*Input!F$375*Input!$E$58</f>
        <v>1.6177924738120564E-2</v>
      </c>
      <c r="G77" s="37">
        <f>G62*Input!G$375*Input!$E$58</f>
        <v>0</v>
      </c>
      <c r="H77" s="37">
        <f>H62*Input!H$375*Input!$E$58</f>
        <v>2.0559496771556978E-2</v>
      </c>
      <c r="I77" s="37">
        <f>I62*Input!I$375*Input!$E$58</f>
        <v>1.8666386578656591E-2</v>
      </c>
      <c r="J77" s="37">
        <f>J62*Input!J$375*Input!$E$58</f>
        <v>4.4348271277989449E-4</v>
      </c>
      <c r="K77" s="37">
        <f>K62*Input!B$375*Input!$E$58</f>
        <v>1.1054247958223911E-2</v>
      </c>
      <c r="L77" s="37">
        <f>L62*Input!C$375*Input!$E$58</f>
        <v>8.408888183021386E-3</v>
      </c>
      <c r="M77" s="37">
        <f>M62*Input!D$375*Input!$E$58</f>
        <v>3.6212847361499355E-3</v>
      </c>
      <c r="N77" s="37">
        <f>N62*Input!E$375*Input!$E$58</f>
        <v>9.1439887886984646E-3</v>
      </c>
      <c r="O77" s="37">
        <f>O62*Input!F$375*Input!$E$58</f>
        <v>5.8980534111367838E-3</v>
      </c>
      <c r="P77" s="37">
        <f>P62*Input!G$375*Input!$E$58</f>
        <v>0</v>
      </c>
      <c r="Q77" s="37">
        <f>Q62*Input!H$375*Input!$E$58</f>
        <v>1.0707801969804488E-2</v>
      </c>
      <c r="R77" s="37">
        <f>R62*Input!I$375*Input!$E$58</f>
        <v>9.7218318715168919E-3</v>
      </c>
      <c r="S77" s="37">
        <f>S62*Input!J$375*Input!$E$58</f>
        <v>5.38941133104303E-3</v>
      </c>
      <c r="T77" s="17"/>
    </row>
    <row r="78" spans="1:20" x14ac:dyDescent="0.25">
      <c r="A78" s="4" t="s">
        <v>184</v>
      </c>
      <c r="B78" s="37">
        <f>B63*Input!B$375*Input!$E$58</f>
        <v>0</v>
      </c>
      <c r="C78" s="37">
        <f>C63*Input!C$375*Input!$E$58</f>
        <v>2.3064959008224972E-2</v>
      </c>
      <c r="D78" s="37">
        <f>D63*Input!D$375*Input!$E$58</f>
        <v>9.9329164781922288E-3</v>
      </c>
      <c r="E78" s="37">
        <f>E63*Input!E$375*Input!$E$58</f>
        <v>2.5081285657816726E-2</v>
      </c>
      <c r="F78" s="37">
        <f>F63*Input!F$375*Input!$E$58</f>
        <v>1.6177924738120564E-2</v>
      </c>
      <c r="G78" s="37">
        <f>G63*Input!G$375*Input!$E$58</f>
        <v>0</v>
      </c>
      <c r="H78" s="37">
        <f>H63*Input!H$375*Input!$E$58</f>
        <v>2.0559496771556978E-2</v>
      </c>
      <c r="I78" s="37">
        <f>I63*Input!I$375*Input!$E$58</f>
        <v>1.8666386578656591E-2</v>
      </c>
      <c r="J78" s="37">
        <f>J63*Input!J$375*Input!$E$58</f>
        <v>4.4348271277989449E-4</v>
      </c>
      <c r="K78" s="37">
        <f>K63*Input!B$375*Input!$E$58</f>
        <v>1.1054247958223911E-2</v>
      </c>
      <c r="L78" s="37">
        <f>L63*Input!C$375*Input!$E$58</f>
        <v>8.408888183021386E-3</v>
      </c>
      <c r="M78" s="37">
        <f>M63*Input!D$375*Input!$E$58</f>
        <v>3.6212847361499355E-3</v>
      </c>
      <c r="N78" s="37">
        <f>N63*Input!E$375*Input!$E$58</f>
        <v>9.1439887886984646E-3</v>
      </c>
      <c r="O78" s="37">
        <f>O63*Input!F$375*Input!$E$58</f>
        <v>5.8980534111367838E-3</v>
      </c>
      <c r="P78" s="37">
        <f>P63*Input!G$375*Input!$E$58</f>
        <v>0</v>
      </c>
      <c r="Q78" s="37">
        <f>Q63*Input!H$375*Input!$E$58</f>
        <v>1.0707801969804488E-2</v>
      </c>
      <c r="R78" s="37">
        <f>R63*Input!I$375*Input!$E$58</f>
        <v>9.7218318715168919E-3</v>
      </c>
      <c r="S78" s="37">
        <f>S63*Input!J$375*Input!$E$58</f>
        <v>5.38941133104303E-3</v>
      </c>
      <c r="T78" s="17"/>
    </row>
    <row r="79" spans="1:20" x14ac:dyDescent="0.25">
      <c r="A79" s="4" t="s">
        <v>185</v>
      </c>
      <c r="B79" s="37">
        <f>B64*Input!B$375*Input!$E$58</f>
        <v>0</v>
      </c>
      <c r="C79" s="37">
        <f>C64*Input!C$375*Input!$E$58</f>
        <v>2.1971506264677143E-2</v>
      </c>
      <c r="D79" s="37">
        <f>D64*Input!D$375*Input!$E$58</f>
        <v>9.462021439070864E-3</v>
      </c>
      <c r="E79" s="37">
        <f>E64*Input!E$375*Input!$E$58</f>
        <v>2.3892243847490217E-2</v>
      </c>
      <c r="F79" s="37">
        <f>F64*Input!F$375*Input!$E$58</f>
        <v>1.5410969280558294E-2</v>
      </c>
      <c r="G79" s="37">
        <f>G64*Input!G$375*Input!$E$58</f>
        <v>0</v>
      </c>
      <c r="H79" s="37">
        <f>H64*Input!H$375*Input!$E$58</f>
        <v>1.958482180496349E-2</v>
      </c>
      <c r="I79" s="37">
        <f>I64*Input!I$375*Input!$E$58</f>
        <v>7.6206254104007568E-4</v>
      </c>
      <c r="J79" s="37">
        <f>J64*Input!J$375*Input!$E$58</f>
        <v>0</v>
      </c>
      <c r="K79" s="37">
        <f>K64*Input!B$375*Input!$E$58</f>
        <v>1.0530193362962431E-2</v>
      </c>
      <c r="L79" s="37">
        <f>L64*Input!C$375*Input!$E$58</f>
        <v>8.0102435615142433E-3</v>
      </c>
      <c r="M79" s="37">
        <f>M64*Input!D$375*Input!$E$58</f>
        <v>3.4496085702179252E-3</v>
      </c>
      <c r="N79" s="37">
        <f>N64*Input!E$375*Input!$E$58</f>
        <v>8.7104948629382912E-3</v>
      </c>
      <c r="O79" s="37">
        <f>O64*Input!F$375*Input!$E$58</f>
        <v>5.6184412652101699E-3</v>
      </c>
      <c r="P79" s="37">
        <f>P64*Input!G$375*Input!$E$58</f>
        <v>0</v>
      </c>
      <c r="Q79" s="37">
        <f>Q64*Input!H$375*Input!$E$58</f>
        <v>1.0200171523243784E-2</v>
      </c>
      <c r="R79" s="37">
        <f>R64*Input!I$375*Input!$E$58</f>
        <v>9.2609438322869015E-3</v>
      </c>
      <c r="S79" s="37">
        <f>S64*Input!J$375*Input!$E$58</f>
        <v>0</v>
      </c>
      <c r="T79" s="17"/>
    </row>
    <row r="80" spans="1:20" x14ac:dyDescent="0.25">
      <c r="A80" s="4" t="s">
        <v>186</v>
      </c>
      <c r="B80" s="37">
        <f>B65*Input!B$375*Input!$E$58</f>
        <v>0</v>
      </c>
      <c r="C80" s="37">
        <f>C65*Input!C$375*Input!$E$58</f>
        <v>2.1971506264677143E-2</v>
      </c>
      <c r="D80" s="37">
        <f>D65*Input!D$375*Input!$E$58</f>
        <v>9.462021439070864E-3</v>
      </c>
      <c r="E80" s="37">
        <f>E65*Input!E$375*Input!$E$58</f>
        <v>2.3892243847490217E-2</v>
      </c>
      <c r="F80" s="37">
        <f>F65*Input!F$375*Input!$E$58</f>
        <v>1.5410969280558294E-2</v>
      </c>
      <c r="G80" s="37">
        <f>G65*Input!G$375*Input!$E$58</f>
        <v>0</v>
      </c>
      <c r="H80" s="37">
        <f>H65*Input!H$375*Input!$E$58</f>
        <v>1.958482180496349E-2</v>
      </c>
      <c r="I80" s="37">
        <f>I65*Input!I$375*Input!$E$58</f>
        <v>7.6206254104007568E-4</v>
      </c>
      <c r="J80" s="37">
        <f>J65*Input!J$375*Input!$E$58</f>
        <v>0</v>
      </c>
      <c r="K80" s="37">
        <f>K65*Input!B$375*Input!$E$58</f>
        <v>1.0530193362962431E-2</v>
      </c>
      <c r="L80" s="37">
        <f>L65*Input!C$375*Input!$E$58</f>
        <v>8.0102435615142433E-3</v>
      </c>
      <c r="M80" s="37">
        <f>M65*Input!D$375*Input!$E$58</f>
        <v>3.4496085702179252E-3</v>
      </c>
      <c r="N80" s="37">
        <f>N65*Input!E$375*Input!$E$58</f>
        <v>8.7104948629382912E-3</v>
      </c>
      <c r="O80" s="37">
        <f>O65*Input!F$375*Input!$E$58</f>
        <v>5.6184412652101699E-3</v>
      </c>
      <c r="P80" s="37">
        <f>P65*Input!G$375*Input!$E$58</f>
        <v>0</v>
      </c>
      <c r="Q80" s="37">
        <f>Q65*Input!H$375*Input!$E$58</f>
        <v>1.0200171523243784E-2</v>
      </c>
      <c r="R80" s="37">
        <f>R65*Input!I$375*Input!$E$58</f>
        <v>9.2609438322869015E-3</v>
      </c>
      <c r="S80" s="37">
        <f>S65*Input!J$375*Input!$E$58</f>
        <v>0</v>
      </c>
      <c r="T80" s="17"/>
    </row>
    <row r="81" spans="1:20" x14ac:dyDescent="0.25">
      <c r="A81" s="4" t="s">
        <v>194</v>
      </c>
      <c r="B81" s="37">
        <f>B66*Input!B$375*Input!$E$58</f>
        <v>0</v>
      </c>
      <c r="C81" s="37">
        <f>C66*Input!C$375*Input!$E$58</f>
        <v>2.1687120210766766E-2</v>
      </c>
      <c r="D81" s="37">
        <f>D66*Input!D$375*Input!$E$58</f>
        <v>9.3395506850562065E-3</v>
      </c>
      <c r="E81" s="37">
        <f>E66*Input!E$375*Input!$E$58</f>
        <v>2.3582996913529403E-2</v>
      </c>
      <c r="F81" s="37">
        <f>F66*Input!F$375*Input!$E$58</f>
        <v>6.5409445265189915E-3</v>
      </c>
      <c r="G81" s="37">
        <f>G66*Input!G$375*Input!$E$58</f>
        <v>0</v>
      </c>
      <c r="H81" s="37">
        <f>H66*Input!H$375*Input!$E$58</f>
        <v>2.4854564017512751E-3</v>
      </c>
      <c r="I81" s="37">
        <f>I66*Input!I$375*Input!$E$58</f>
        <v>0</v>
      </c>
      <c r="J81" s="37">
        <f>J66*Input!J$375*Input!$E$58</f>
        <v>0</v>
      </c>
      <c r="K81" s="37">
        <f>K66*Input!B$375*Input!$E$58</f>
        <v>1.0393896829564514E-2</v>
      </c>
      <c r="L81" s="37">
        <f>L66*Input!C$375*Input!$E$58</f>
        <v>7.9065637532262541E-3</v>
      </c>
      <c r="M81" s="37">
        <f>M66*Input!D$375*Input!$E$58</f>
        <v>3.4049588972732514E-3</v>
      </c>
      <c r="N81" s="37">
        <f>N66*Input!E$375*Input!$E$58</f>
        <v>8.5977514200519922E-3</v>
      </c>
      <c r="O81" s="37">
        <f>O66*Input!F$375*Input!$E$58</f>
        <v>5.5457195172656931E-3</v>
      </c>
      <c r="P81" s="37">
        <f>P66*Input!G$375*Input!$E$58</f>
        <v>0</v>
      </c>
      <c r="Q81" s="37">
        <f>Q66*Input!H$375*Input!$E$58</f>
        <v>1.0068146595423164E-2</v>
      </c>
      <c r="R81" s="37">
        <f>R66*Input!I$375*Input!$E$58</f>
        <v>0</v>
      </c>
      <c r="S81" s="37">
        <f>S66*Input!J$375*Input!$E$58</f>
        <v>0</v>
      </c>
      <c r="T81" s="17"/>
    </row>
    <row r="82" spans="1:20" x14ac:dyDescent="0.25">
      <c r="A82" s="4" t="s">
        <v>195</v>
      </c>
      <c r="B82" s="37">
        <f>B67*Input!B$375*Input!$E$58</f>
        <v>0</v>
      </c>
      <c r="C82" s="37">
        <f>C67*Input!C$375*Input!$E$58</f>
        <v>2.1687120210766766E-2</v>
      </c>
      <c r="D82" s="37">
        <f>D67*Input!D$375*Input!$E$58</f>
        <v>9.3395506850562065E-3</v>
      </c>
      <c r="E82" s="37">
        <f>E67*Input!E$375*Input!$E$58</f>
        <v>2.3582996913529403E-2</v>
      </c>
      <c r="F82" s="37">
        <f>F67*Input!F$375*Input!$E$58</f>
        <v>6.5409445265189915E-3</v>
      </c>
      <c r="G82" s="37">
        <f>G67*Input!G$375*Input!$E$58</f>
        <v>0</v>
      </c>
      <c r="H82" s="37">
        <f>H67*Input!H$375*Input!$E$58</f>
        <v>2.4854564017512751E-3</v>
      </c>
      <c r="I82" s="37">
        <f>I67*Input!I$375*Input!$E$58</f>
        <v>0</v>
      </c>
      <c r="J82" s="37">
        <f>J67*Input!J$375*Input!$E$58</f>
        <v>0</v>
      </c>
      <c r="K82" s="37">
        <f>K67*Input!B$375*Input!$E$58</f>
        <v>1.0393896829564514E-2</v>
      </c>
      <c r="L82" s="37">
        <f>L67*Input!C$375*Input!$E$58</f>
        <v>7.9065637532262541E-3</v>
      </c>
      <c r="M82" s="37">
        <f>M67*Input!D$375*Input!$E$58</f>
        <v>3.4049588972732514E-3</v>
      </c>
      <c r="N82" s="37">
        <f>N67*Input!E$375*Input!$E$58</f>
        <v>8.5977514200519922E-3</v>
      </c>
      <c r="O82" s="37">
        <f>O67*Input!F$375*Input!$E$58</f>
        <v>5.5457195172656931E-3</v>
      </c>
      <c r="P82" s="37">
        <f>P67*Input!G$375*Input!$E$58</f>
        <v>0</v>
      </c>
      <c r="Q82" s="37">
        <f>Q67*Input!H$375*Input!$E$58</f>
        <v>1.0068146595423164E-2</v>
      </c>
      <c r="R82" s="37">
        <f>R67*Input!I$375*Input!$E$58</f>
        <v>0</v>
      </c>
      <c r="S82" s="37">
        <f>S67*Input!J$375*Input!$E$58</f>
        <v>0</v>
      </c>
      <c r="T82" s="17"/>
    </row>
  </sheetData>
  <sheetProtection sheet="1" objects="1" scenarios="1"/>
  <hyperlinks>
    <hyperlink ref="A17" location="'Standing'!B51" display="x1 = 3003. Yardstick components p/kWh (taking account of standing charges)"/>
    <hyperlink ref="A27" location="'Reactive'!B20" display="x1 = 3202. Standard components p/kWh for reactive power (absolute value)"/>
    <hyperlink ref="A28" location="'Input'!B374" display="x2 = 1092. Average kVAr by kVA, by network level"/>
    <hyperlink ref="A29" location="'Input'!E57" display="x3 = 1010. Power factor for all flows in the network model (in Financial and general assumptions)"/>
    <hyperlink ref="A39" location="'Loads'!B45" display="x1 = 2302. Load coefficient"/>
    <hyperlink ref="A52" location="'Yard'!B10" display="x1 = 2901. Unit cost at each level, £/kW/year (relative to system simultaneous maximum load)"/>
    <hyperlink ref="A53" location="'Reactive'!B42" display="x2 = 3204. Absolute value of load coefficient (kW peak / average kW)"/>
    <hyperlink ref="A54" location="'LAFs'!I13" display="x3 = 2001. Loss adjustment factor to transmission (in Loss adjustment factors to transmission)"/>
    <hyperlink ref="A55" location="'LAFs'!B76" display="x4 = 2004. Loss adjustment factor to transmission for each network level"/>
    <hyperlink ref="A56" location="'Contrib'!B93" display="x5 = 2804. Proportion of annual charge covered by contributions (for all charging levels)"/>
    <hyperlink ref="A57" location="'Reactive'!B7" display="x6 = 3201. Network use factors for generator reactive unit charges"/>
    <hyperlink ref="A58" location="'Input'!F57" display="x7 = 1010. Days in the charging year (in Financial and general assumptions)"/>
    <hyperlink ref="A71" location="'Reactive'!B61" display="x1 = 3205. Pay-as-you-go components p/kWh for reactive power (absolute value)"/>
    <hyperlink ref="A72" location="'Input'!B374" display="x2 = 1092. Average kVAr by kVA, by network level"/>
    <hyperlink ref="A73" location="'Input'!E57" display="x3 = 1010. Power factor for all flows in the network model (in Financial and general assumptions)"/>
  </hyperlinks>
  <pageMargins left="0.7" right="0.7" top="0.75" bottom="0.75" header="0.3" footer="0.3"/>
  <pageSetup paperSize="9" fitToHeight="0" orientation="landscape"/>
  <headerFooter>
    <oddHeader>&amp;L&amp;A&amp;C&amp;R&amp;P of &amp;N</oddHeader>
    <oddFooter>&amp;F</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264"/>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x14ac:dyDescent="0.25"/>
  <cols>
    <col min="1" max="1" width="50.7109375" customWidth="1"/>
    <col min="2" max="251" width="16.7109375" customWidth="1"/>
  </cols>
  <sheetData>
    <row r="1" spans="1:24" ht="21" customHeight="1" x14ac:dyDescent="0.3">
      <c r="A1" s="1" t="str">
        <f>"Aggregation for "&amp;Input!B7&amp;" in "&amp;Input!C7&amp;" ("&amp;Input!D7&amp;")"</f>
        <v>Aggregation for Electricity North West in 2017/2018 (December 2015)</v>
      </c>
    </row>
    <row r="2" spans="1:24" x14ac:dyDescent="0.25">
      <c r="A2" s="2" t="s">
        <v>1055</v>
      </c>
    </row>
    <row r="4" spans="1:24" ht="21" customHeight="1" x14ac:dyDescent="0.3">
      <c r="A4" s="1" t="s">
        <v>1056</v>
      </c>
    </row>
    <row r="5" spans="1:24" x14ac:dyDescent="0.25">
      <c r="A5" s="2" t="s">
        <v>350</v>
      </c>
    </row>
    <row r="6" spans="1:24" x14ac:dyDescent="0.25">
      <c r="A6" s="32" t="s">
        <v>1057</v>
      </c>
    </row>
    <row r="7" spans="1:24" x14ac:dyDescent="0.25">
      <c r="A7" s="32" t="s">
        <v>1058</v>
      </c>
    </row>
    <row r="8" spans="1:24" x14ac:dyDescent="0.25">
      <c r="A8" s="32" t="s">
        <v>1059</v>
      </c>
    </row>
    <row r="9" spans="1:24" x14ac:dyDescent="0.25">
      <c r="A9" s="32" t="s">
        <v>1060</v>
      </c>
    </row>
    <row r="10" spans="1:24" x14ac:dyDescent="0.25">
      <c r="A10" s="32" t="s">
        <v>1061</v>
      </c>
    </row>
    <row r="11" spans="1:24" x14ac:dyDescent="0.25">
      <c r="A11" s="32" t="s">
        <v>1062</v>
      </c>
    </row>
    <row r="12" spans="1:24" x14ac:dyDescent="0.25">
      <c r="A12" s="2" t="s">
        <v>385</v>
      </c>
    </row>
    <row r="14" spans="1:24" ht="30" x14ac:dyDescent="0.25">
      <c r="B14" s="15" t="s">
        <v>139</v>
      </c>
      <c r="C14" s="15" t="s">
        <v>313</v>
      </c>
      <c r="D14" s="15" t="s">
        <v>314</v>
      </c>
      <c r="E14" s="15" t="s">
        <v>315</v>
      </c>
      <c r="F14" s="15" t="s">
        <v>316</v>
      </c>
      <c r="G14" s="15" t="s">
        <v>317</v>
      </c>
      <c r="H14" s="15" t="s">
        <v>318</v>
      </c>
      <c r="I14" s="15" t="s">
        <v>319</v>
      </c>
      <c r="J14" s="15" t="s">
        <v>320</v>
      </c>
      <c r="K14" s="15" t="s">
        <v>462</v>
      </c>
      <c r="L14" s="15" t="s">
        <v>474</v>
      </c>
      <c r="M14" s="15" t="s">
        <v>301</v>
      </c>
      <c r="N14" s="15" t="s">
        <v>876</v>
      </c>
      <c r="O14" s="15" t="s">
        <v>877</v>
      </c>
      <c r="P14" s="15" t="s">
        <v>878</v>
      </c>
      <c r="Q14" s="15" t="s">
        <v>879</v>
      </c>
      <c r="R14" s="15" t="s">
        <v>880</v>
      </c>
      <c r="S14" s="15" t="s">
        <v>881</v>
      </c>
      <c r="T14" s="15" t="s">
        <v>882</v>
      </c>
      <c r="U14" s="15" t="s">
        <v>883</v>
      </c>
      <c r="V14" s="15" t="s">
        <v>884</v>
      </c>
      <c r="W14" s="15" t="s">
        <v>885</v>
      </c>
    </row>
    <row r="15" spans="1:24" x14ac:dyDescent="0.25">
      <c r="A15" s="4" t="s">
        <v>171</v>
      </c>
      <c r="B15" s="38">
        <f>Standing!$B$79</f>
        <v>0</v>
      </c>
      <c r="C15" s="38">
        <f>Standing!$C$79</f>
        <v>0.24473780066130502</v>
      </c>
      <c r="D15" s="38">
        <f>Standing!$D$79</f>
        <v>9.6807354226098194E-2</v>
      </c>
      <c r="E15" s="38">
        <f>Standing!$E$79</f>
        <v>0.23758085467428902</v>
      </c>
      <c r="F15" s="38">
        <f>Standing!$F$79</f>
        <v>0.14986681017570061</v>
      </c>
      <c r="G15" s="38">
        <f>Standing!$G$79</f>
        <v>0</v>
      </c>
      <c r="H15" s="38">
        <f>Standing!$H$79</f>
        <v>0.19045620806422478</v>
      </c>
      <c r="I15" s="38">
        <f>Standing!$I$79</f>
        <v>0.17291907703452228</v>
      </c>
      <c r="J15" s="38">
        <f>Standing!$J$79</f>
        <v>0</v>
      </c>
      <c r="K15" s="10"/>
      <c r="L15" s="10"/>
      <c r="M15" s="38">
        <f>Standing!$K$79</f>
        <v>0.12292722584997501</v>
      </c>
      <c r="N15" s="38">
        <f>Standing!$L$79</f>
        <v>8.922507944564817E-2</v>
      </c>
      <c r="O15" s="38">
        <f>Standing!$M$79</f>
        <v>3.5293460382527231E-2</v>
      </c>
      <c r="P15" s="38">
        <f>Standing!$N$79</f>
        <v>8.6615841834808249E-2</v>
      </c>
      <c r="Q15" s="38">
        <f>Standing!$O$79</f>
        <v>5.4637567257941611E-2</v>
      </c>
      <c r="R15" s="38">
        <f>Standing!$P$79</f>
        <v>0</v>
      </c>
      <c r="S15" s="38">
        <f>Standing!$Q$79</f>
        <v>9.9193447316909072E-2</v>
      </c>
      <c r="T15" s="38">
        <f>Standing!$R$79</f>
        <v>9.0059754587408183E-2</v>
      </c>
      <c r="U15" s="38">
        <f>Standing!$S$79</f>
        <v>0</v>
      </c>
      <c r="V15" s="10"/>
      <c r="W15" s="10"/>
      <c r="X15" s="17"/>
    </row>
    <row r="16" spans="1:24" x14ac:dyDescent="0.25">
      <c r="A16" s="4" t="s">
        <v>172</v>
      </c>
      <c r="B16" s="38">
        <f>Standing!$B$80</f>
        <v>0</v>
      </c>
      <c r="C16" s="38">
        <f>Standing!$C$80</f>
        <v>0.29121306262400481</v>
      </c>
      <c r="D16" s="38">
        <f>Standing!$D$80</f>
        <v>0.11519089422448282</v>
      </c>
      <c r="E16" s="38">
        <f>Standing!$E$80</f>
        <v>0.28172051720642932</v>
      </c>
      <c r="F16" s="38">
        <f>Standing!$F$80</f>
        <v>0.17771025924062075</v>
      </c>
      <c r="G16" s="38">
        <f>Standing!$G$80</f>
        <v>0</v>
      </c>
      <c r="H16" s="38">
        <f>Standing!$H$80</f>
        <v>0.22584067859587215</v>
      </c>
      <c r="I16" s="38">
        <f>Standing!$I$80</f>
        <v>0.20504535975261784</v>
      </c>
      <c r="J16" s="38">
        <f>Standing!$J$80</f>
        <v>0</v>
      </c>
      <c r="K16" s="10"/>
      <c r="L16" s="10"/>
      <c r="M16" s="38">
        <f>Standing!$K$80</f>
        <v>0.14709525077709942</v>
      </c>
      <c r="N16" s="38">
        <f>Standing!$L$80</f>
        <v>0.10616875929271004</v>
      </c>
      <c r="O16" s="38">
        <f>Standing!$M$80</f>
        <v>4.1995624136618115E-2</v>
      </c>
      <c r="P16" s="38">
        <f>Standing!$N$80</f>
        <v>0.10270802246850061</v>
      </c>
      <c r="Q16" s="38">
        <f>Standing!$O$80</f>
        <v>6.4788569465796086E-2</v>
      </c>
      <c r="R16" s="38">
        <f>Standing!$P$80</f>
        <v>0</v>
      </c>
      <c r="S16" s="38">
        <f>Standing!$Q$80</f>
        <v>0.11762239562577223</v>
      </c>
      <c r="T16" s="38">
        <f>Standing!$R$80</f>
        <v>0.10679177274882684</v>
      </c>
      <c r="U16" s="38">
        <f>Standing!$S$80</f>
        <v>0</v>
      </c>
      <c r="V16" s="10"/>
      <c r="W16" s="10"/>
      <c r="X16" s="17"/>
    </row>
    <row r="17" spans="1:24" x14ac:dyDescent="0.25">
      <c r="A17" s="4" t="s">
        <v>213</v>
      </c>
      <c r="B17" s="38">
        <f>Standing!$B$81</f>
        <v>0</v>
      </c>
      <c r="C17" s="38">
        <f>Standing!$C$81</f>
        <v>2.7789969459307871E-2</v>
      </c>
      <c r="D17" s="38">
        <f>Standing!$D$81</f>
        <v>1.099247198475385E-2</v>
      </c>
      <c r="E17" s="38">
        <f>Standing!$E$81</f>
        <v>3.5393258882933598E-2</v>
      </c>
      <c r="F17" s="38">
        <f>Standing!$F$81</f>
        <v>2.2326187932019705E-2</v>
      </c>
      <c r="G17" s="38">
        <f>Standing!$G$81</f>
        <v>0</v>
      </c>
      <c r="H17" s="38">
        <f>Standing!$H$81</f>
        <v>2.8372933867589406E-2</v>
      </c>
      <c r="I17" s="38">
        <f>Standing!$I$81</f>
        <v>2.5760365529752881E-2</v>
      </c>
      <c r="J17" s="38">
        <f>Standing!$J$81</f>
        <v>0</v>
      </c>
      <c r="K17" s="10"/>
      <c r="L17" s="10"/>
      <c r="M17" s="38">
        <f>Standing!$K$81</f>
        <v>6.8342840883932549E-3</v>
      </c>
      <c r="N17" s="38">
        <f>Standing!$L$81</f>
        <v>1.0131504925266413E-2</v>
      </c>
      <c r="O17" s="38">
        <f>Standing!$M$81</f>
        <v>4.0075713007696277E-3</v>
      </c>
      <c r="P17" s="38">
        <f>Standing!$N$81</f>
        <v>1.2903467822040627E-2</v>
      </c>
      <c r="Q17" s="38">
        <f>Standing!$O$81</f>
        <v>8.1395513344085114E-3</v>
      </c>
      <c r="R17" s="38">
        <f>Standing!$P$81</f>
        <v>0</v>
      </c>
      <c r="S17" s="38">
        <f>Standing!$Q$81</f>
        <v>1.4777198125627982E-2</v>
      </c>
      <c r="T17" s="38">
        <f>Standing!$R$81</f>
        <v>1.3416519666180647E-2</v>
      </c>
      <c r="U17" s="38">
        <f>Standing!$S$81</f>
        <v>0</v>
      </c>
      <c r="V17" s="10"/>
      <c r="W17" s="10"/>
      <c r="X17" s="17"/>
    </row>
    <row r="18" spans="1:24" x14ac:dyDescent="0.25">
      <c r="A18" s="4" t="s">
        <v>173</v>
      </c>
      <c r="B18" s="38">
        <f>Standing!$B$82</f>
        <v>0</v>
      </c>
      <c r="C18" s="38">
        <f>Standing!$C$82</f>
        <v>0.23376405624457947</v>
      </c>
      <c r="D18" s="38">
        <f>Standing!$D$82</f>
        <v>9.2466630561563831E-2</v>
      </c>
      <c r="E18" s="38">
        <f>Standing!$E$82</f>
        <v>0.23614798283201122</v>
      </c>
      <c r="F18" s="38">
        <f>Standing!$F$82</f>
        <v>0.14896294975021665</v>
      </c>
      <c r="G18" s="38">
        <f>Standing!$G$82</f>
        <v>0</v>
      </c>
      <c r="H18" s="38">
        <f>Standing!$H$82</f>
        <v>0.18930754927142618</v>
      </c>
      <c r="I18" s="38">
        <f>Standing!$I$82</f>
        <v>0.17187618628132961</v>
      </c>
      <c r="J18" s="38">
        <f>Standing!$J$82</f>
        <v>0</v>
      </c>
      <c r="K18" s="10"/>
      <c r="L18" s="10"/>
      <c r="M18" s="38">
        <f>Standing!$K$82</f>
        <v>0.11027601341603332</v>
      </c>
      <c r="N18" s="38">
        <f>Standing!$L$82</f>
        <v>8.5224335732364542E-2</v>
      </c>
      <c r="O18" s="38">
        <f>Standing!$M$82</f>
        <v>3.3710944674805919E-2</v>
      </c>
      <c r="P18" s="38">
        <f>Standing!$N$82</f>
        <v>8.6093453778622361E-2</v>
      </c>
      <c r="Q18" s="38">
        <f>Standing!$O$82</f>
        <v>5.4308043097580319E-2</v>
      </c>
      <c r="R18" s="38">
        <f>Standing!$P$82</f>
        <v>0</v>
      </c>
      <c r="S18" s="38">
        <f>Standing!$Q$82</f>
        <v>9.859520257284618E-2</v>
      </c>
      <c r="T18" s="38">
        <f>Standing!$R$82</f>
        <v>8.9516595978741439E-2</v>
      </c>
      <c r="U18" s="38">
        <f>Standing!$S$82</f>
        <v>0</v>
      </c>
      <c r="V18" s="10"/>
      <c r="W18" s="10"/>
      <c r="X18" s="17"/>
    </row>
    <row r="19" spans="1:24" x14ac:dyDescent="0.25">
      <c r="A19" s="4" t="s">
        <v>174</v>
      </c>
      <c r="B19" s="38">
        <f>Standing!$B$83</f>
        <v>0</v>
      </c>
      <c r="C19" s="38">
        <f>Standing!$C$83</f>
        <v>0.23997705525371493</v>
      </c>
      <c r="D19" s="38">
        <f>Standing!$D$83</f>
        <v>9.4924215757878266E-2</v>
      </c>
      <c r="E19" s="38">
        <f>Standing!$E$83</f>
        <v>0.23985469908773799</v>
      </c>
      <c r="F19" s="38">
        <f>Standing!$F$83</f>
        <v>0.15130115895581009</v>
      </c>
      <c r="G19" s="38">
        <f>Standing!$G$83</f>
        <v>0</v>
      </c>
      <c r="H19" s="38">
        <f>Standing!$H$83</f>
        <v>0.19227903080517006</v>
      </c>
      <c r="I19" s="38">
        <f>Standing!$I$83</f>
        <v>0.17457405499069115</v>
      </c>
      <c r="J19" s="38">
        <f>Standing!$J$83</f>
        <v>0</v>
      </c>
      <c r="K19" s="10"/>
      <c r="L19" s="10"/>
      <c r="M19" s="38">
        <f>Standing!$K$83</f>
        <v>0.1152737298019279</v>
      </c>
      <c r="N19" s="38">
        <f>Standing!$L$83</f>
        <v>8.748943466145491E-2</v>
      </c>
      <c r="O19" s="38">
        <f>Standing!$M$83</f>
        <v>3.4606916746930019E-2</v>
      </c>
      <c r="P19" s="38">
        <f>Standing!$N$83</f>
        <v>8.7444826764348421E-2</v>
      </c>
      <c r="Q19" s="38">
        <f>Standing!$O$83</f>
        <v>5.5160493767504995E-2</v>
      </c>
      <c r="R19" s="38">
        <f>Standing!$P$83</f>
        <v>0</v>
      </c>
      <c r="S19" s="38">
        <f>Standing!$Q$83</f>
        <v>0.10014281028785012</v>
      </c>
      <c r="T19" s="38">
        <f>Standing!$R$83</f>
        <v>9.0921700597855509E-2</v>
      </c>
      <c r="U19" s="38">
        <f>Standing!$S$83</f>
        <v>0</v>
      </c>
      <c r="V19" s="10"/>
      <c r="W19" s="10"/>
      <c r="X19" s="17"/>
    </row>
    <row r="20" spans="1:24" x14ac:dyDescent="0.25">
      <c r="A20" s="4" t="s">
        <v>214</v>
      </c>
      <c r="B20" s="38">
        <f>Standing!$B$84</f>
        <v>0</v>
      </c>
      <c r="C20" s="38">
        <f>Standing!$C$84</f>
        <v>2.0096052821219831E-2</v>
      </c>
      <c r="D20" s="38">
        <f>Standing!$D$84</f>
        <v>7.949101850034718E-3</v>
      </c>
      <c r="E20" s="38">
        <f>Standing!$E$84</f>
        <v>2.6913175578026922E-2</v>
      </c>
      <c r="F20" s="38">
        <f>Standing!$F$84</f>
        <v>1.6976922576977142E-2</v>
      </c>
      <c r="G20" s="38">
        <f>Standing!$G$84</f>
        <v>0</v>
      </c>
      <c r="H20" s="38">
        <f>Standing!$H$84</f>
        <v>2.1574892364895681E-2</v>
      </c>
      <c r="I20" s="38">
        <f>Standing!$I$84</f>
        <v>1.9588284954192042E-2</v>
      </c>
      <c r="J20" s="38">
        <f>Standing!$J$84</f>
        <v>0</v>
      </c>
      <c r="K20" s="10"/>
      <c r="L20" s="10"/>
      <c r="M20" s="38">
        <f>Standing!$K$84</f>
        <v>3.7107101695606896E-3</v>
      </c>
      <c r="N20" s="38">
        <f>Standing!$L$84</f>
        <v>7.3265016874068051E-3</v>
      </c>
      <c r="O20" s="38">
        <f>Standing!$M$84</f>
        <v>2.8980371735563945E-3</v>
      </c>
      <c r="P20" s="38">
        <f>Standing!$N$84</f>
        <v>9.8118485276712675E-3</v>
      </c>
      <c r="Q20" s="38">
        <f>Standing!$O$84</f>
        <v>6.1893473814848251E-3</v>
      </c>
      <c r="R20" s="38">
        <f>Standing!$P$84</f>
        <v>0</v>
      </c>
      <c r="S20" s="38">
        <f>Standing!$Q$84</f>
        <v>1.1236640542814929E-2</v>
      </c>
      <c r="T20" s="38">
        <f>Standing!$R$84</f>
        <v>1.0201975201443853E-2</v>
      </c>
      <c r="U20" s="38">
        <f>Standing!$S$84</f>
        <v>0</v>
      </c>
      <c r="V20" s="10"/>
      <c r="W20" s="10"/>
      <c r="X20" s="17"/>
    </row>
    <row r="21" spans="1:24" x14ac:dyDescent="0.25">
      <c r="A21" s="4" t="s">
        <v>175</v>
      </c>
      <c r="B21" s="38">
        <f>Standing!$B$85</f>
        <v>0</v>
      </c>
      <c r="C21" s="38">
        <f>Standing!$C$85</f>
        <v>0.19779214962442537</v>
      </c>
      <c r="D21" s="38">
        <f>Standing!$D$85</f>
        <v>7.8237749297796033E-2</v>
      </c>
      <c r="E21" s="38">
        <f>Standing!$E$85</f>
        <v>0.19620022360905109</v>
      </c>
      <c r="F21" s="38">
        <f>Standing!$F$85</f>
        <v>0.12376376753235814</v>
      </c>
      <c r="G21" s="38">
        <f>Standing!$G$85</f>
        <v>0</v>
      </c>
      <c r="H21" s="38">
        <f>Standing!$H$85</f>
        <v>0.1572835094863255</v>
      </c>
      <c r="I21" s="38">
        <f>Standing!$I$85</f>
        <v>0.14280090719833391</v>
      </c>
      <c r="J21" s="38">
        <f>Standing!$J$85</f>
        <v>0</v>
      </c>
      <c r="K21" s="10"/>
      <c r="L21" s="10"/>
      <c r="M21" s="38">
        <f>Standing!$K$85</f>
        <v>9.6226668781822775E-2</v>
      </c>
      <c r="N21" s="38">
        <f>Standing!$L$85</f>
        <v>7.210990789440061E-2</v>
      </c>
      <c r="O21" s="38">
        <f>Standing!$M$85</f>
        <v>2.8523462161880373E-2</v>
      </c>
      <c r="P21" s="38">
        <f>Standing!$N$85</f>
        <v>7.1529532795786666E-2</v>
      </c>
      <c r="Q21" s="38">
        <f>Standing!$O$85</f>
        <v>4.5121072268887744E-2</v>
      </c>
      <c r="R21" s="38">
        <f>Standing!$P$85</f>
        <v>0</v>
      </c>
      <c r="S21" s="38">
        <f>Standing!$Q$85</f>
        <v>8.1916434599965005E-2</v>
      </c>
      <c r="T21" s="38">
        <f>Standing!$R$85</f>
        <v>7.4373602251957757E-2</v>
      </c>
      <c r="U21" s="38">
        <f>Standing!$S$85</f>
        <v>0</v>
      </c>
      <c r="V21" s="10"/>
      <c r="W21" s="10"/>
      <c r="X21" s="17"/>
    </row>
    <row r="22" spans="1:24" x14ac:dyDescent="0.25">
      <c r="A22" s="4" t="s">
        <v>176</v>
      </c>
      <c r="B22" s="38">
        <f>Standing!$B$86</f>
        <v>0</v>
      </c>
      <c r="C22" s="38">
        <f>Standing!$C$86</f>
        <v>0.18591581442897259</v>
      </c>
      <c r="D22" s="38">
        <f>Standing!$D$86</f>
        <v>7.3540000993008517E-2</v>
      </c>
      <c r="E22" s="38">
        <f>Standing!$E$86</f>
        <v>0.18464733789187124</v>
      </c>
      <c r="F22" s="38">
        <f>Standing!$F$86</f>
        <v>0.11647616797753794</v>
      </c>
      <c r="G22" s="38">
        <f>Standing!$G$86</f>
        <v>0</v>
      </c>
      <c r="H22" s="38">
        <f>Standing!$H$86</f>
        <v>0.14802216219085451</v>
      </c>
      <c r="I22" s="38">
        <f>Standing!$I$86</f>
        <v>0</v>
      </c>
      <c r="J22" s="38">
        <f>Standing!$J$86</f>
        <v>0</v>
      </c>
      <c r="K22" s="10"/>
      <c r="L22" s="10"/>
      <c r="M22" s="38">
        <f>Standing!$K$86</f>
        <v>9.0263733153391687E-2</v>
      </c>
      <c r="N22" s="38">
        <f>Standing!$L$86</f>
        <v>6.7780102901162542E-2</v>
      </c>
      <c r="O22" s="38">
        <f>Standing!$M$86</f>
        <v>2.6810784493871087E-2</v>
      </c>
      <c r="P22" s="38">
        <f>Standing!$N$86</f>
        <v>6.7317649126175647E-2</v>
      </c>
      <c r="Q22" s="38">
        <f>Standing!$O$86</f>
        <v>4.2464201742594306E-2</v>
      </c>
      <c r="R22" s="38">
        <f>Standing!$P$86</f>
        <v>0</v>
      </c>
      <c r="S22" s="38">
        <f>Standing!$Q$86</f>
        <v>7.7092937511715129E-2</v>
      </c>
      <c r="T22" s="38">
        <f>Standing!$R$86</f>
        <v>0</v>
      </c>
      <c r="U22" s="38">
        <f>Standing!$S$86</f>
        <v>0</v>
      </c>
      <c r="V22" s="10"/>
      <c r="W22" s="10"/>
      <c r="X22" s="17"/>
    </row>
    <row r="23" spans="1:24" x14ac:dyDescent="0.25">
      <c r="A23" s="4" t="s">
        <v>192</v>
      </c>
      <c r="B23" s="38">
        <f>Standing!$B$87</f>
        <v>0</v>
      </c>
      <c r="C23" s="38">
        <f>Standing!$C$87</f>
        <v>0.22928536210086228</v>
      </c>
      <c r="D23" s="38">
        <f>Standing!$D$87</f>
        <v>9.0695058988763746E-2</v>
      </c>
      <c r="E23" s="38">
        <f>Standing!$E$87</f>
        <v>0.18286298116477004</v>
      </c>
      <c r="F23" s="38">
        <f>Standing!$F$87</f>
        <v>0</v>
      </c>
      <c r="G23" s="38">
        <f>Standing!$G$87</f>
        <v>0</v>
      </c>
      <c r="H23" s="38">
        <f>Standing!$H$87</f>
        <v>0</v>
      </c>
      <c r="I23" s="38">
        <f>Standing!$I$87</f>
        <v>0</v>
      </c>
      <c r="J23" s="38">
        <f>Standing!$J$87</f>
        <v>0</v>
      </c>
      <c r="K23" s="10"/>
      <c r="L23" s="10"/>
      <c r="M23" s="38">
        <f>Standing!$K$87</f>
        <v>0.11065003460819496</v>
      </c>
      <c r="N23" s="38">
        <f>Standing!$L$87</f>
        <v>8.3591519552329685E-2</v>
      </c>
      <c r="O23" s="38">
        <f>Standing!$M$87</f>
        <v>3.3065075447005307E-2</v>
      </c>
      <c r="P23" s="38">
        <f>Standing!$N$87</f>
        <v>6.6667118761414734E-2</v>
      </c>
      <c r="Q23" s="38">
        <f>Standing!$O$87</f>
        <v>0</v>
      </c>
      <c r="R23" s="38">
        <f>Standing!$P$87</f>
        <v>0</v>
      </c>
      <c r="S23" s="38">
        <f>Standing!$Q$87</f>
        <v>0</v>
      </c>
      <c r="T23" s="38">
        <f>Standing!$R$87</f>
        <v>0</v>
      </c>
      <c r="U23" s="38">
        <f>Standing!$S$87</f>
        <v>0</v>
      </c>
      <c r="V23" s="10"/>
      <c r="W23" s="10"/>
      <c r="X23" s="17"/>
    </row>
    <row r="24" spans="1:24" x14ac:dyDescent="0.25">
      <c r="A24" s="4" t="s">
        <v>177</v>
      </c>
      <c r="B24" s="38">
        <f>Standing!$B$88</f>
        <v>0</v>
      </c>
      <c r="C24" s="38">
        <f>Standing!$C$88</f>
        <v>1.4784799496840595</v>
      </c>
      <c r="D24" s="38">
        <f>Standing!$D$88</f>
        <v>0.58482070125049646</v>
      </c>
      <c r="E24" s="38">
        <f>Standing!$E$88</f>
        <v>1.246222066065904</v>
      </c>
      <c r="F24" s="38">
        <f>Standing!$F$88</f>
        <v>0.78612111261202655</v>
      </c>
      <c r="G24" s="38">
        <f>Standing!$G$88</f>
        <v>0</v>
      </c>
      <c r="H24" s="38">
        <f>Standing!$H$88</f>
        <v>0.99903138000859293</v>
      </c>
      <c r="I24" s="38">
        <f>Standing!$I$88</f>
        <v>0.90704097238645265</v>
      </c>
      <c r="J24" s="38">
        <f>Standing!$J$88</f>
        <v>0</v>
      </c>
      <c r="K24" s="10"/>
      <c r="L24" s="10"/>
      <c r="M24" s="38">
        <f>Standing!$K$88</f>
        <v>0.89335459064121203</v>
      </c>
      <c r="N24" s="38">
        <f>Standing!$L$88</f>
        <v>0.53901559388416675</v>
      </c>
      <c r="O24" s="38">
        <f>Standing!$M$88</f>
        <v>0.21321051913328484</v>
      </c>
      <c r="P24" s="38">
        <f>Standing!$N$88</f>
        <v>0.45434036978019948</v>
      </c>
      <c r="Q24" s="38">
        <f>Standing!$O$88</f>
        <v>0.28659944862289249</v>
      </c>
      <c r="R24" s="38">
        <f>Standing!$P$88</f>
        <v>0</v>
      </c>
      <c r="S24" s="38">
        <f>Standing!$Q$88</f>
        <v>0.52031575955457521</v>
      </c>
      <c r="T24" s="38">
        <f>Standing!$R$88</f>
        <v>0.47240529370590795</v>
      </c>
      <c r="U24" s="38">
        <f>Standing!$S$88</f>
        <v>0</v>
      </c>
      <c r="V24" s="10"/>
      <c r="W24" s="10"/>
      <c r="X24" s="17"/>
    </row>
    <row r="25" spans="1:24" x14ac:dyDescent="0.25">
      <c r="A25" s="4" t="s">
        <v>178</v>
      </c>
      <c r="B25" s="38">
        <f>Standing!$B$89</f>
        <v>0</v>
      </c>
      <c r="C25" s="38">
        <f>Standing!$C$89</f>
        <v>1.4377608106111681</v>
      </c>
      <c r="D25" s="38">
        <f>Standing!$D$89</f>
        <v>0.56871402664052717</v>
      </c>
      <c r="E25" s="38">
        <f>Standing!$E$89</f>
        <v>1.2115343993951717</v>
      </c>
      <c r="F25" s="38">
        <f>Standing!$F$89</f>
        <v>0.76424001464431568</v>
      </c>
      <c r="G25" s="38">
        <f>Standing!$G$89</f>
        <v>0</v>
      </c>
      <c r="H25" s="38">
        <f>Standing!$H$89</f>
        <v>0.97122408270022764</v>
      </c>
      <c r="I25" s="38">
        <f>Standing!$I$89</f>
        <v>0.88179415982907139</v>
      </c>
      <c r="J25" s="38">
        <f>Standing!$J$89</f>
        <v>0</v>
      </c>
      <c r="K25" s="10"/>
      <c r="L25" s="10"/>
      <c r="M25" s="38">
        <f>Standing!$K$89</f>
        <v>0.86923511740343762</v>
      </c>
      <c r="N25" s="38">
        <f>Standing!$L$89</f>
        <v>0.52417044773624843</v>
      </c>
      <c r="O25" s="38">
        <f>Standing!$M$89</f>
        <v>0.20733844167816148</v>
      </c>
      <c r="P25" s="38">
        <f>Standing!$N$89</f>
        <v>0.44169414265011481</v>
      </c>
      <c r="Q25" s="38">
        <f>Standing!$O$89</f>
        <v>0.27862216559080022</v>
      </c>
      <c r="R25" s="38">
        <f>Standing!$P$89</f>
        <v>0</v>
      </c>
      <c r="S25" s="38">
        <f>Standing!$Q$89</f>
        <v>0.50583315639546567</v>
      </c>
      <c r="T25" s="38">
        <f>Standing!$R$89</f>
        <v>0.45925624282022615</v>
      </c>
      <c r="U25" s="38">
        <f>Standing!$S$89</f>
        <v>0</v>
      </c>
      <c r="V25" s="10"/>
      <c r="W25" s="10"/>
      <c r="X25" s="17"/>
    </row>
    <row r="26" spans="1:24" x14ac:dyDescent="0.25">
      <c r="A26" s="4" t="s">
        <v>179</v>
      </c>
      <c r="B26" s="38">
        <f>Standing!$B$90</f>
        <v>0</v>
      </c>
      <c r="C26" s="38">
        <f>Standing!$C$90</f>
        <v>1.2511903381653109</v>
      </c>
      <c r="D26" s="38">
        <f>Standing!$D$90</f>
        <v>0.49491507214558206</v>
      </c>
      <c r="E26" s="38">
        <f>Standing!$E$90</f>
        <v>1.0544343765560118</v>
      </c>
      <c r="F26" s="38">
        <f>Standing!$F$90</f>
        <v>0.66514078657851738</v>
      </c>
      <c r="G26" s="38">
        <f>Standing!$G$90</f>
        <v>0</v>
      </c>
      <c r="H26" s="38">
        <f>Standing!$H$90</f>
        <v>0.67622813559364126</v>
      </c>
      <c r="I26" s="38">
        <f>Standing!$I$90</f>
        <v>0</v>
      </c>
      <c r="J26" s="38">
        <f>Standing!$J$90</f>
        <v>0</v>
      </c>
      <c r="K26" s="10"/>
      <c r="L26" s="10"/>
      <c r="M26" s="38">
        <f>Standing!$K$90</f>
        <v>0.75627491169386463</v>
      </c>
      <c r="N26" s="38">
        <f>Standing!$L$90</f>
        <v>0.45615167343488372</v>
      </c>
      <c r="O26" s="38">
        <f>Standing!$M$90</f>
        <v>0.18043324942741512</v>
      </c>
      <c r="P26" s="38">
        <f>Standing!$N$90</f>
        <v>0.38441953292141251</v>
      </c>
      <c r="Q26" s="38">
        <f>Standing!$O$90</f>
        <v>0.24249314721570267</v>
      </c>
      <c r="R26" s="38">
        <f>Standing!$P$90</f>
        <v>0</v>
      </c>
      <c r="S26" s="38">
        <f>Standing!$Q$90</f>
        <v>0.35219329747235117</v>
      </c>
      <c r="T26" s="38">
        <f>Standing!$R$90</f>
        <v>0</v>
      </c>
      <c r="U26" s="38">
        <f>Standing!$S$90</f>
        <v>0</v>
      </c>
      <c r="V26" s="10"/>
      <c r="W26" s="10"/>
      <c r="X26" s="17"/>
    </row>
    <row r="27" spans="1:24" x14ac:dyDescent="0.25">
      <c r="A27" s="4" t="s">
        <v>180</v>
      </c>
      <c r="B27" s="38">
        <f>Standing!$B$91</f>
        <v>0</v>
      </c>
      <c r="C27" s="38">
        <f>Standing!$C$91</f>
        <v>1.182182286785568</v>
      </c>
      <c r="D27" s="38">
        <f>Standing!$D$91</f>
        <v>0.46761856602221141</v>
      </c>
      <c r="E27" s="38">
        <f>Standing!$E$91</f>
        <v>0.99627818767379672</v>
      </c>
      <c r="F27" s="38">
        <f>Standing!$F$91</f>
        <v>0.62845566507871553</v>
      </c>
      <c r="G27" s="38">
        <f>Standing!$G$91</f>
        <v>0</v>
      </c>
      <c r="H27" s="38">
        <f>Standing!$H$91</f>
        <v>0</v>
      </c>
      <c r="I27" s="38">
        <f>Standing!$I$91</f>
        <v>0</v>
      </c>
      <c r="J27" s="38">
        <f>Standing!$J$91</f>
        <v>0</v>
      </c>
      <c r="K27" s="10"/>
      <c r="L27" s="10"/>
      <c r="M27" s="38">
        <f>Standing!$K$91</f>
        <v>0.71456338597995261</v>
      </c>
      <c r="N27" s="38">
        <f>Standing!$L$91</f>
        <v>0.43099312068941709</v>
      </c>
      <c r="O27" s="38">
        <f>Standing!$M$91</f>
        <v>0.17048164848605946</v>
      </c>
      <c r="P27" s="38">
        <f>Standing!$N$91</f>
        <v>0.3632172888902469</v>
      </c>
      <c r="Q27" s="38">
        <f>Standing!$O$91</f>
        <v>0.22911869965815945</v>
      </c>
      <c r="R27" s="38">
        <f>Standing!$P$91</f>
        <v>0</v>
      </c>
      <c r="S27" s="38">
        <f>Standing!$Q$91</f>
        <v>0</v>
      </c>
      <c r="T27" s="38">
        <f>Standing!$R$91</f>
        <v>0</v>
      </c>
      <c r="U27" s="38">
        <f>Standing!$S$91</f>
        <v>0</v>
      </c>
      <c r="V27" s="10"/>
      <c r="W27" s="10"/>
      <c r="X27" s="17"/>
    </row>
    <row r="28" spans="1:24" x14ac:dyDescent="0.25">
      <c r="A28" s="4" t="s">
        <v>193</v>
      </c>
      <c r="B28" s="38">
        <f>Standing!$B$92</f>
        <v>0</v>
      </c>
      <c r="C28" s="38">
        <f>Standing!$C$92</f>
        <v>1.0545369000505067</v>
      </c>
      <c r="D28" s="38">
        <f>Standing!$D$92</f>
        <v>0.41712774631394189</v>
      </c>
      <c r="E28" s="38">
        <f>Standing!$E$92</f>
        <v>0.71096454302264778</v>
      </c>
      <c r="F28" s="38">
        <f>Standing!$F$92</f>
        <v>0</v>
      </c>
      <c r="G28" s="38">
        <f>Standing!$G$92</f>
        <v>0</v>
      </c>
      <c r="H28" s="38">
        <f>Standing!$H$92</f>
        <v>0</v>
      </c>
      <c r="I28" s="38">
        <f>Standing!$I$92</f>
        <v>0</v>
      </c>
      <c r="J28" s="38">
        <f>Standing!$J$92</f>
        <v>0</v>
      </c>
      <c r="K28" s="10"/>
      <c r="L28" s="10"/>
      <c r="M28" s="38">
        <f>Standing!$K$92</f>
        <v>0.63740885510118772</v>
      </c>
      <c r="N28" s="38">
        <f>Standing!$L$92</f>
        <v>0.38445691033886353</v>
      </c>
      <c r="O28" s="38">
        <f>Standing!$M$92</f>
        <v>0.15207400002483615</v>
      </c>
      <c r="P28" s="38">
        <f>Standing!$N$92</f>
        <v>0.25919930498200472</v>
      </c>
      <c r="Q28" s="38">
        <f>Standing!$O$92</f>
        <v>0</v>
      </c>
      <c r="R28" s="38">
        <f>Standing!$P$92</f>
        <v>0</v>
      </c>
      <c r="S28" s="38">
        <f>Standing!$Q$92</f>
        <v>0</v>
      </c>
      <c r="T28" s="38">
        <f>Standing!$R$92</f>
        <v>0</v>
      </c>
      <c r="U28" s="38">
        <f>Standing!$S$92</f>
        <v>0</v>
      </c>
      <c r="V28" s="10"/>
      <c r="W28" s="10"/>
      <c r="X28" s="17"/>
    </row>
    <row r="29" spans="1:24" x14ac:dyDescent="0.25">
      <c r="A29" s="4" t="s">
        <v>215</v>
      </c>
      <c r="B29" s="38">
        <f>Yard!$B$75</f>
        <v>0</v>
      </c>
      <c r="C29" s="38">
        <f>Yard!$C$75</f>
        <v>0.14473086992146619</v>
      </c>
      <c r="D29" s="38">
        <f>Yard!$D$75</f>
        <v>5.7249074536420683E-2</v>
      </c>
      <c r="E29" s="38">
        <f>Yard!$E$75</f>
        <v>0.14459058440025307</v>
      </c>
      <c r="F29" s="38">
        <f>Yard!$F$75</f>
        <v>9.120823180476334E-2</v>
      </c>
      <c r="G29" s="38">
        <f>Yard!$G$75</f>
        <v>0</v>
      </c>
      <c r="H29" s="38">
        <f>Yard!$H$75</f>
        <v>0.11591074737236656</v>
      </c>
      <c r="I29" s="38">
        <f>Yard!$I$75</f>
        <v>0.1052377323781036</v>
      </c>
      <c r="J29" s="38">
        <f>Yard!$J$75</f>
        <v>2.5002758217388637E-3</v>
      </c>
      <c r="K29" s="10"/>
      <c r="L29" s="10"/>
      <c r="M29" s="38">
        <f>Yard!$K$75</f>
        <v>6.9335116942766173E-2</v>
      </c>
      <c r="N29" s="38">
        <f>Yard!$L$75</f>
        <v>5.2765136125628088E-2</v>
      </c>
      <c r="O29" s="38">
        <f>Yard!$M$75</f>
        <v>2.0871533575522534E-2</v>
      </c>
      <c r="P29" s="38">
        <f>Yard!$N$75</f>
        <v>5.2713991648798211E-2</v>
      </c>
      <c r="Q29" s="38">
        <f>Yard!$O$75</f>
        <v>3.3252164998162435E-2</v>
      </c>
      <c r="R29" s="38">
        <f>Yard!$P$75</f>
        <v>0</v>
      </c>
      <c r="S29" s="38">
        <f>Yard!$Q$75</f>
        <v>6.0368662853285605E-2</v>
      </c>
      <c r="T29" s="38">
        <f>Yard!$R$75</f>
        <v>5.480994066036559E-2</v>
      </c>
      <c r="U29" s="38">
        <f>Yard!$S$75</f>
        <v>3.0384532375448331E-2</v>
      </c>
      <c r="V29" s="38">
        <f>Otex!$B$156</f>
        <v>1.5270367621041392</v>
      </c>
      <c r="W29" s="10"/>
      <c r="X29" s="17"/>
    </row>
    <row r="30" spans="1:24" x14ac:dyDescent="0.25">
      <c r="A30" s="4" t="s">
        <v>216</v>
      </c>
      <c r="B30" s="38">
        <f>Yard!$B$76</f>
        <v>0</v>
      </c>
      <c r="C30" s="38">
        <f>Yard!$C$76</f>
        <v>0.18580457164139302</v>
      </c>
      <c r="D30" s="38">
        <f>Yard!$D$76</f>
        <v>7.3495998309674695E-2</v>
      </c>
      <c r="E30" s="38">
        <f>Yard!$E$76</f>
        <v>0.16428290636294571</v>
      </c>
      <c r="F30" s="38">
        <f>Yard!$F$76</f>
        <v>0.10363021539240391</v>
      </c>
      <c r="G30" s="38">
        <f>Yard!$G$76</f>
        <v>0</v>
      </c>
      <c r="H30" s="38">
        <f>Yard!$H$76</f>
        <v>0.13169705714945729</v>
      </c>
      <c r="I30" s="38">
        <f>Yard!$I$76</f>
        <v>0.11957044510078403</v>
      </c>
      <c r="J30" s="38">
        <f>Yard!$J$76</f>
        <v>2.8407975554426497E-3</v>
      </c>
      <c r="K30" s="10"/>
      <c r="L30" s="10"/>
      <c r="M30" s="38">
        <f>Yard!$K$76</f>
        <v>0.10817301584023543</v>
      </c>
      <c r="N30" s="38">
        <f>Yard!$L$76</f>
        <v>6.7739546654711366E-2</v>
      </c>
      <c r="O30" s="38">
        <f>Yard!$M$76</f>
        <v>2.6794742252314322E-2</v>
      </c>
      <c r="P30" s="38">
        <f>Yard!$N$76</f>
        <v>5.9893303495365521E-2</v>
      </c>
      <c r="Q30" s="38">
        <f>Yard!$O$76</f>
        <v>3.7780899298646038E-2</v>
      </c>
      <c r="R30" s="38">
        <f>Yard!$P$76</f>
        <v>0</v>
      </c>
      <c r="S30" s="38">
        <f>Yard!$Q$76</f>
        <v>6.8590492444023904E-2</v>
      </c>
      <c r="T30" s="38">
        <f>Yard!$R$76</f>
        <v>6.2274707489526494E-2</v>
      </c>
      <c r="U30" s="38">
        <f>Yard!$S$76</f>
        <v>3.4522713272254632E-2</v>
      </c>
      <c r="V30" s="38">
        <f>Otex!$B$157</f>
        <v>1.5270367621041392</v>
      </c>
      <c r="W30" s="10"/>
      <c r="X30" s="17"/>
    </row>
    <row r="31" spans="1:24" x14ac:dyDescent="0.25">
      <c r="A31" s="4" t="s">
        <v>217</v>
      </c>
      <c r="B31" s="38">
        <f>Yard!$B$77</f>
        <v>0</v>
      </c>
      <c r="C31" s="38">
        <f>Yard!$C$77</f>
        <v>0.34238167139775755</v>
      </c>
      <c r="D31" s="38">
        <f>Yard!$D$77</f>
        <v>0.13543091281348907</v>
      </c>
      <c r="E31" s="38">
        <f>Yard!$E$77</f>
        <v>0.29588563151891761</v>
      </c>
      <c r="F31" s="38">
        <f>Yard!$F$77</f>
        <v>0.18664566146693706</v>
      </c>
      <c r="G31" s="38">
        <f>Yard!$G$77</f>
        <v>0</v>
      </c>
      <c r="H31" s="38">
        <f>Yard!$H$77</f>
        <v>0.23719611362219772</v>
      </c>
      <c r="I31" s="38">
        <f>Yard!$I$77</f>
        <v>0.2153551908893144</v>
      </c>
      <c r="J31" s="38">
        <f>Yard!$J$77</f>
        <v>5.1164859285636136E-3</v>
      </c>
      <c r="K31" s="10"/>
      <c r="L31" s="10"/>
      <c r="M31" s="38">
        <f>Yard!$K$77</f>
        <v>0.20546824826577392</v>
      </c>
      <c r="N31" s="38">
        <f>Yard!$L$77</f>
        <v>0.12482351213687594</v>
      </c>
      <c r="O31" s="38">
        <f>Yard!$M$77</f>
        <v>4.9374612023678141E-2</v>
      </c>
      <c r="P31" s="38">
        <f>Yard!$N$77</f>
        <v>0.10787225719837609</v>
      </c>
      <c r="Q31" s="38">
        <f>Yard!$O$77</f>
        <v>6.8046186275980775E-2</v>
      </c>
      <c r="R31" s="38">
        <f>Yard!$P$77</f>
        <v>0</v>
      </c>
      <c r="S31" s="38">
        <f>Yard!$Q$77</f>
        <v>0.12353653598114767</v>
      </c>
      <c r="T31" s="38">
        <f>Yard!$R$77</f>
        <v>0.11216134143917526</v>
      </c>
      <c r="U31" s="38">
        <f>Yard!$S$77</f>
        <v>6.2177952925548799E-2</v>
      </c>
      <c r="V31" s="38">
        <f>Otex!$B$158</f>
        <v>1.5270367621041392</v>
      </c>
      <c r="W31" s="10"/>
      <c r="X31" s="17"/>
    </row>
    <row r="32" spans="1:24" x14ac:dyDescent="0.25">
      <c r="A32" s="4" t="s">
        <v>218</v>
      </c>
      <c r="B32" s="38">
        <f>Yard!$B$78</f>
        <v>0</v>
      </c>
      <c r="C32" s="38">
        <f>Yard!$C$78</f>
        <v>0.12467790522273946</v>
      </c>
      <c r="D32" s="38">
        <f>Yard!$D$78</f>
        <v>4.9317016425137625E-2</v>
      </c>
      <c r="E32" s="38">
        <f>Yard!$E$78</f>
        <v>0.13960441771613083</v>
      </c>
      <c r="F32" s="38">
        <f>Yard!$F$78</f>
        <v>8.8062940922725708E-2</v>
      </c>
      <c r="G32" s="38">
        <f>Yard!$G$78</f>
        <v>0</v>
      </c>
      <c r="H32" s="38">
        <f>Yard!$H$78</f>
        <v>0.1119135970096574</v>
      </c>
      <c r="I32" s="38">
        <f>Yard!$I$78</f>
        <v>0.10160863801298428</v>
      </c>
      <c r="J32" s="38">
        <f>Yard!$J$78</f>
        <v>2.4140544951208025E-3</v>
      </c>
      <c r="K32" s="10"/>
      <c r="L32" s="10"/>
      <c r="M32" s="38">
        <f>Yard!$K$78</f>
        <v>4.621845829133004E-2</v>
      </c>
      <c r="N32" s="38">
        <f>Yard!$L$78</f>
        <v>4.5454343254522744E-2</v>
      </c>
      <c r="O32" s="38">
        <f>Yard!$M$78</f>
        <v>1.7979710108798754E-2</v>
      </c>
      <c r="P32" s="38">
        <f>Yard!$N$78</f>
        <v>5.0896164090824286E-2</v>
      </c>
      <c r="Q32" s="38">
        <f>Yard!$O$78</f>
        <v>3.2105473199547076E-2</v>
      </c>
      <c r="R32" s="38">
        <f>Yard!$P$78</f>
        <v>0</v>
      </c>
      <c r="S32" s="38">
        <f>Yard!$Q$78</f>
        <v>5.8286866056263098E-2</v>
      </c>
      <c r="T32" s="38">
        <f>Yard!$R$78</f>
        <v>5.2919834875033739E-2</v>
      </c>
      <c r="U32" s="38">
        <f>Yard!$S$78</f>
        <v>2.9336730102074098E-2</v>
      </c>
      <c r="V32" s="38">
        <f>Otex!$B$159</f>
        <v>1.5270367621041392</v>
      </c>
      <c r="W32" s="10"/>
      <c r="X32" s="17"/>
    </row>
    <row r="33" spans="1:24" x14ac:dyDescent="0.25">
      <c r="A33" s="4" t="s">
        <v>219</v>
      </c>
      <c r="B33" s="38">
        <f>Yard!$B$79</f>
        <v>0</v>
      </c>
      <c r="C33" s="38">
        <f>Yard!$C$79</f>
        <v>3.2606928792662275</v>
      </c>
      <c r="D33" s="38">
        <f>Yard!$D$79</f>
        <v>1.2897846173852208</v>
      </c>
      <c r="E33" s="38">
        <f>Yard!$E$79</f>
        <v>2.6621753070880865</v>
      </c>
      <c r="F33" s="38">
        <f>Yard!$F$79</f>
        <v>1.6793092269525558</v>
      </c>
      <c r="G33" s="38">
        <f>Yard!$G$79</f>
        <v>0</v>
      </c>
      <c r="H33" s="38">
        <f>Yard!$H$79</f>
        <v>2.1341274105833099</v>
      </c>
      <c r="I33" s="38">
        <f>Yard!$I$79</f>
        <v>1.9376178170453644</v>
      </c>
      <c r="J33" s="38">
        <f>Yard!$J$79</f>
        <v>4.6034619620300317E-2</v>
      </c>
      <c r="K33" s="10"/>
      <c r="L33" s="10"/>
      <c r="M33" s="38">
        <f>Yard!$K$79</f>
        <v>2.0965780496722233</v>
      </c>
      <c r="N33" s="38">
        <f>Yard!$L$79</f>
        <v>1.188764385453545</v>
      </c>
      <c r="O33" s="38">
        <f>Yard!$M$79</f>
        <v>0.47022215057506844</v>
      </c>
      <c r="P33" s="38">
        <f>Yard!$N$79</f>
        <v>0.9705603410316711</v>
      </c>
      <c r="Q33" s="38">
        <f>Yard!$O$79</f>
        <v>0.61223276005496163</v>
      </c>
      <c r="R33" s="38">
        <f>Yard!$P$79</f>
        <v>0</v>
      </c>
      <c r="S33" s="38">
        <f>Yard!$Q$79</f>
        <v>1.1114967425891495</v>
      </c>
      <c r="T33" s="38">
        <f>Yard!$R$79</f>
        <v>1.0091505696185097</v>
      </c>
      <c r="U33" s="38">
        <f>Yard!$S$79</f>
        <v>0.55943443442639196</v>
      </c>
      <c r="V33" s="38">
        <f>Otex!$B$160</f>
        <v>1.5270367621041392</v>
      </c>
      <c r="W33" s="10"/>
      <c r="X33" s="17"/>
    </row>
    <row r="34" spans="1:24" x14ac:dyDescent="0.25">
      <c r="A34" s="4" t="s">
        <v>181</v>
      </c>
      <c r="B34" s="38">
        <f>Yard!$B$42</f>
        <v>0</v>
      </c>
      <c r="C34" s="38">
        <f>Yard!$C$42</f>
        <v>-0.1316209213830333</v>
      </c>
      <c r="D34" s="38">
        <f>Yard!$D$42</f>
        <v>-5.2063363834532167E-2</v>
      </c>
      <c r="E34" s="38">
        <f>Yard!$E$42</f>
        <v>-0.13146351361230832</v>
      </c>
      <c r="F34" s="38">
        <f>Yard!$F$42</f>
        <v>-8.2927630959897358E-2</v>
      </c>
      <c r="G34" s="38">
        <f>Yard!$G$42</f>
        <v>0</v>
      </c>
      <c r="H34" s="38">
        <f>Yard!$H$42</f>
        <v>-0.10538745782241457</v>
      </c>
      <c r="I34" s="38">
        <f>Yard!$I$42</f>
        <v>-9.5683423097037229E-2</v>
      </c>
      <c r="J34" s="38">
        <f>Yard!$J$42</f>
        <v>0</v>
      </c>
      <c r="K34" s="10"/>
      <c r="L34" s="10"/>
      <c r="M34" s="38">
        <f>Yard!$K$42</f>
        <v>-6.308141718088911E-2</v>
      </c>
      <c r="N34" s="38">
        <f>Yard!$L$42</f>
        <v>-4.7985587577307025E-2</v>
      </c>
      <c r="O34" s="38">
        <f>Yard!$M$42</f>
        <v>-1.8980957423788299E-2</v>
      </c>
      <c r="P34" s="38">
        <f>Yard!$N$42</f>
        <v>-4.7928200770649652E-2</v>
      </c>
      <c r="Q34" s="38">
        <f>Yard!$O$42</f>
        <v>-3.0233271855196951E-2</v>
      </c>
      <c r="R34" s="38">
        <f>Yard!$P$42</f>
        <v>0</v>
      </c>
      <c r="S34" s="38">
        <f>Yard!$Q$42</f>
        <v>-5.4887920701673823E-2</v>
      </c>
      <c r="T34" s="38">
        <f>Yard!$R$42</f>
        <v>-4.9833863041507789E-2</v>
      </c>
      <c r="U34" s="38">
        <f>Yard!$S$42</f>
        <v>0</v>
      </c>
      <c r="V34" s="10"/>
      <c r="W34" s="10"/>
      <c r="X34" s="17"/>
    </row>
    <row r="35" spans="1:24" x14ac:dyDescent="0.25">
      <c r="A35" s="4" t="s">
        <v>182</v>
      </c>
      <c r="B35" s="38">
        <f>Yard!$B$43</f>
        <v>0</v>
      </c>
      <c r="C35" s="38">
        <f>Yard!$C$43</f>
        <v>-0.12538109856161625</v>
      </c>
      <c r="D35" s="38">
        <f>Yard!$D$43</f>
        <v>-4.9595168334904467E-2</v>
      </c>
      <c r="E35" s="38">
        <f>Yard!$E$43</f>
        <v>-0.12523115310455474</v>
      </c>
      <c r="F35" s="38">
        <f>Yard!$F$43</f>
        <v>-7.8996236780671386E-2</v>
      </c>
      <c r="G35" s="38">
        <f>Yard!$G$43</f>
        <v>0</v>
      </c>
      <c r="H35" s="38">
        <f>Yard!$H$43</f>
        <v>-0.10039129872018691</v>
      </c>
      <c r="I35" s="38">
        <f>Yard!$I$43</f>
        <v>0</v>
      </c>
      <c r="J35" s="38">
        <f>Yard!$J$43</f>
        <v>0</v>
      </c>
      <c r="K35" s="10"/>
      <c r="L35" s="10"/>
      <c r="M35" s="38">
        <f>Yard!$K$43</f>
        <v>-6.0090882983159496E-2</v>
      </c>
      <c r="N35" s="38">
        <f>Yard!$L$43</f>
        <v>-4.5710709379238233E-2</v>
      </c>
      <c r="O35" s="38">
        <f>Yard!$M$43</f>
        <v>-1.8081117109187927E-2</v>
      </c>
      <c r="P35" s="38">
        <f>Yard!$N$43</f>
        <v>-4.5656043139357526E-2</v>
      </c>
      <c r="Q35" s="38">
        <f>Yard!$O$43</f>
        <v>-2.8799987103001912E-2</v>
      </c>
      <c r="R35" s="38">
        <f>Yard!$P$43</f>
        <v>0</v>
      </c>
      <c r="S35" s="38">
        <f>Yard!$Q$43</f>
        <v>-5.2285819936722149E-2</v>
      </c>
      <c r="T35" s="38">
        <f>Yard!$R$43</f>
        <v>0</v>
      </c>
      <c r="U35" s="38">
        <f>Yard!$S$43</f>
        <v>0</v>
      </c>
      <c r="V35" s="10"/>
      <c r="W35" s="10"/>
      <c r="X35" s="17"/>
    </row>
    <row r="36" spans="1:24" x14ac:dyDescent="0.25">
      <c r="A36" s="4" t="s">
        <v>183</v>
      </c>
      <c r="B36" s="38">
        <f>Yard!$B$44</f>
        <v>0</v>
      </c>
      <c r="C36" s="38">
        <f>Yard!$C$44</f>
        <v>-0.1316209213830333</v>
      </c>
      <c r="D36" s="38">
        <f>Yard!$D$44</f>
        <v>-5.2063363834532167E-2</v>
      </c>
      <c r="E36" s="38">
        <f>Yard!$E$44</f>
        <v>-0.13146351361230832</v>
      </c>
      <c r="F36" s="38">
        <f>Yard!$F$44</f>
        <v>-8.2927630959897358E-2</v>
      </c>
      <c r="G36" s="38">
        <f>Yard!$G$44</f>
        <v>0</v>
      </c>
      <c r="H36" s="38">
        <f>Yard!$H$44</f>
        <v>-0.10538745782241457</v>
      </c>
      <c r="I36" s="38">
        <f>Yard!$I$44</f>
        <v>-9.5683423097037229E-2</v>
      </c>
      <c r="J36" s="38">
        <f>Yard!$J$44</f>
        <v>0</v>
      </c>
      <c r="K36" s="10"/>
      <c r="L36" s="10"/>
      <c r="M36" s="38">
        <f>Yard!$K$44</f>
        <v>-6.308141718088911E-2</v>
      </c>
      <c r="N36" s="38">
        <f>Yard!$L$44</f>
        <v>-4.7985587577307025E-2</v>
      </c>
      <c r="O36" s="38">
        <f>Yard!$M$44</f>
        <v>-1.8980957423788299E-2</v>
      </c>
      <c r="P36" s="38">
        <f>Yard!$N$44</f>
        <v>-4.7928200770649652E-2</v>
      </c>
      <c r="Q36" s="38">
        <f>Yard!$O$44</f>
        <v>-3.0233271855196951E-2</v>
      </c>
      <c r="R36" s="38">
        <f>Yard!$P$44</f>
        <v>0</v>
      </c>
      <c r="S36" s="38">
        <f>Yard!$Q$44</f>
        <v>-5.4887920701673823E-2</v>
      </c>
      <c r="T36" s="38">
        <f>Yard!$R$44</f>
        <v>-4.9833863041507789E-2</v>
      </c>
      <c r="U36" s="38">
        <f>Yard!$S$44</f>
        <v>0</v>
      </c>
      <c r="V36" s="10"/>
      <c r="W36" s="10"/>
      <c r="X36" s="17"/>
    </row>
    <row r="37" spans="1:24" x14ac:dyDescent="0.25">
      <c r="A37" s="4" t="s">
        <v>184</v>
      </c>
      <c r="B37" s="38">
        <f>Yard!$B$80</f>
        <v>0</v>
      </c>
      <c r="C37" s="38">
        <f>Yard!$C$80</f>
        <v>-1.0438585486970788</v>
      </c>
      <c r="D37" s="38">
        <f>Yard!$D$80</f>
        <v>-0.41290386696539505</v>
      </c>
      <c r="E37" s="38">
        <f>Yard!$E$80</f>
        <v>-0.87970655178016766</v>
      </c>
      <c r="F37" s="38">
        <f>Yard!$F$80</f>
        <v>-0.55492188117052899</v>
      </c>
      <c r="G37" s="38">
        <f>Yard!$G$80</f>
        <v>0</v>
      </c>
      <c r="H37" s="38">
        <f>Yard!$H$80</f>
        <v>-0.70521496477905021</v>
      </c>
      <c r="I37" s="38">
        <f>Yard!$I$80</f>
        <v>-0.64027905448692291</v>
      </c>
      <c r="J37" s="38">
        <f>Yard!$J$80</f>
        <v>0</v>
      </c>
      <c r="K37" s="10"/>
      <c r="L37" s="10"/>
      <c r="M37" s="38">
        <f>Yard!$K$80</f>
        <v>-0.63095438612031973</v>
      </c>
      <c r="N37" s="38">
        <f>Yard!$L$80</f>
        <v>-0.38056385930513009</v>
      </c>
      <c r="O37" s="38">
        <f>Yard!$M$80</f>
        <v>-0.15053408273611096</v>
      </c>
      <c r="P37" s="38">
        <f>Yard!$N$80</f>
        <v>-0.32071828201181041</v>
      </c>
      <c r="Q37" s="38">
        <f>Yard!$O$80</f>
        <v>-0.20231018175279933</v>
      </c>
      <c r="R37" s="38">
        <f>Yard!$P$80</f>
        <v>0</v>
      </c>
      <c r="S37" s="38">
        <f>Yard!$Q$80</f>
        <v>-0.36729022470255984</v>
      </c>
      <c r="T37" s="38">
        <f>Yard!$R$80</f>
        <v>-0.33347028855027883</v>
      </c>
      <c r="U37" s="38">
        <f>Yard!$S$80</f>
        <v>0</v>
      </c>
      <c r="V37" s="10"/>
      <c r="W37" s="10"/>
      <c r="X37" s="17"/>
    </row>
    <row r="38" spans="1:24" x14ac:dyDescent="0.25">
      <c r="A38" s="4" t="s">
        <v>185</v>
      </c>
      <c r="B38" s="38">
        <f>Yard!$B$46</f>
        <v>0</v>
      </c>
      <c r="C38" s="38">
        <f>Yard!$C$46</f>
        <v>-0.12538109856161625</v>
      </c>
      <c r="D38" s="38">
        <f>Yard!$D$46</f>
        <v>-4.9595168334904467E-2</v>
      </c>
      <c r="E38" s="38">
        <f>Yard!$E$46</f>
        <v>-0.12523115310455474</v>
      </c>
      <c r="F38" s="38">
        <f>Yard!$F$46</f>
        <v>-7.8996236780671386E-2</v>
      </c>
      <c r="G38" s="38">
        <f>Yard!$G$46</f>
        <v>0</v>
      </c>
      <c r="H38" s="38">
        <f>Yard!$H$46</f>
        <v>-0.10039129872018691</v>
      </c>
      <c r="I38" s="38">
        <f>Yard!$I$46</f>
        <v>0</v>
      </c>
      <c r="J38" s="38">
        <f>Yard!$J$46</f>
        <v>0</v>
      </c>
      <c r="K38" s="10"/>
      <c r="L38" s="10"/>
      <c r="M38" s="38">
        <f>Yard!$K$46</f>
        <v>-6.0090882983159496E-2</v>
      </c>
      <c r="N38" s="38">
        <f>Yard!$L$46</f>
        <v>-4.5710709379238233E-2</v>
      </c>
      <c r="O38" s="38">
        <f>Yard!$M$46</f>
        <v>-1.8081117109187927E-2</v>
      </c>
      <c r="P38" s="38">
        <f>Yard!$N$46</f>
        <v>-4.5656043139357526E-2</v>
      </c>
      <c r="Q38" s="38">
        <f>Yard!$O$46</f>
        <v>-2.8799987103001912E-2</v>
      </c>
      <c r="R38" s="38">
        <f>Yard!$P$46</f>
        <v>0</v>
      </c>
      <c r="S38" s="38">
        <f>Yard!$Q$46</f>
        <v>-5.2285819936722149E-2</v>
      </c>
      <c r="T38" s="38">
        <f>Yard!$R$46</f>
        <v>0</v>
      </c>
      <c r="U38" s="38">
        <f>Yard!$S$46</f>
        <v>0</v>
      </c>
      <c r="V38" s="10"/>
      <c r="W38" s="10"/>
      <c r="X38" s="17"/>
    </row>
    <row r="39" spans="1:24" x14ac:dyDescent="0.25">
      <c r="A39" s="4" t="s">
        <v>186</v>
      </c>
      <c r="B39" s="38">
        <f>Yard!$B$81</f>
        <v>0</v>
      </c>
      <c r="C39" s="38">
        <f>Yard!$C$81</f>
        <v>-0.99437179289830824</v>
      </c>
      <c r="D39" s="38">
        <f>Yard!$D$81</f>
        <v>-0.39332911437234619</v>
      </c>
      <c r="E39" s="38">
        <f>Yard!$E$81</f>
        <v>-0.83800183675257955</v>
      </c>
      <c r="F39" s="38">
        <f>Yard!$F$81</f>
        <v>-0.52861440526284331</v>
      </c>
      <c r="G39" s="38">
        <f>Yard!$G$81</f>
        <v>0</v>
      </c>
      <c r="H39" s="38">
        <f>Yard!$H$81</f>
        <v>-0.67178246495307337</v>
      </c>
      <c r="I39" s="38">
        <f>Yard!$I$81</f>
        <v>0</v>
      </c>
      <c r="J39" s="38">
        <f>Yard!$J$81</f>
        <v>0</v>
      </c>
      <c r="K39" s="10"/>
      <c r="L39" s="10"/>
      <c r="M39" s="38">
        <f>Yard!$K$81</f>
        <v>-0.60104239692880312</v>
      </c>
      <c r="N39" s="38">
        <f>Yard!$L$81</f>
        <v>-0.36252226660583436</v>
      </c>
      <c r="O39" s="38">
        <f>Yard!$M$81</f>
        <v>-0.14339763364437144</v>
      </c>
      <c r="P39" s="38">
        <f>Yard!$N$81</f>
        <v>-0.30551382033265867</v>
      </c>
      <c r="Q39" s="38">
        <f>Yard!$O$81</f>
        <v>-0.19271915567699432</v>
      </c>
      <c r="R39" s="38">
        <f>Yard!$P$81</f>
        <v>0</v>
      </c>
      <c r="S39" s="38">
        <f>Yard!$Q$81</f>
        <v>-0.34987790223816273</v>
      </c>
      <c r="T39" s="38">
        <f>Yard!$R$81</f>
        <v>0</v>
      </c>
      <c r="U39" s="38">
        <f>Yard!$S$81</f>
        <v>0</v>
      </c>
      <c r="V39" s="10"/>
      <c r="W39" s="10"/>
      <c r="X39" s="17"/>
    </row>
    <row r="40" spans="1:24" x14ac:dyDescent="0.25">
      <c r="A40" s="4" t="s">
        <v>194</v>
      </c>
      <c r="B40" s="38">
        <f>Yard!$B$48</f>
        <v>0</v>
      </c>
      <c r="C40" s="38">
        <f>Yard!$C$48</f>
        <v>-0.12375824050967604</v>
      </c>
      <c r="D40" s="38">
        <f>Yard!$D$48</f>
        <v>-4.8953238098266155E-2</v>
      </c>
      <c r="E40" s="38">
        <f>Yard!$E$48</f>
        <v>-0.12361023585705107</v>
      </c>
      <c r="F40" s="38">
        <f>Yard!$F$48</f>
        <v>-3.3528715370160792E-2</v>
      </c>
      <c r="G40" s="38">
        <f>Yard!$G$48</f>
        <v>0</v>
      </c>
      <c r="H40" s="38">
        <f>Yard!$H$48</f>
        <v>0</v>
      </c>
      <c r="I40" s="38">
        <f>Yard!$I$48</f>
        <v>0</v>
      </c>
      <c r="J40" s="38">
        <f>Yard!$J$48</f>
        <v>0</v>
      </c>
      <c r="K40" s="10"/>
      <c r="L40" s="10"/>
      <c r="M40" s="38">
        <f>Yard!$K$48</f>
        <v>-5.9313102485012932E-2</v>
      </c>
      <c r="N40" s="38">
        <f>Yard!$L$48</f>
        <v>-4.5119057259205654E-2</v>
      </c>
      <c r="O40" s="38">
        <f>Yard!$M$48</f>
        <v>-1.7847085928847775E-2</v>
      </c>
      <c r="P40" s="38">
        <f>Yard!$N$48</f>
        <v>-4.5065098586482805E-2</v>
      </c>
      <c r="Q40" s="38">
        <f>Yard!$O$48</f>
        <v>-2.8427217271647216E-2</v>
      </c>
      <c r="R40" s="38">
        <f>Yard!$P$48</f>
        <v>0</v>
      </c>
      <c r="S40" s="38">
        <f>Yard!$Q$48</f>
        <v>0</v>
      </c>
      <c r="T40" s="38">
        <f>Yard!$R$48</f>
        <v>0</v>
      </c>
      <c r="U40" s="38">
        <f>Yard!$S$48</f>
        <v>0</v>
      </c>
      <c r="V40" s="10"/>
      <c r="W40" s="10"/>
      <c r="X40" s="17"/>
    </row>
    <row r="41" spans="1:24" x14ac:dyDescent="0.25">
      <c r="A41" s="4" t="s">
        <v>195</v>
      </c>
      <c r="B41" s="38">
        <f>Yard!$B$82</f>
        <v>0</v>
      </c>
      <c r="C41" s="38">
        <f>Yard!$C$82</f>
        <v>-0.98150123833115233</v>
      </c>
      <c r="D41" s="38">
        <f>Yard!$D$82</f>
        <v>-0.38823809724421038</v>
      </c>
      <c r="E41" s="38">
        <f>Yard!$E$82</f>
        <v>-0.8271552415008534</v>
      </c>
      <c r="F41" s="38">
        <f>Yard!$F$82</f>
        <v>-0.22436210453712793</v>
      </c>
      <c r="G41" s="38">
        <f>Yard!$G$82</f>
        <v>0</v>
      </c>
      <c r="H41" s="38">
        <f>Yard!$H$82</f>
        <v>0</v>
      </c>
      <c r="I41" s="38">
        <f>Yard!$I$82</f>
        <v>0</v>
      </c>
      <c r="J41" s="38">
        <f>Yard!$J$82</f>
        <v>0</v>
      </c>
      <c r="K41" s="10"/>
      <c r="L41" s="10"/>
      <c r="M41" s="38">
        <f>Yard!$K$82</f>
        <v>-0.59326286313460841</v>
      </c>
      <c r="N41" s="38">
        <f>Yard!$L$82</f>
        <v>-0.35782999491482054</v>
      </c>
      <c r="O41" s="38">
        <f>Yard!$M$82</f>
        <v>-0.14154158032326758</v>
      </c>
      <c r="P41" s="38">
        <f>Yard!$N$82</f>
        <v>-0.30155943192010048</v>
      </c>
      <c r="Q41" s="38">
        <f>Yard!$O$82</f>
        <v>-0.19022471403354496</v>
      </c>
      <c r="R41" s="38">
        <f>Yard!$P$82</f>
        <v>0</v>
      </c>
      <c r="S41" s="38">
        <f>Yard!$Q$82</f>
        <v>0</v>
      </c>
      <c r="T41" s="38">
        <f>Yard!$R$82</f>
        <v>0</v>
      </c>
      <c r="U41" s="38">
        <f>Yard!$S$82</f>
        <v>0</v>
      </c>
      <c r="V41" s="10"/>
      <c r="W41" s="10"/>
      <c r="X41" s="17"/>
    </row>
    <row r="43" spans="1:24" ht="21" customHeight="1" x14ac:dyDescent="0.3">
      <c r="A43" s="1" t="s">
        <v>1063</v>
      </c>
    </row>
    <row r="44" spans="1:24" x14ac:dyDescent="0.25">
      <c r="A44" s="2" t="s">
        <v>350</v>
      </c>
    </row>
    <row r="45" spans="1:24" x14ac:dyDescent="0.25">
      <c r="A45" s="32" t="s">
        <v>1064</v>
      </c>
    </row>
    <row r="46" spans="1:24" x14ac:dyDescent="0.25">
      <c r="A46" s="32" t="s">
        <v>1065</v>
      </c>
    </row>
    <row r="47" spans="1:24" x14ac:dyDescent="0.25">
      <c r="A47" s="32" t="s">
        <v>1066</v>
      </c>
    </row>
    <row r="48" spans="1:24" x14ac:dyDescent="0.25">
      <c r="A48" s="32" t="s">
        <v>1067</v>
      </c>
    </row>
    <row r="49" spans="1:24" x14ac:dyDescent="0.25">
      <c r="A49" s="32" t="s">
        <v>1068</v>
      </c>
    </row>
    <row r="50" spans="1:24" x14ac:dyDescent="0.25">
      <c r="A50" s="2" t="s">
        <v>439</v>
      </c>
    </row>
    <row r="52" spans="1:24" ht="30" x14ac:dyDescent="0.25">
      <c r="B52" s="15" t="s">
        <v>139</v>
      </c>
      <c r="C52" s="15" t="s">
        <v>313</v>
      </c>
      <c r="D52" s="15" t="s">
        <v>314</v>
      </c>
      <c r="E52" s="15" t="s">
        <v>315</v>
      </c>
      <c r="F52" s="15" t="s">
        <v>316</v>
      </c>
      <c r="G52" s="15" t="s">
        <v>317</v>
      </c>
      <c r="H52" s="15" t="s">
        <v>318</v>
      </c>
      <c r="I52" s="15" t="s">
        <v>319</v>
      </c>
      <c r="J52" s="15" t="s">
        <v>320</v>
      </c>
      <c r="K52" s="15" t="s">
        <v>462</v>
      </c>
      <c r="L52" s="15" t="s">
        <v>474</v>
      </c>
      <c r="M52" s="15" t="s">
        <v>301</v>
      </c>
      <c r="N52" s="15" t="s">
        <v>876</v>
      </c>
      <c r="O52" s="15" t="s">
        <v>877</v>
      </c>
      <c r="P52" s="15" t="s">
        <v>878</v>
      </c>
      <c r="Q52" s="15" t="s">
        <v>879</v>
      </c>
      <c r="R52" s="15" t="s">
        <v>880</v>
      </c>
      <c r="S52" s="15" t="s">
        <v>881</v>
      </c>
      <c r="T52" s="15" t="s">
        <v>882</v>
      </c>
      <c r="U52" s="15" t="s">
        <v>883</v>
      </c>
      <c r="V52" s="15" t="s">
        <v>884</v>
      </c>
      <c r="W52" s="15" t="s">
        <v>885</v>
      </c>
    </row>
    <row r="53" spans="1:24" x14ac:dyDescent="0.25">
      <c r="A53" s="4" t="s">
        <v>171</v>
      </c>
      <c r="B53" s="10"/>
      <c r="C53" s="10"/>
      <c r="D53" s="10"/>
      <c r="E53" s="10"/>
      <c r="F53" s="10"/>
      <c r="G53" s="10"/>
      <c r="H53" s="10"/>
      <c r="I53" s="10"/>
      <c r="J53" s="10"/>
      <c r="K53" s="10"/>
      <c r="L53" s="10"/>
      <c r="M53" s="10"/>
      <c r="N53" s="10"/>
      <c r="O53" s="10"/>
      <c r="P53" s="10"/>
      <c r="Q53" s="10"/>
      <c r="R53" s="10"/>
      <c r="S53" s="10"/>
      <c r="T53" s="10"/>
      <c r="U53" s="10"/>
      <c r="V53" s="10"/>
      <c r="W53" s="10"/>
      <c r="X53" s="17"/>
    </row>
    <row r="54" spans="1:24" x14ac:dyDescent="0.25">
      <c r="A54" s="4" t="s">
        <v>172</v>
      </c>
      <c r="B54" s="38">
        <f>Standing!$B$106</f>
        <v>0</v>
      </c>
      <c r="C54" s="38">
        <f>Standing!$C$106</f>
        <v>2.1762410221114321E-2</v>
      </c>
      <c r="D54" s="38">
        <f>Standing!$D$106</f>
        <v>8.6082384878690705E-3</v>
      </c>
      <c r="E54" s="38">
        <f>Standing!$E$106</f>
        <v>3.0237137464179883E-2</v>
      </c>
      <c r="F54" s="38">
        <f>Standing!$F$106</f>
        <v>1.9073689026051038E-2</v>
      </c>
      <c r="G54" s="38">
        <f>Standing!$G$106</f>
        <v>0</v>
      </c>
      <c r="H54" s="38">
        <f>Standing!$H$106</f>
        <v>2.4239539638156005E-2</v>
      </c>
      <c r="I54" s="38">
        <f>Standing!$I$106</f>
        <v>2.2007572578354725E-2</v>
      </c>
      <c r="J54" s="38">
        <f>Standing!$J$106</f>
        <v>0</v>
      </c>
      <c r="K54" s="10"/>
      <c r="L54" s="10"/>
      <c r="M54" s="38">
        <f>Standing!$K$106</f>
        <v>2.7999104116190974E-3</v>
      </c>
      <c r="N54" s="38">
        <f>Standing!$L$106</f>
        <v>7.9340125459202004E-3</v>
      </c>
      <c r="O54" s="38">
        <f>Standing!$M$106</f>
        <v>3.1383413632540755E-3</v>
      </c>
      <c r="P54" s="38">
        <f>Standing!$N$106</f>
        <v>1.1023679158513398E-2</v>
      </c>
      <c r="Q54" s="38">
        <f>Standing!$O$106</f>
        <v>6.9537742599321628E-3</v>
      </c>
      <c r="R54" s="38">
        <f>Standing!$P$106</f>
        <v>0</v>
      </c>
      <c r="S54" s="38">
        <f>Standing!$Q$106</f>
        <v>1.2624442765723635E-2</v>
      </c>
      <c r="T54" s="38">
        <f>Standing!$R$106</f>
        <v>1.1461989153894842E-2</v>
      </c>
      <c r="U54" s="38">
        <f>Standing!$S$106</f>
        <v>0</v>
      </c>
      <c r="V54" s="10"/>
      <c r="W54" s="10"/>
      <c r="X54" s="17"/>
    </row>
    <row r="55" spans="1:24" x14ac:dyDescent="0.25">
      <c r="A55" s="4" t="s">
        <v>213</v>
      </c>
      <c r="B55" s="10"/>
      <c r="C55" s="10"/>
      <c r="D55" s="10"/>
      <c r="E55" s="10"/>
      <c r="F55" s="10"/>
      <c r="G55" s="10"/>
      <c r="H55" s="10"/>
      <c r="I55" s="10"/>
      <c r="J55" s="10"/>
      <c r="K55" s="10"/>
      <c r="L55" s="10"/>
      <c r="M55" s="10"/>
      <c r="N55" s="10"/>
      <c r="O55" s="10"/>
      <c r="P55" s="10"/>
      <c r="Q55" s="10"/>
      <c r="R55" s="10"/>
      <c r="S55" s="10"/>
      <c r="T55" s="10"/>
      <c r="U55" s="10"/>
      <c r="V55" s="10"/>
      <c r="W55" s="10"/>
      <c r="X55" s="17"/>
    </row>
    <row r="56" spans="1:24" x14ac:dyDescent="0.25">
      <c r="A56" s="4" t="s">
        <v>173</v>
      </c>
      <c r="B56" s="10"/>
      <c r="C56" s="10"/>
      <c r="D56" s="10"/>
      <c r="E56" s="10"/>
      <c r="F56" s="10"/>
      <c r="G56" s="10"/>
      <c r="H56" s="10"/>
      <c r="I56" s="10"/>
      <c r="J56" s="10"/>
      <c r="K56" s="10"/>
      <c r="L56" s="10"/>
      <c r="M56" s="10"/>
      <c r="N56" s="10"/>
      <c r="O56" s="10"/>
      <c r="P56" s="10"/>
      <c r="Q56" s="10"/>
      <c r="R56" s="10"/>
      <c r="S56" s="10"/>
      <c r="T56" s="10"/>
      <c r="U56" s="10"/>
      <c r="V56" s="10"/>
      <c r="W56" s="10"/>
      <c r="X56" s="17"/>
    </row>
    <row r="57" spans="1:24" x14ac:dyDescent="0.25">
      <c r="A57" s="4" t="s">
        <v>174</v>
      </c>
      <c r="B57" s="38">
        <f>Standing!$B$107</f>
        <v>0</v>
      </c>
      <c r="C57" s="38">
        <f>Standing!$C$107</f>
        <v>1.8251136138600545E-2</v>
      </c>
      <c r="D57" s="38">
        <f>Standing!$D$107</f>
        <v>7.2193351269156719E-3</v>
      </c>
      <c r="E57" s="38">
        <f>Standing!$E$107</f>
        <v>2.5358130335189827E-2</v>
      </c>
      <c r="F57" s="38">
        <f>Standing!$F$107</f>
        <v>1.5995994755405019E-2</v>
      </c>
      <c r="G57" s="38">
        <f>Standing!$G$107</f>
        <v>0</v>
      </c>
      <c r="H57" s="38">
        <f>Standing!$H$107</f>
        <v>2.0328293514474439E-2</v>
      </c>
      <c r="I57" s="38">
        <f>Standing!$I$107</f>
        <v>1.8456472424487325E-2</v>
      </c>
      <c r="J57" s="38">
        <f>Standing!$J$107</f>
        <v>0</v>
      </c>
      <c r="K57" s="10"/>
      <c r="L57" s="10"/>
      <c r="M57" s="38">
        <f>Standing!$K$107</f>
        <v>2.3481923874902875E-3</v>
      </c>
      <c r="N57" s="38">
        <f>Standing!$L$107</f>
        <v>6.6538927273993697E-3</v>
      </c>
      <c r="O57" s="38">
        <f>Standing!$M$107</f>
        <v>2.631983079455915E-3</v>
      </c>
      <c r="P57" s="38">
        <f>Standing!$N$107</f>
        <v>9.2449192059285545E-3</v>
      </c>
      <c r="Q57" s="38">
        <f>Standing!$O$107</f>
        <v>5.8317264395064206E-3</v>
      </c>
      <c r="R57" s="38">
        <f>Standing!$P$107</f>
        <v>0</v>
      </c>
      <c r="S57" s="38">
        <f>Standing!$Q$107</f>
        <v>1.0587386634783322E-2</v>
      </c>
      <c r="T57" s="38">
        <f>Standing!$R$107</f>
        <v>9.6125043321087702E-3</v>
      </c>
      <c r="U57" s="38">
        <f>Standing!$S$107</f>
        <v>0</v>
      </c>
      <c r="V57" s="10"/>
      <c r="W57" s="10"/>
      <c r="X57" s="17"/>
    </row>
    <row r="58" spans="1:24" x14ac:dyDescent="0.25">
      <c r="A58" s="4" t="s">
        <v>214</v>
      </c>
      <c r="B58" s="10"/>
      <c r="C58" s="10"/>
      <c r="D58" s="10"/>
      <c r="E58" s="10"/>
      <c r="F58" s="10"/>
      <c r="G58" s="10"/>
      <c r="H58" s="10"/>
      <c r="I58" s="10"/>
      <c r="J58" s="10"/>
      <c r="K58" s="10"/>
      <c r="L58" s="10"/>
      <c r="M58" s="10"/>
      <c r="N58" s="10"/>
      <c r="O58" s="10"/>
      <c r="P58" s="10"/>
      <c r="Q58" s="10"/>
      <c r="R58" s="10"/>
      <c r="S58" s="10"/>
      <c r="T58" s="10"/>
      <c r="U58" s="10"/>
      <c r="V58" s="10"/>
      <c r="W58" s="10"/>
      <c r="X58" s="17"/>
    </row>
    <row r="59" spans="1:24" x14ac:dyDescent="0.25">
      <c r="A59" s="4" t="s">
        <v>175</v>
      </c>
      <c r="B59" s="38">
        <f>Standing!$B$108</f>
        <v>0</v>
      </c>
      <c r="C59" s="38">
        <f>Standing!$C$108</f>
        <v>1.3813342942816083E-2</v>
      </c>
      <c r="D59" s="38">
        <f>Standing!$D$108</f>
        <v>5.4639421441985579E-3</v>
      </c>
      <c r="E59" s="38">
        <f>Standing!$E$108</f>
        <v>1.9192540952865204E-2</v>
      </c>
      <c r="F59" s="38">
        <f>Standing!$F$108</f>
        <v>1.2106720028916898E-2</v>
      </c>
      <c r="G59" s="38">
        <f>Standing!$G$108</f>
        <v>0</v>
      </c>
      <c r="H59" s="38">
        <f>Standing!$H$108</f>
        <v>1.5385661348896689E-2</v>
      </c>
      <c r="I59" s="38">
        <f>Standing!$I$108</f>
        <v>1.39689558405982E-2</v>
      </c>
      <c r="J59" s="38">
        <f>Standing!$J$108</f>
        <v>0</v>
      </c>
      <c r="K59" s="10"/>
      <c r="L59" s="10"/>
      <c r="M59" s="38">
        <f>Standing!$K$108</f>
        <v>1.7771984964850801E-3</v>
      </c>
      <c r="N59" s="38">
        <f>Standing!$L$108</f>
        <v>5.0359879763257837E-3</v>
      </c>
      <c r="O59" s="38">
        <f>Standing!$M$108</f>
        <v>1.9920121476339737E-3</v>
      </c>
      <c r="P59" s="38">
        <f>Standing!$N$108</f>
        <v>6.9971046019700793E-3</v>
      </c>
      <c r="Q59" s="38">
        <f>Standing!$O$108</f>
        <v>4.4137973516451632E-3</v>
      </c>
      <c r="R59" s="38">
        <f>Standing!$P$108</f>
        <v>0</v>
      </c>
      <c r="S59" s="38">
        <f>Standing!$Q$108</f>
        <v>8.0131637816339626E-3</v>
      </c>
      <c r="T59" s="38">
        <f>Standing!$R$108</f>
        <v>7.2753148838254319E-3</v>
      </c>
      <c r="U59" s="38">
        <f>Standing!$S$108</f>
        <v>0</v>
      </c>
      <c r="V59" s="10"/>
      <c r="W59" s="10"/>
      <c r="X59" s="17"/>
    </row>
    <row r="60" spans="1:24" x14ac:dyDescent="0.25">
      <c r="A60" s="4" t="s">
        <v>176</v>
      </c>
      <c r="B60" s="38">
        <f>Standing!$B$109</f>
        <v>0</v>
      </c>
      <c r="C60" s="38">
        <f>Standing!$C$109</f>
        <v>1.3158486468412502E-2</v>
      </c>
      <c r="D60" s="38">
        <f>Standing!$D$109</f>
        <v>5.2049101413222474E-3</v>
      </c>
      <c r="E60" s="38">
        <f>Standing!$E$109</f>
        <v>1.8282669985694572E-2</v>
      </c>
      <c r="F60" s="38">
        <f>Standing!$F$109</f>
        <v>1.1532770332051454E-2</v>
      </c>
      <c r="G60" s="38">
        <f>Standing!$G$109</f>
        <v>0</v>
      </c>
      <c r="H60" s="38">
        <f>Standing!$H$109</f>
        <v>1.4656265141981704E-2</v>
      </c>
      <c r="I60" s="38">
        <f>Standing!$I$109</f>
        <v>0</v>
      </c>
      <c r="J60" s="38">
        <f>Standing!$J$109</f>
        <v>0</v>
      </c>
      <c r="K60" s="10"/>
      <c r="L60" s="10"/>
      <c r="M60" s="38">
        <f>Standing!$K$109</f>
        <v>1.6929459048755432E-3</v>
      </c>
      <c r="N60" s="38">
        <f>Standing!$L$109</f>
        <v>4.7972442236391358E-3</v>
      </c>
      <c r="O60" s="38">
        <f>Standing!$M$109</f>
        <v>1.8975757713441117E-3</v>
      </c>
      <c r="P60" s="38">
        <f>Standing!$N$109</f>
        <v>6.6653891533890973E-3</v>
      </c>
      <c r="Q60" s="38">
        <f>Standing!$O$109</f>
        <v>4.2045501198638502E-3</v>
      </c>
      <c r="R60" s="38">
        <f>Standing!$P$109</f>
        <v>0</v>
      </c>
      <c r="S60" s="38">
        <f>Standing!$Q$109</f>
        <v>7.6332794766845683E-3</v>
      </c>
      <c r="T60" s="38">
        <f>Standing!$R$109</f>
        <v>0</v>
      </c>
      <c r="U60" s="38">
        <f>Standing!$S$109</f>
        <v>0</v>
      </c>
      <c r="V60" s="10"/>
      <c r="W60" s="10"/>
      <c r="X60" s="17"/>
    </row>
    <row r="61" spans="1:24" x14ac:dyDescent="0.25">
      <c r="A61" s="4" t="s">
        <v>192</v>
      </c>
      <c r="B61" s="38">
        <f>Standing!$B$110</f>
        <v>0</v>
      </c>
      <c r="C61" s="38">
        <f>Standing!$C$110</f>
        <v>1.6410360099574885E-2</v>
      </c>
      <c r="D61" s="38">
        <f>Standing!$D$110</f>
        <v>6.4912062576549549E-3</v>
      </c>
      <c r="E61" s="38">
        <f>Standing!$E$110</f>
        <v>1.8240711727274147E-2</v>
      </c>
      <c r="F61" s="38">
        <f>Standing!$F$110</f>
        <v>0</v>
      </c>
      <c r="G61" s="38">
        <f>Standing!$G$110</f>
        <v>0</v>
      </c>
      <c r="H61" s="38">
        <f>Standing!$H$110</f>
        <v>0</v>
      </c>
      <c r="I61" s="38">
        <f>Standing!$I$110</f>
        <v>0</v>
      </c>
      <c r="J61" s="38">
        <f>Standing!$J$110</f>
        <v>0</v>
      </c>
      <c r="K61" s="10"/>
      <c r="L61" s="10"/>
      <c r="M61" s="38">
        <f>Standing!$K$110</f>
        <v>2.1113257968383989E-3</v>
      </c>
      <c r="N61" s="38">
        <f>Standing!$L$110</f>
        <v>5.9827933390747684E-3</v>
      </c>
      <c r="O61" s="38">
        <f>Standing!$M$110</f>
        <v>2.3665261045590687E-3</v>
      </c>
      <c r="P61" s="38">
        <f>Standing!$N$110</f>
        <v>6.65009225633908E-3</v>
      </c>
      <c r="Q61" s="38">
        <f>Standing!$O$110</f>
        <v>0</v>
      </c>
      <c r="R61" s="38">
        <f>Standing!$P$110</f>
        <v>0</v>
      </c>
      <c r="S61" s="38">
        <f>Standing!$Q$110</f>
        <v>0</v>
      </c>
      <c r="T61" s="38">
        <f>Standing!$R$110</f>
        <v>0</v>
      </c>
      <c r="U61" s="38">
        <f>Standing!$S$110</f>
        <v>0</v>
      </c>
      <c r="V61" s="10"/>
      <c r="W61" s="10"/>
      <c r="X61" s="17"/>
    </row>
    <row r="62" spans="1:24" x14ac:dyDescent="0.25">
      <c r="A62" s="4" t="s">
        <v>177</v>
      </c>
      <c r="B62" s="38">
        <f>Standing!$B$111</f>
        <v>0</v>
      </c>
      <c r="C62" s="38">
        <f>Standing!$C$111</f>
        <v>0.14777144645466794</v>
      </c>
      <c r="D62" s="38">
        <f>Standing!$D$111</f>
        <v>5.8451790948457802E-2</v>
      </c>
      <c r="E62" s="38">
        <f>Standing!$E$111</f>
        <v>0.20239851997197436</v>
      </c>
      <c r="F62" s="38">
        <f>Standing!$F$111</f>
        <v>0.1276736739333115</v>
      </c>
      <c r="G62" s="38">
        <f>Standing!$G$111</f>
        <v>0</v>
      </c>
      <c r="H62" s="38">
        <f>Standing!$H$111</f>
        <v>0.16225236113625774</v>
      </c>
      <c r="I62" s="38">
        <f>Standing!$I$111</f>
        <v>0.14731222898700463</v>
      </c>
      <c r="J62" s="38">
        <f>Standing!$J$111</f>
        <v>0</v>
      </c>
      <c r="K62" s="10"/>
      <c r="L62" s="10"/>
      <c r="M62" s="38">
        <f>Standing!$K$111</f>
        <v>2.8460092324639086E-2</v>
      </c>
      <c r="N62" s="38">
        <f>Standing!$L$111</f>
        <v>5.3873651777899344E-2</v>
      </c>
      <c r="O62" s="38">
        <f>Standing!$M$111</f>
        <v>2.1310012907790086E-2</v>
      </c>
      <c r="P62" s="38">
        <f>Standing!$N$111</f>
        <v>7.378927151990336E-2</v>
      </c>
      <c r="Q62" s="38">
        <f>Standing!$O$111</f>
        <v>4.6546523132250293E-2</v>
      </c>
      <c r="R62" s="38">
        <f>Standing!$P$111</f>
        <v>0</v>
      </c>
      <c r="S62" s="38">
        <f>Standing!$Q$111</f>
        <v>8.4504313091155414E-2</v>
      </c>
      <c r="T62" s="38">
        <f>Standing!$R$111</f>
        <v>7.6723189932624142E-2</v>
      </c>
      <c r="U62" s="38">
        <f>Standing!$S$111</f>
        <v>0</v>
      </c>
      <c r="V62" s="10"/>
      <c r="W62" s="10"/>
      <c r="X62" s="17"/>
    </row>
    <row r="63" spans="1:24" x14ac:dyDescent="0.25">
      <c r="A63" s="4" t="s">
        <v>178</v>
      </c>
      <c r="B63" s="38">
        <f>Standing!$B$112</f>
        <v>0</v>
      </c>
      <c r="C63" s="38">
        <f>Standing!$C$112</f>
        <v>0.14370164078670752</v>
      </c>
      <c r="D63" s="38">
        <f>Standing!$D$112</f>
        <v>5.6841957412873872E-2</v>
      </c>
      <c r="E63" s="38">
        <f>Standing!$E$112</f>
        <v>0.19676490732250448</v>
      </c>
      <c r="F63" s="38">
        <f>Standing!$F$112</f>
        <v>0.1241199719369995</v>
      </c>
      <c r="G63" s="38">
        <f>Standing!$G$112</f>
        <v>0</v>
      </c>
      <c r="H63" s="38">
        <f>Standing!$H$112</f>
        <v>0.15773618703463807</v>
      </c>
      <c r="I63" s="38">
        <f>Standing!$I$112</f>
        <v>0.14321190238008227</v>
      </c>
      <c r="J63" s="38">
        <f>Standing!$J$112</f>
        <v>0</v>
      </c>
      <c r="K63" s="10"/>
      <c r="L63" s="10"/>
      <c r="M63" s="38">
        <f>Standing!$K$112</f>
        <v>2.7691704897787661E-2</v>
      </c>
      <c r="N63" s="38">
        <f>Standing!$L$112</f>
        <v>5.2389905772701501E-2</v>
      </c>
      <c r="O63" s="38">
        <f>Standing!$M$112</f>
        <v>2.0723109189939293E-2</v>
      </c>
      <c r="P63" s="38">
        <f>Standing!$N$112</f>
        <v>7.1735401889397851E-2</v>
      </c>
      <c r="Q63" s="38">
        <f>Standing!$O$112</f>
        <v>4.5250935192462011E-2</v>
      </c>
      <c r="R63" s="38">
        <f>Standing!$P$112</f>
        <v>0</v>
      </c>
      <c r="S63" s="38">
        <f>Standing!$Q$112</f>
        <v>8.2152198227711651E-2</v>
      </c>
      <c r="T63" s="38">
        <f>Standing!$R$112</f>
        <v>7.4587656859694734E-2</v>
      </c>
      <c r="U63" s="38">
        <f>Standing!$S$112</f>
        <v>0</v>
      </c>
      <c r="V63" s="10"/>
      <c r="W63" s="10"/>
      <c r="X63" s="17"/>
    </row>
    <row r="64" spans="1:24" x14ac:dyDescent="0.25">
      <c r="A64" s="4" t="s">
        <v>179</v>
      </c>
      <c r="B64" s="38">
        <f>Standing!$B$113</f>
        <v>0</v>
      </c>
      <c r="C64" s="38">
        <f>Standing!$C$113</f>
        <v>0.12505425325538078</v>
      </c>
      <c r="D64" s="38">
        <f>Standing!$D$113</f>
        <v>4.9465882914947364E-2</v>
      </c>
      <c r="E64" s="38">
        <f>Standing!$E$113</f>
        <v>0.17125034376595785</v>
      </c>
      <c r="F64" s="38">
        <f>Standing!$F$113</f>
        <v>0.10802529857416882</v>
      </c>
      <c r="G64" s="38">
        <f>Standing!$G$113</f>
        <v>0</v>
      </c>
      <c r="H64" s="38">
        <f>Standing!$H$113</f>
        <v>0.10982599131760412</v>
      </c>
      <c r="I64" s="38">
        <f>Standing!$I$113</f>
        <v>0</v>
      </c>
      <c r="J64" s="38">
        <f>Standing!$J$113</f>
        <v>0</v>
      </c>
      <c r="K64" s="10"/>
      <c r="L64" s="10"/>
      <c r="M64" s="38">
        <f>Standing!$K$113</f>
        <v>2.4093069017719928E-2</v>
      </c>
      <c r="N64" s="38">
        <f>Standing!$L$113</f>
        <v>4.5591550024465521E-2</v>
      </c>
      <c r="O64" s="38">
        <f>Standing!$M$113</f>
        <v>1.8033982985094031E-2</v>
      </c>
      <c r="P64" s="38">
        <f>Standing!$N$113</f>
        <v>6.2433451172334606E-2</v>
      </c>
      <c r="Q64" s="38">
        <f>Standing!$O$113</f>
        <v>3.9383233081999369E-2</v>
      </c>
      <c r="R64" s="38">
        <f>Standing!$P$113</f>
        <v>0</v>
      </c>
      <c r="S64" s="38">
        <f>Standing!$Q$113</f>
        <v>5.7199598766118701E-2</v>
      </c>
      <c r="T64" s="38">
        <f>Standing!$R$113</f>
        <v>0</v>
      </c>
      <c r="U64" s="38">
        <f>Standing!$S$113</f>
        <v>0</v>
      </c>
      <c r="V64" s="10"/>
      <c r="W64" s="10"/>
      <c r="X64" s="17"/>
    </row>
    <row r="65" spans="1:24" x14ac:dyDescent="0.25">
      <c r="A65" s="4" t="s">
        <v>180</v>
      </c>
      <c r="B65" s="38">
        <f>Standing!$B$114</f>
        <v>0</v>
      </c>
      <c r="C65" s="38">
        <f>Standing!$C$114</f>
        <v>0.11815702101927118</v>
      </c>
      <c r="D65" s="38">
        <f>Standing!$D$114</f>
        <v>4.6737645583172178E-2</v>
      </c>
      <c r="E65" s="38">
        <f>Standing!$E$114</f>
        <v>0.16180521606562029</v>
      </c>
      <c r="F65" s="38">
        <f>Standing!$F$114</f>
        <v>0.10206727993629362</v>
      </c>
      <c r="G65" s="38">
        <f>Standing!$G$114</f>
        <v>0</v>
      </c>
      <c r="H65" s="38">
        <f>Standing!$H$114</f>
        <v>0</v>
      </c>
      <c r="I65" s="38">
        <f>Standing!$I$114</f>
        <v>0</v>
      </c>
      <c r="J65" s="38">
        <f>Standing!$J$114</f>
        <v>0</v>
      </c>
      <c r="K65" s="10"/>
      <c r="L65" s="10"/>
      <c r="M65" s="38">
        <f>Standing!$K$114</f>
        <v>2.2764241824961642E-2</v>
      </c>
      <c r="N65" s="38">
        <f>Standing!$L$114</f>
        <v>4.3076997337634634E-2</v>
      </c>
      <c r="O65" s="38">
        <f>Standing!$M$114</f>
        <v>1.7039338136539944E-2</v>
      </c>
      <c r="P65" s="38">
        <f>Standing!$N$114</f>
        <v>5.8990001622817777E-2</v>
      </c>
      <c r="Q65" s="38">
        <f>Standing!$O$114</f>
        <v>3.7211093408983514E-2</v>
      </c>
      <c r="R65" s="38">
        <f>Standing!$P$114</f>
        <v>0</v>
      </c>
      <c r="S65" s="38">
        <f>Standing!$Q$114</f>
        <v>0</v>
      </c>
      <c r="T65" s="38">
        <f>Standing!$R$114</f>
        <v>0</v>
      </c>
      <c r="U65" s="38">
        <f>Standing!$S$114</f>
        <v>0</v>
      </c>
      <c r="V65" s="10"/>
      <c r="W65" s="10"/>
      <c r="X65" s="17"/>
    </row>
    <row r="66" spans="1:24" x14ac:dyDescent="0.25">
      <c r="A66" s="4" t="s">
        <v>193</v>
      </c>
      <c r="B66" s="38">
        <f>Standing!$B$115</f>
        <v>0</v>
      </c>
      <c r="C66" s="38">
        <f>Standing!$C$115</f>
        <v>0.10539909120416868</v>
      </c>
      <c r="D66" s="38">
        <f>Standing!$D$115</f>
        <v>4.1691177781855542E-2</v>
      </c>
      <c r="E66" s="38">
        <f>Standing!$E$115</f>
        <v>0.11546751993775498</v>
      </c>
      <c r="F66" s="38">
        <f>Standing!$F$115</f>
        <v>0</v>
      </c>
      <c r="G66" s="38">
        <f>Standing!$G$115</f>
        <v>0</v>
      </c>
      <c r="H66" s="38">
        <f>Standing!$H$115</f>
        <v>0</v>
      </c>
      <c r="I66" s="38">
        <f>Standing!$I$115</f>
        <v>0</v>
      </c>
      <c r="J66" s="38">
        <f>Standing!$J$115</f>
        <v>0</v>
      </c>
      <c r="K66" s="10"/>
      <c r="L66" s="10"/>
      <c r="M66" s="38">
        <f>Standing!$K$115</f>
        <v>2.0306287172825364E-2</v>
      </c>
      <c r="N66" s="38">
        <f>Standing!$L$115</f>
        <v>3.8425785721616784E-2</v>
      </c>
      <c r="O66" s="38">
        <f>Standing!$M$115</f>
        <v>1.5199526349085345E-2</v>
      </c>
      <c r="P66" s="38">
        <f>Standing!$N$115</f>
        <v>4.2096474725193817E-2</v>
      </c>
      <c r="Q66" s="38">
        <f>Standing!$O$115</f>
        <v>0</v>
      </c>
      <c r="R66" s="38">
        <f>Standing!$P$115</f>
        <v>0</v>
      </c>
      <c r="S66" s="38">
        <f>Standing!$Q$115</f>
        <v>0</v>
      </c>
      <c r="T66" s="38">
        <f>Standing!$R$115</f>
        <v>0</v>
      </c>
      <c r="U66" s="38">
        <f>Standing!$S$115</f>
        <v>0</v>
      </c>
      <c r="V66" s="10"/>
      <c r="W66" s="10"/>
      <c r="X66" s="17"/>
    </row>
    <row r="67" spans="1:24" x14ac:dyDescent="0.25">
      <c r="A67" s="4" t="s">
        <v>215</v>
      </c>
      <c r="B67" s="10"/>
      <c r="C67" s="10"/>
      <c r="D67" s="10"/>
      <c r="E67" s="10"/>
      <c r="F67" s="10"/>
      <c r="G67" s="10"/>
      <c r="H67" s="10"/>
      <c r="I67" s="10"/>
      <c r="J67" s="10"/>
      <c r="K67" s="10"/>
      <c r="L67" s="10"/>
      <c r="M67" s="10"/>
      <c r="N67" s="10"/>
      <c r="O67" s="10"/>
      <c r="P67" s="10"/>
      <c r="Q67" s="10"/>
      <c r="R67" s="10"/>
      <c r="S67" s="10"/>
      <c r="T67" s="10"/>
      <c r="U67" s="10"/>
      <c r="V67" s="10"/>
      <c r="W67" s="10"/>
      <c r="X67" s="17"/>
    </row>
    <row r="68" spans="1:24" x14ac:dyDescent="0.25">
      <c r="A68" s="4" t="s">
        <v>216</v>
      </c>
      <c r="B68" s="10"/>
      <c r="C68" s="10"/>
      <c r="D68" s="10"/>
      <c r="E68" s="10"/>
      <c r="F68" s="10"/>
      <c r="G68" s="10"/>
      <c r="H68" s="10"/>
      <c r="I68" s="10"/>
      <c r="J68" s="10"/>
      <c r="K68" s="10"/>
      <c r="L68" s="10"/>
      <c r="M68" s="10"/>
      <c r="N68" s="10"/>
      <c r="O68" s="10"/>
      <c r="P68" s="10"/>
      <c r="Q68" s="10"/>
      <c r="R68" s="10"/>
      <c r="S68" s="10"/>
      <c r="T68" s="10"/>
      <c r="U68" s="10"/>
      <c r="V68" s="10"/>
      <c r="W68" s="10"/>
      <c r="X68" s="17"/>
    </row>
    <row r="69" spans="1:24" x14ac:dyDescent="0.25">
      <c r="A69" s="4" t="s">
        <v>217</v>
      </c>
      <c r="B69" s="10"/>
      <c r="C69" s="10"/>
      <c r="D69" s="10"/>
      <c r="E69" s="10"/>
      <c r="F69" s="10"/>
      <c r="G69" s="10"/>
      <c r="H69" s="10"/>
      <c r="I69" s="10"/>
      <c r="J69" s="10"/>
      <c r="K69" s="10"/>
      <c r="L69" s="10"/>
      <c r="M69" s="10"/>
      <c r="N69" s="10"/>
      <c r="O69" s="10"/>
      <c r="P69" s="10"/>
      <c r="Q69" s="10"/>
      <c r="R69" s="10"/>
      <c r="S69" s="10"/>
      <c r="T69" s="10"/>
      <c r="U69" s="10"/>
      <c r="V69" s="10"/>
      <c r="W69" s="10"/>
      <c r="X69" s="17"/>
    </row>
    <row r="70" spans="1:24" x14ac:dyDescent="0.25">
      <c r="A70" s="4" t="s">
        <v>218</v>
      </c>
      <c r="B70" s="10"/>
      <c r="C70" s="10"/>
      <c r="D70" s="10"/>
      <c r="E70" s="10"/>
      <c r="F70" s="10"/>
      <c r="G70" s="10"/>
      <c r="H70" s="10"/>
      <c r="I70" s="10"/>
      <c r="J70" s="10"/>
      <c r="K70" s="10"/>
      <c r="L70" s="10"/>
      <c r="M70" s="10"/>
      <c r="N70" s="10"/>
      <c r="O70" s="10"/>
      <c r="P70" s="10"/>
      <c r="Q70" s="10"/>
      <c r="R70" s="10"/>
      <c r="S70" s="10"/>
      <c r="T70" s="10"/>
      <c r="U70" s="10"/>
      <c r="V70" s="10"/>
      <c r="W70" s="10"/>
      <c r="X70" s="17"/>
    </row>
    <row r="71" spans="1:24" x14ac:dyDescent="0.25">
      <c r="A71" s="4" t="s">
        <v>219</v>
      </c>
      <c r="B71" s="38">
        <f>Yard!$B$104</f>
        <v>0</v>
      </c>
      <c r="C71" s="38">
        <f>Yard!$C$104</f>
        <v>0.11255429905679941</v>
      </c>
      <c r="D71" s="38">
        <f>Yard!$D$104</f>
        <v>4.4521458757165865E-2</v>
      </c>
      <c r="E71" s="38">
        <f>Yard!$E$104</f>
        <v>0.15215295350547192</v>
      </c>
      <c r="F71" s="38">
        <f>Yard!$F$104</f>
        <v>9.5978599925225644E-2</v>
      </c>
      <c r="G71" s="38">
        <f>Yard!$G$104</f>
        <v>0</v>
      </c>
      <c r="H71" s="38">
        <f>Yard!$H$104</f>
        <v>0.12197310515677899</v>
      </c>
      <c r="I71" s="38">
        <f>Yard!$I$104</f>
        <v>0.11074187069624206</v>
      </c>
      <c r="J71" s="38">
        <f>Yard!$J$104</f>
        <v>2.6310451156543162E-3</v>
      </c>
      <c r="K71" s="10"/>
      <c r="L71" s="10"/>
      <c r="M71" s="38">
        <f>Yard!$K$104</f>
        <v>1.8269287517982544E-2</v>
      </c>
      <c r="N71" s="38">
        <f>Yard!$L$104</f>
        <v>4.1034389653563624E-2</v>
      </c>
      <c r="O71" s="38">
        <f>Yard!$M$104</f>
        <v>1.6231373673827189E-2</v>
      </c>
      <c r="P71" s="38">
        <f>Yard!$N$104</f>
        <v>5.5471036054636706E-2</v>
      </c>
      <c r="Q71" s="38">
        <f>Yard!$O$104</f>
        <v>3.4991317974871088E-2</v>
      </c>
      <c r="R71" s="38">
        <f>Yard!$P$104</f>
        <v>0</v>
      </c>
      <c r="S71" s="38">
        <f>Yard!$Q$104</f>
        <v>6.3526061467992778E-2</v>
      </c>
      <c r="T71" s="38">
        <f>Yard!$R$104</f>
        <v>5.7676607280658342E-2</v>
      </c>
      <c r="U71" s="38">
        <f>Yard!$S$104</f>
        <v>3.197370258224784E-2</v>
      </c>
      <c r="V71" s="38">
        <f>Otex!$B$160</f>
        <v>1.5270367621041392</v>
      </c>
      <c r="W71" s="10"/>
      <c r="X71" s="17"/>
    </row>
    <row r="72" spans="1:24" x14ac:dyDescent="0.25">
      <c r="A72" s="4" t="s">
        <v>181</v>
      </c>
      <c r="B72" s="10"/>
      <c r="C72" s="10"/>
      <c r="D72" s="10"/>
      <c r="E72" s="10"/>
      <c r="F72" s="10"/>
      <c r="G72" s="10"/>
      <c r="H72" s="10"/>
      <c r="I72" s="10"/>
      <c r="J72" s="10"/>
      <c r="K72" s="10"/>
      <c r="L72" s="10"/>
      <c r="M72" s="10"/>
      <c r="N72" s="10"/>
      <c r="O72" s="10"/>
      <c r="P72" s="10"/>
      <c r="Q72" s="10"/>
      <c r="R72" s="10"/>
      <c r="S72" s="10"/>
      <c r="T72" s="10"/>
      <c r="U72" s="10"/>
      <c r="V72" s="10"/>
      <c r="W72" s="10"/>
      <c r="X72" s="17"/>
    </row>
    <row r="73" spans="1:24" x14ac:dyDescent="0.25">
      <c r="A73" s="4" t="s">
        <v>182</v>
      </c>
      <c r="B73" s="10"/>
      <c r="C73" s="10"/>
      <c r="D73" s="10"/>
      <c r="E73" s="10"/>
      <c r="F73" s="10"/>
      <c r="G73" s="10"/>
      <c r="H73" s="10"/>
      <c r="I73" s="10"/>
      <c r="J73" s="10"/>
      <c r="K73" s="10"/>
      <c r="L73" s="10"/>
      <c r="M73" s="10"/>
      <c r="N73" s="10"/>
      <c r="O73" s="10"/>
      <c r="P73" s="10"/>
      <c r="Q73" s="10"/>
      <c r="R73" s="10"/>
      <c r="S73" s="10"/>
      <c r="T73" s="10"/>
      <c r="U73" s="10"/>
      <c r="V73" s="10"/>
      <c r="W73" s="10"/>
      <c r="X73" s="17"/>
    </row>
    <row r="74" spans="1:24" x14ac:dyDescent="0.25">
      <c r="A74" s="4" t="s">
        <v>183</v>
      </c>
      <c r="B74" s="10"/>
      <c r="C74" s="10"/>
      <c r="D74" s="10"/>
      <c r="E74" s="10"/>
      <c r="F74" s="10"/>
      <c r="G74" s="10"/>
      <c r="H74" s="10"/>
      <c r="I74" s="10"/>
      <c r="J74" s="10"/>
      <c r="K74" s="10"/>
      <c r="L74" s="10"/>
      <c r="M74" s="10"/>
      <c r="N74" s="10"/>
      <c r="O74" s="10"/>
      <c r="P74" s="10"/>
      <c r="Q74" s="10"/>
      <c r="R74" s="10"/>
      <c r="S74" s="10"/>
      <c r="T74" s="10"/>
      <c r="U74" s="10"/>
      <c r="V74" s="10"/>
      <c r="W74" s="10"/>
      <c r="X74" s="17"/>
    </row>
    <row r="75" spans="1:24" x14ac:dyDescent="0.25">
      <c r="A75" s="4" t="s">
        <v>184</v>
      </c>
      <c r="B75" s="38">
        <f>Yard!$B$105</f>
        <v>0</v>
      </c>
      <c r="C75" s="38">
        <f>Yard!$C$105</f>
        <v>-0.10433180894201531</v>
      </c>
      <c r="D75" s="38">
        <f>Yard!$D$105</f>
        <v>-4.1269008538966492E-2</v>
      </c>
      <c r="E75" s="38">
        <f>Yard!$E$105</f>
        <v>-0.14287285463659821</v>
      </c>
      <c r="F75" s="38">
        <f>Yard!$F$105</f>
        <v>-9.0124682034830331E-2</v>
      </c>
      <c r="G75" s="38">
        <f>Yard!$G$105</f>
        <v>0</v>
      </c>
      <c r="H75" s="38">
        <f>Yard!$H$105</f>
        <v>-0.11453373280731134</v>
      </c>
      <c r="I75" s="38">
        <f>Yard!$I$105</f>
        <v>-0.10398751276031018</v>
      </c>
      <c r="J75" s="38">
        <f>Yard!$J$105</f>
        <v>0</v>
      </c>
      <c r="K75" s="10"/>
      <c r="L75" s="10"/>
      <c r="M75" s="38">
        <f>Yard!$K$105</f>
        <v>-2.0100663577193343E-2</v>
      </c>
      <c r="N75" s="38">
        <f>Yard!$L$105</f>
        <v>-3.8036682181525103E-2</v>
      </c>
      <c r="O75" s="38">
        <f>Yard!$M$105</f>
        <v>-1.5045614349653702E-2</v>
      </c>
      <c r="P75" s="38">
        <f>Yard!$N$105</f>
        <v>-5.208775175363644E-2</v>
      </c>
      <c r="Q75" s="38">
        <f>Yard!$O$105</f>
        <v>-3.2857130744997014E-2</v>
      </c>
      <c r="R75" s="38">
        <f>Yard!$P$105</f>
        <v>0</v>
      </c>
      <c r="S75" s="38">
        <f>Yard!$Q$105</f>
        <v>-5.9651485801921859E-2</v>
      </c>
      <c r="T75" s="38">
        <f>Yard!$R$105</f>
        <v>-5.4158800983415085E-2</v>
      </c>
      <c r="U75" s="38">
        <f>Yard!$S$105</f>
        <v>0</v>
      </c>
      <c r="V75" s="10"/>
      <c r="W75" s="10"/>
      <c r="X75" s="17"/>
    </row>
    <row r="76" spans="1:24" x14ac:dyDescent="0.25">
      <c r="A76" s="4" t="s">
        <v>185</v>
      </c>
      <c r="B76" s="10"/>
      <c r="C76" s="10"/>
      <c r="D76" s="10"/>
      <c r="E76" s="10"/>
      <c r="F76" s="10"/>
      <c r="G76" s="10"/>
      <c r="H76" s="10"/>
      <c r="I76" s="10"/>
      <c r="J76" s="10"/>
      <c r="K76" s="10"/>
      <c r="L76" s="10"/>
      <c r="M76" s="10"/>
      <c r="N76" s="10"/>
      <c r="O76" s="10"/>
      <c r="P76" s="10"/>
      <c r="Q76" s="10"/>
      <c r="R76" s="10"/>
      <c r="S76" s="10"/>
      <c r="T76" s="10"/>
      <c r="U76" s="10"/>
      <c r="V76" s="10"/>
      <c r="W76" s="10"/>
      <c r="X76" s="17"/>
    </row>
    <row r="77" spans="1:24" x14ac:dyDescent="0.25">
      <c r="A77" s="4" t="s">
        <v>186</v>
      </c>
      <c r="B77" s="38">
        <f>Yard!$B$106</f>
        <v>0</v>
      </c>
      <c r="C77" s="38">
        <f>Yard!$C$106</f>
        <v>-9.9385695546094124E-2</v>
      </c>
      <c r="D77" s="38">
        <f>Yard!$D$106</f>
        <v>-3.9312546765314961E-2</v>
      </c>
      <c r="E77" s="38">
        <f>Yard!$E$106</f>
        <v>-0.13609960544828667</v>
      </c>
      <c r="F77" s="38">
        <f>Yard!$F$106</f>
        <v>-8.5852093438543678E-2</v>
      </c>
      <c r="G77" s="38">
        <f>Yard!$G$106</f>
        <v>0</v>
      </c>
      <c r="H77" s="38">
        <f>Yard!$H$106</f>
        <v>-0.10910397139640793</v>
      </c>
      <c r="I77" s="38">
        <f>Yard!$I$106</f>
        <v>0</v>
      </c>
      <c r="J77" s="38">
        <f>Yard!$J$106</f>
        <v>0</v>
      </c>
      <c r="K77" s="10"/>
      <c r="L77" s="10"/>
      <c r="M77" s="38">
        <f>Yard!$K$106</f>
        <v>-1.9147740759174185E-2</v>
      </c>
      <c r="N77" s="38">
        <f>Yard!$L$106</f>
        <v>-3.6233457017673124E-2</v>
      </c>
      <c r="O77" s="38">
        <f>Yard!$M$106</f>
        <v>-1.4332338931166083E-2</v>
      </c>
      <c r="P77" s="38">
        <f>Yard!$N$106</f>
        <v>-4.961840008299432E-2</v>
      </c>
      <c r="Q77" s="38">
        <f>Yard!$O$106</f>
        <v>-3.1299455322924302E-2</v>
      </c>
      <c r="R77" s="38">
        <f>Yard!$P$106</f>
        <v>0</v>
      </c>
      <c r="S77" s="38">
        <f>Yard!$Q$106</f>
        <v>-5.6823556180041486E-2</v>
      </c>
      <c r="T77" s="38">
        <f>Yard!$R$106</f>
        <v>0</v>
      </c>
      <c r="U77" s="38">
        <f>Yard!$S$106</f>
        <v>0</v>
      </c>
      <c r="V77" s="10"/>
      <c r="W77" s="10"/>
      <c r="X77" s="17"/>
    </row>
    <row r="78" spans="1:24" x14ac:dyDescent="0.25">
      <c r="A78" s="4" t="s">
        <v>194</v>
      </c>
      <c r="B78" s="10"/>
      <c r="C78" s="10"/>
      <c r="D78" s="10"/>
      <c r="E78" s="10"/>
      <c r="F78" s="10"/>
      <c r="G78" s="10"/>
      <c r="H78" s="10"/>
      <c r="I78" s="10"/>
      <c r="J78" s="10"/>
      <c r="K78" s="10"/>
      <c r="L78" s="10"/>
      <c r="M78" s="10"/>
      <c r="N78" s="10"/>
      <c r="O78" s="10"/>
      <c r="P78" s="10"/>
      <c r="Q78" s="10"/>
      <c r="R78" s="10"/>
      <c r="S78" s="10"/>
      <c r="T78" s="10"/>
      <c r="U78" s="10"/>
      <c r="V78" s="10"/>
      <c r="W78" s="10"/>
      <c r="X78" s="17"/>
    </row>
    <row r="79" spans="1:24" x14ac:dyDescent="0.25">
      <c r="A79" s="4" t="s">
        <v>195</v>
      </c>
      <c r="B79" s="38">
        <f>Yard!$B$107</f>
        <v>0</v>
      </c>
      <c r="C79" s="38">
        <f>Yard!$C$107</f>
        <v>-9.809930646420717E-2</v>
      </c>
      <c r="D79" s="38">
        <f>Yard!$D$107</f>
        <v>-3.880370864065126E-2</v>
      </c>
      <c r="E79" s="38">
        <f>Yard!$E$107</f>
        <v>-0.13433801344517388</v>
      </c>
      <c r="F79" s="38">
        <f>Yard!$F$107</f>
        <v>-3.6438576344154254E-2</v>
      </c>
      <c r="G79" s="38">
        <f>Yard!$G$107</f>
        <v>0</v>
      </c>
      <c r="H79" s="38">
        <f>Yard!$H$107</f>
        <v>0</v>
      </c>
      <c r="I79" s="38">
        <f>Yard!$I$107</f>
        <v>0</v>
      </c>
      <c r="J79" s="38">
        <f>Yard!$J$107</f>
        <v>0</v>
      </c>
      <c r="K79" s="10"/>
      <c r="L79" s="10"/>
      <c r="M79" s="38">
        <f>Yard!$K$107</f>
        <v>-1.8899903839383451E-2</v>
      </c>
      <c r="N79" s="38">
        <f>Yard!$L$107</f>
        <v>-3.5764472791618804E-2</v>
      </c>
      <c r="O79" s="38">
        <f>Yard!$M$107</f>
        <v>-1.4146829696485482E-2</v>
      </c>
      <c r="P79" s="38">
        <f>Yard!$N$107</f>
        <v>-4.8976169148484627E-2</v>
      </c>
      <c r="Q79" s="38">
        <f>Yard!$O$107</f>
        <v>-3.0894333867817668E-2</v>
      </c>
      <c r="R79" s="38">
        <f>Yard!$P$107</f>
        <v>0</v>
      </c>
      <c r="S79" s="38">
        <f>Yard!$Q$107</f>
        <v>0</v>
      </c>
      <c r="T79" s="38">
        <f>Yard!$R$107</f>
        <v>0</v>
      </c>
      <c r="U79" s="38">
        <f>Yard!$S$107</f>
        <v>0</v>
      </c>
      <c r="V79" s="10"/>
      <c r="W79" s="10"/>
      <c r="X79" s="17"/>
    </row>
    <row r="81" spans="1:24" ht="21" customHeight="1" x14ac:dyDescent="0.3">
      <c r="A81" s="1" t="s">
        <v>1069</v>
      </c>
    </row>
    <row r="82" spans="1:24" x14ac:dyDescent="0.25">
      <c r="A82" s="2" t="s">
        <v>350</v>
      </c>
    </row>
    <row r="83" spans="1:24" x14ac:dyDescent="0.25">
      <c r="A83" s="32" t="s">
        <v>1070</v>
      </c>
    </row>
    <row r="84" spans="1:24" x14ac:dyDescent="0.25">
      <c r="A84" s="32" t="s">
        <v>1071</v>
      </c>
    </row>
    <row r="85" spans="1:24" x14ac:dyDescent="0.25">
      <c r="A85" s="32" t="s">
        <v>1072</v>
      </c>
    </row>
    <row r="86" spans="1:24" x14ac:dyDescent="0.25">
      <c r="A86" s="32" t="s">
        <v>1073</v>
      </c>
    </row>
    <row r="87" spans="1:24" x14ac:dyDescent="0.25">
      <c r="A87" s="32" t="s">
        <v>1074</v>
      </c>
    </row>
    <row r="88" spans="1:24" x14ac:dyDescent="0.25">
      <c r="A88" s="2" t="s">
        <v>439</v>
      </c>
    </row>
    <row r="90" spans="1:24" ht="30" x14ac:dyDescent="0.25">
      <c r="B90" s="15" t="s">
        <v>139</v>
      </c>
      <c r="C90" s="15" t="s">
        <v>313</v>
      </c>
      <c r="D90" s="15" t="s">
        <v>314</v>
      </c>
      <c r="E90" s="15" t="s">
        <v>315</v>
      </c>
      <c r="F90" s="15" t="s">
        <v>316</v>
      </c>
      <c r="G90" s="15" t="s">
        <v>317</v>
      </c>
      <c r="H90" s="15" t="s">
        <v>318</v>
      </c>
      <c r="I90" s="15" t="s">
        <v>319</v>
      </c>
      <c r="J90" s="15" t="s">
        <v>320</v>
      </c>
      <c r="K90" s="15" t="s">
        <v>462</v>
      </c>
      <c r="L90" s="15" t="s">
        <v>474</v>
      </c>
      <c r="M90" s="15" t="s">
        <v>301</v>
      </c>
      <c r="N90" s="15" t="s">
        <v>876</v>
      </c>
      <c r="O90" s="15" t="s">
        <v>877</v>
      </c>
      <c r="P90" s="15" t="s">
        <v>878</v>
      </c>
      <c r="Q90" s="15" t="s">
        <v>879</v>
      </c>
      <c r="R90" s="15" t="s">
        <v>880</v>
      </c>
      <c r="S90" s="15" t="s">
        <v>881</v>
      </c>
      <c r="T90" s="15" t="s">
        <v>882</v>
      </c>
      <c r="U90" s="15" t="s">
        <v>883</v>
      </c>
      <c r="V90" s="15" t="s">
        <v>884</v>
      </c>
      <c r="W90" s="15" t="s">
        <v>885</v>
      </c>
    </row>
    <row r="91" spans="1:24" x14ac:dyDescent="0.25">
      <c r="A91" s="4" t="s">
        <v>171</v>
      </c>
      <c r="B91" s="10"/>
      <c r="C91" s="10"/>
      <c r="D91" s="10"/>
      <c r="E91" s="10"/>
      <c r="F91" s="10"/>
      <c r="G91" s="10"/>
      <c r="H91" s="10"/>
      <c r="I91" s="10"/>
      <c r="J91" s="10"/>
      <c r="K91" s="10"/>
      <c r="L91" s="10"/>
      <c r="M91" s="10"/>
      <c r="N91" s="10"/>
      <c r="O91" s="10"/>
      <c r="P91" s="10"/>
      <c r="Q91" s="10"/>
      <c r="R91" s="10"/>
      <c r="S91" s="10"/>
      <c r="T91" s="10"/>
      <c r="U91" s="10"/>
      <c r="V91" s="10"/>
      <c r="W91" s="10"/>
      <c r="X91" s="17"/>
    </row>
    <row r="92" spans="1:24" x14ac:dyDescent="0.25">
      <c r="A92" s="4" t="s">
        <v>172</v>
      </c>
      <c r="B92" s="10"/>
      <c r="C92" s="10"/>
      <c r="D92" s="10"/>
      <c r="E92" s="10"/>
      <c r="F92" s="10"/>
      <c r="G92" s="10"/>
      <c r="H92" s="10"/>
      <c r="I92" s="10"/>
      <c r="J92" s="10"/>
      <c r="K92" s="10"/>
      <c r="L92" s="10"/>
      <c r="M92" s="10"/>
      <c r="N92" s="10"/>
      <c r="O92" s="10"/>
      <c r="P92" s="10"/>
      <c r="Q92" s="10"/>
      <c r="R92" s="10"/>
      <c r="S92" s="10"/>
      <c r="T92" s="10"/>
      <c r="U92" s="10"/>
      <c r="V92" s="10"/>
      <c r="W92" s="10"/>
      <c r="X92" s="17"/>
    </row>
    <row r="93" spans="1:24" x14ac:dyDescent="0.25">
      <c r="A93" s="4" t="s">
        <v>213</v>
      </c>
      <c r="B93" s="10"/>
      <c r="C93" s="10"/>
      <c r="D93" s="10"/>
      <c r="E93" s="10"/>
      <c r="F93" s="10"/>
      <c r="G93" s="10"/>
      <c r="H93" s="10"/>
      <c r="I93" s="10"/>
      <c r="J93" s="10"/>
      <c r="K93" s="10"/>
      <c r="L93" s="10"/>
      <c r="M93" s="10"/>
      <c r="N93" s="10"/>
      <c r="O93" s="10"/>
      <c r="P93" s="10"/>
      <c r="Q93" s="10"/>
      <c r="R93" s="10"/>
      <c r="S93" s="10"/>
      <c r="T93" s="10"/>
      <c r="U93" s="10"/>
      <c r="V93" s="10"/>
      <c r="W93" s="10"/>
      <c r="X93" s="17"/>
    </row>
    <row r="94" spans="1:24" x14ac:dyDescent="0.25">
      <c r="A94" s="4" t="s">
        <v>173</v>
      </c>
      <c r="B94" s="10"/>
      <c r="C94" s="10"/>
      <c r="D94" s="10"/>
      <c r="E94" s="10"/>
      <c r="F94" s="10"/>
      <c r="G94" s="10"/>
      <c r="H94" s="10"/>
      <c r="I94" s="10"/>
      <c r="J94" s="10"/>
      <c r="K94" s="10"/>
      <c r="L94" s="10"/>
      <c r="M94" s="10"/>
      <c r="N94" s="10"/>
      <c r="O94" s="10"/>
      <c r="P94" s="10"/>
      <c r="Q94" s="10"/>
      <c r="R94" s="10"/>
      <c r="S94" s="10"/>
      <c r="T94" s="10"/>
      <c r="U94" s="10"/>
      <c r="V94" s="10"/>
      <c r="W94" s="10"/>
      <c r="X94" s="17"/>
    </row>
    <row r="95" spans="1:24" x14ac:dyDescent="0.25">
      <c r="A95" s="4" t="s">
        <v>174</v>
      </c>
      <c r="B95" s="10"/>
      <c r="C95" s="10"/>
      <c r="D95" s="10"/>
      <c r="E95" s="10"/>
      <c r="F95" s="10"/>
      <c r="G95" s="10"/>
      <c r="H95" s="10"/>
      <c r="I95" s="10"/>
      <c r="J95" s="10"/>
      <c r="K95" s="10"/>
      <c r="L95" s="10"/>
      <c r="M95" s="10"/>
      <c r="N95" s="10"/>
      <c r="O95" s="10"/>
      <c r="P95" s="10"/>
      <c r="Q95" s="10"/>
      <c r="R95" s="10"/>
      <c r="S95" s="10"/>
      <c r="T95" s="10"/>
      <c r="U95" s="10"/>
      <c r="V95" s="10"/>
      <c r="W95" s="10"/>
      <c r="X95" s="17"/>
    </row>
    <row r="96" spans="1:24" x14ac:dyDescent="0.25">
      <c r="A96" s="4" t="s">
        <v>214</v>
      </c>
      <c r="B96" s="10"/>
      <c r="C96" s="10"/>
      <c r="D96" s="10"/>
      <c r="E96" s="10"/>
      <c r="F96" s="10"/>
      <c r="G96" s="10"/>
      <c r="H96" s="10"/>
      <c r="I96" s="10"/>
      <c r="J96" s="10"/>
      <c r="K96" s="10"/>
      <c r="L96" s="10"/>
      <c r="M96" s="10"/>
      <c r="N96" s="10"/>
      <c r="O96" s="10"/>
      <c r="P96" s="10"/>
      <c r="Q96" s="10"/>
      <c r="R96" s="10"/>
      <c r="S96" s="10"/>
      <c r="T96" s="10"/>
      <c r="U96" s="10"/>
      <c r="V96" s="10"/>
      <c r="W96" s="10"/>
      <c r="X96" s="17"/>
    </row>
    <row r="97" spans="1:24" x14ac:dyDescent="0.25">
      <c r="A97" s="4" t="s">
        <v>175</v>
      </c>
      <c r="B97" s="10"/>
      <c r="C97" s="10"/>
      <c r="D97" s="10"/>
      <c r="E97" s="10"/>
      <c r="F97" s="10"/>
      <c r="G97" s="10"/>
      <c r="H97" s="10"/>
      <c r="I97" s="10"/>
      <c r="J97" s="10"/>
      <c r="K97" s="10"/>
      <c r="L97" s="10"/>
      <c r="M97" s="10"/>
      <c r="N97" s="10"/>
      <c r="O97" s="10"/>
      <c r="P97" s="10"/>
      <c r="Q97" s="10"/>
      <c r="R97" s="10"/>
      <c r="S97" s="10"/>
      <c r="T97" s="10"/>
      <c r="U97" s="10"/>
      <c r="V97" s="10"/>
      <c r="W97" s="10"/>
      <c r="X97" s="17"/>
    </row>
    <row r="98" spans="1:24" x14ac:dyDescent="0.25">
      <c r="A98" s="4" t="s">
        <v>176</v>
      </c>
      <c r="B98" s="10"/>
      <c r="C98" s="10"/>
      <c r="D98" s="10"/>
      <c r="E98" s="10"/>
      <c r="F98" s="10"/>
      <c r="G98" s="10"/>
      <c r="H98" s="10"/>
      <c r="I98" s="10"/>
      <c r="J98" s="10"/>
      <c r="K98" s="10"/>
      <c r="L98" s="10"/>
      <c r="M98" s="10"/>
      <c r="N98" s="10"/>
      <c r="O98" s="10"/>
      <c r="P98" s="10"/>
      <c r="Q98" s="10"/>
      <c r="R98" s="10"/>
      <c r="S98" s="10"/>
      <c r="T98" s="10"/>
      <c r="U98" s="10"/>
      <c r="V98" s="10"/>
      <c r="W98" s="10"/>
      <c r="X98" s="17"/>
    </row>
    <row r="99" spans="1:24" x14ac:dyDescent="0.25">
      <c r="A99" s="4" t="s">
        <v>192</v>
      </c>
      <c r="B99" s="10"/>
      <c r="C99" s="10"/>
      <c r="D99" s="10"/>
      <c r="E99" s="10"/>
      <c r="F99" s="10"/>
      <c r="G99" s="10"/>
      <c r="H99" s="10"/>
      <c r="I99" s="10"/>
      <c r="J99" s="10"/>
      <c r="K99" s="10"/>
      <c r="L99" s="10"/>
      <c r="M99" s="10"/>
      <c r="N99" s="10"/>
      <c r="O99" s="10"/>
      <c r="P99" s="10"/>
      <c r="Q99" s="10"/>
      <c r="R99" s="10"/>
      <c r="S99" s="10"/>
      <c r="T99" s="10"/>
      <c r="U99" s="10"/>
      <c r="V99" s="10"/>
      <c r="W99" s="10"/>
      <c r="X99" s="17"/>
    </row>
    <row r="100" spans="1:24" x14ac:dyDescent="0.25">
      <c r="A100" s="4" t="s">
        <v>177</v>
      </c>
      <c r="B100" s="38">
        <f>Standing!$B$125</f>
        <v>0</v>
      </c>
      <c r="C100" s="38">
        <f>Standing!$C$125</f>
        <v>1.9564672440106578E-2</v>
      </c>
      <c r="D100" s="38">
        <f>Standing!$D$125</f>
        <v>7.7389114804055498E-3</v>
      </c>
      <c r="E100" s="38">
        <f>Standing!$E$125</f>
        <v>2.7188802892207091E-2</v>
      </c>
      <c r="F100" s="38">
        <f>Standing!$F$125</f>
        <v>1.7150789223050567E-2</v>
      </c>
      <c r="G100" s="38">
        <f>Standing!$G$125</f>
        <v>0</v>
      </c>
      <c r="H100" s="38">
        <f>Standing!$H$125</f>
        <v>2.1795848439700821E-2</v>
      </c>
      <c r="I100" s="38">
        <f>Standing!$I$125</f>
        <v>1.9788895482506199E-2</v>
      </c>
      <c r="J100" s="38">
        <f>Standing!$J$125</f>
        <v>0</v>
      </c>
      <c r="K100" s="10"/>
      <c r="L100" s="10"/>
      <c r="M100" s="38">
        <f>Standing!$K$125</f>
        <v>2.5162966931382047E-3</v>
      </c>
      <c r="N100" s="38">
        <f>Standing!$L$125</f>
        <v>7.1327741283923182E-3</v>
      </c>
      <c r="O100" s="38">
        <f>Standing!$M$125</f>
        <v>2.8214071949499149E-3</v>
      </c>
      <c r="P100" s="38">
        <f>Standing!$N$125</f>
        <v>9.9123351257311663E-3</v>
      </c>
      <c r="Q100" s="38">
        <f>Standing!$O$125</f>
        <v>6.2527346688876365E-3</v>
      </c>
      <c r="R100" s="38">
        <f>Standing!$P$125</f>
        <v>0</v>
      </c>
      <c r="S100" s="38">
        <f>Standing!$Q$125</f>
        <v>1.1351718937939461E-2</v>
      </c>
      <c r="T100" s="38">
        <f>Standing!$R$125</f>
        <v>1.0306457224234298E-2</v>
      </c>
      <c r="U100" s="38">
        <f>Standing!$S$125</f>
        <v>0</v>
      </c>
      <c r="V100" s="10"/>
      <c r="W100" s="10"/>
      <c r="X100" s="17"/>
    </row>
    <row r="101" spans="1:24" x14ac:dyDescent="0.25">
      <c r="A101" s="4" t="s">
        <v>178</v>
      </c>
      <c r="B101" s="38">
        <f>Standing!$B$126</f>
        <v>0</v>
      </c>
      <c r="C101" s="38">
        <f>Standing!$C$126</f>
        <v>1.9025837525115327E-2</v>
      </c>
      <c r="D101" s="38">
        <f>Standing!$D$126</f>
        <v>7.52577242978077E-3</v>
      </c>
      <c r="E101" s="38">
        <f>Standing!$E$126</f>
        <v>2.6432022734334933E-2</v>
      </c>
      <c r="F101" s="38">
        <f>Standing!$F$126</f>
        <v>1.6673409728730409E-2</v>
      </c>
      <c r="G101" s="38">
        <f>Standing!$G$126</f>
        <v>0</v>
      </c>
      <c r="H101" s="38">
        <f>Standing!$H$126</f>
        <v>2.1189177168128136E-2</v>
      </c>
      <c r="I101" s="38">
        <f>Standing!$I$126</f>
        <v>1.9238086257593285E-2</v>
      </c>
      <c r="J101" s="38">
        <f>Standing!$J$126</f>
        <v>0</v>
      </c>
      <c r="K101" s="10"/>
      <c r="L101" s="10"/>
      <c r="M101" s="38">
        <f>Standing!$K$126</f>
        <v>2.4483597827733247E-3</v>
      </c>
      <c r="N101" s="38">
        <f>Standing!$L$126</f>
        <v>6.9363288389099704E-3</v>
      </c>
      <c r="O101" s="38">
        <f>Standing!$M$126</f>
        <v>2.743702203430095E-3</v>
      </c>
      <c r="P101" s="38">
        <f>Standing!$N$126</f>
        <v>9.6364326311979241E-3</v>
      </c>
      <c r="Q101" s="38">
        <f>Standing!$O$126</f>
        <v>6.0786944381127197E-3</v>
      </c>
      <c r="R101" s="38">
        <f>Standing!$P$126</f>
        <v>0</v>
      </c>
      <c r="S101" s="38">
        <f>Standing!$Q$126</f>
        <v>1.1035752262833052E-2</v>
      </c>
      <c r="T101" s="38">
        <f>Standing!$R$126</f>
        <v>1.0019584633477671E-2</v>
      </c>
      <c r="U101" s="38">
        <f>Standing!$S$126</f>
        <v>0</v>
      </c>
      <c r="V101" s="10"/>
      <c r="W101" s="10"/>
      <c r="X101" s="17"/>
    </row>
    <row r="102" spans="1:24" x14ac:dyDescent="0.25">
      <c r="A102" s="4" t="s">
        <v>179</v>
      </c>
      <c r="B102" s="38">
        <f>Standing!$B$127</f>
        <v>0</v>
      </c>
      <c r="C102" s="38">
        <f>Standing!$C$127</f>
        <v>1.6556957117789449E-2</v>
      </c>
      <c r="D102" s="38">
        <f>Standing!$D$127</f>
        <v>6.5491934971922874E-3</v>
      </c>
      <c r="E102" s="38">
        <f>Standing!$E$127</f>
        <v>2.3004574551829984E-2</v>
      </c>
      <c r="F102" s="38">
        <f>Standing!$F$127</f>
        <v>1.4511363772381271E-2</v>
      </c>
      <c r="G102" s="38">
        <f>Standing!$G$127</f>
        <v>0</v>
      </c>
      <c r="H102" s="38">
        <f>Standing!$H$127</f>
        <v>1.4753256253005482E-2</v>
      </c>
      <c r="I102" s="38">
        <f>Standing!$I$127</f>
        <v>0</v>
      </c>
      <c r="J102" s="38">
        <f>Standing!$J$127</f>
        <v>0</v>
      </c>
      <c r="K102" s="10"/>
      <c r="L102" s="10"/>
      <c r="M102" s="38">
        <f>Standing!$K$127</f>
        <v>2.1301866910794719E-3</v>
      </c>
      <c r="N102" s="38">
        <f>Standing!$L$127</f>
        <v>6.0362388246570755E-3</v>
      </c>
      <c r="O102" s="38">
        <f>Standing!$M$127</f>
        <v>2.3876667540238092E-3</v>
      </c>
      <c r="P102" s="38">
        <f>Standing!$N$127</f>
        <v>8.3868735702212101E-3</v>
      </c>
      <c r="Q102" s="38">
        <f>Standing!$O$127</f>
        <v>5.2904683377753914E-3</v>
      </c>
      <c r="R102" s="38">
        <f>Standing!$P$127</f>
        <v>0</v>
      </c>
      <c r="S102" s="38">
        <f>Standing!$Q$127</f>
        <v>7.6837944100612817E-3</v>
      </c>
      <c r="T102" s="38">
        <f>Standing!$R$127</f>
        <v>0</v>
      </c>
      <c r="U102" s="38">
        <f>Standing!$S$127</f>
        <v>0</v>
      </c>
      <c r="V102" s="10"/>
      <c r="W102" s="10"/>
      <c r="X102" s="17"/>
    </row>
    <row r="103" spans="1:24" x14ac:dyDescent="0.25">
      <c r="A103" s="4" t="s">
        <v>180</v>
      </c>
      <c r="B103" s="38">
        <f>Standing!$B$128</f>
        <v>0</v>
      </c>
      <c r="C103" s="38">
        <f>Standing!$C$128</f>
        <v>1.5643776035243674E-2</v>
      </c>
      <c r="D103" s="38">
        <f>Standing!$D$128</f>
        <v>6.1879798052668546E-3</v>
      </c>
      <c r="E103" s="38">
        <f>Standing!$E$128</f>
        <v>2.1735782095384345E-2</v>
      </c>
      <c r="F103" s="38">
        <f>Standing!$F$128</f>
        <v>1.3711005180847523E-2</v>
      </c>
      <c r="G103" s="38">
        <f>Standing!$G$128</f>
        <v>0</v>
      </c>
      <c r="H103" s="38">
        <f>Standing!$H$128</f>
        <v>0</v>
      </c>
      <c r="I103" s="38">
        <f>Standing!$I$128</f>
        <v>0</v>
      </c>
      <c r="J103" s="38">
        <f>Standing!$J$128</f>
        <v>0</v>
      </c>
      <c r="K103" s="10"/>
      <c r="L103" s="10"/>
      <c r="M103" s="38">
        <f>Standing!$K$128</f>
        <v>2.0126985454772522E-3</v>
      </c>
      <c r="N103" s="38">
        <f>Standing!$L$128</f>
        <v>5.7033165935254457E-3</v>
      </c>
      <c r="O103" s="38">
        <f>Standing!$M$128</f>
        <v>2.2559775737181274E-3</v>
      </c>
      <c r="P103" s="38">
        <f>Standing!$N$128</f>
        <v>7.9243046192030119E-3</v>
      </c>
      <c r="Q103" s="38">
        <f>Standing!$O$128</f>
        <v>4.9986782721555987E-3</v>
      </c>
      <c r="R103" s="38">
        <f>Standing!$P$128</f>
        <v>0</v>
      </c>
      <c r="S103" s="38">
        <f>Standing!$Q$128</f>
        <v>0</v>
      </c>
      <c r="T103" s="38">
        <f>Standing!$R$128</f>
        <v>0</v>
      </c>
      <c r="U103" s="38">
        <f>Standing!$S$128</f>
        <v>0</v>
      </c>
      <c r="V103" s="10"/>
      <c r="W103" s="10"/>
      <c r="X103" s="17"/>
    </row>
    <row r="104" spans="1:24" x14ac:dyDescent="0.25">
      <c r="A104" s="4" t="s">
        <v>193</v>
      </c>
      <c r="B104" s="38">
        <f>Standing!$B$129</f>
        <v>0</v>
      </c>
      <c r="C104" s="38">
        <f>Standing!$C$129</f>
        <v>1.3954649185403156E-2</v>
      </c>
      <c r="D104" s="38">
        <f>Standing!$D$129</f>
        <v>5.5198365889615759E-3</v>
      </c>
      <c r="E104" s="38">
        <f>Standing!$E$129</f>
        <v>1.5511099787065247E-2</v>
      </c>
      <c r="F104" s="38">
        <f>Standing!$F$129</f>
        <v>0</v>
      </c>
      <c r="G104" s="38">
        <f>Standing!$G$129</f>
        <v>0</v>
      </c>
      <c r="H104" s="38">
        <f>Standing!$H$129</f>
        <v>0</v>
      </c>
      <c r="I104" s="38">
        <f>Standing!$I$129</f>
        <v>0</v>
      </c>
      <c r="J104" s="38">
        <f>Standing!$J$129</f>
        <v>0</v>
      </c>
      <c r="K104" s="10"/>
      <c r="L104" s="10"/>
      <c r="M104" s="38">
        <f>Standing!$K$129</f>
        <v>1.7953786895715275E-3</v>
      </c>
      <c r="N104" s="38">
        <f>Standing!$L$129</f>
        <v>5.0875045817987815E-3</v>
      </c>
      <c r="O104" s="38">
        <f>Standing!$M$129</f>
        <v>2.0123898181902788E-3</v>
      </c>
      <c r="P104" s="38">
        <f>Standing!$N$129</f>
        <v>5.6549462610623637E-3</v>
      </c>
      <c r="Q104" s="38">
        <f>Standing!$O$129</f>
        <v>0</v>
      </c>
      <c r="R104" s="38">
        <f>Standing!$P$129</f>
        <v>0</v>
      </c>
      <c r="S104" s="38">
        <f>Standing!$Q$129</f>
        <v>0</v>
      </c>
      <c r="T104" s="38">
        <f>Standing!$R$129</f>
        <v>0</v>
      </c>
      <c r="U104" s="38">
        <f>Standing!$S$129</f>
        <v>0</v>
      </c>
      <c r="V104" s="10"/>
      <c r="W104" s="10"/>
      <c r="X104" s="17"/>
    </row>
    <row r="105" spans="1:24" x14ac:dyDescent="0.25">
      <c r="A105" s="4" t="s">
        <v>215</v>
      </c>
      <c r="B105" s="10"/>
      <c r="C105" s="10"/>
      <c r="D105" s="10"/>
      <c r="E105" s="10"/>
      <c r="F105" s="10"/>
      <c r="G105" s="10"/>
      <c r="H105" s="10"/>
      <c r="I105" s="10"/>
      <c r="J105" s="10"/>
      <c r="K105" s="10"/>
      <c r="L105" s="10"/>
      <c r="M105" s="10"/>
      <c r="N105" s="10"/>
      <c r="O105" s="10"/>
      <c r="P105" s="10"/>
      <c r="Q105" s="10"/>
      <c r="R105" s="10"/>
      <c r="S105" s="10"/>
      <c r="T105" s="10"/>
      <c r="U105" s="10"/>
      <c r="V105" s="10"/>
      <c r="W105" s="10"/>
      <c r="X105" s="17"/>
    </row>
    <row r="106" spans="1:24" x14ac:dyDescent="0.25">
      <c r="A106" s="4" t="s">
        <v>216</v>
      </c>
      <c r="B106" s="10"/>
      <c r="C106" s="10"/>
      <c r="D106" s="10"/>
      <c r="E106" s="10"/>
      <c r="F106" s="10"/>
      <c r="G106" s="10"/>
      <c r="H106" s="10"/>
      <c r="I106" s="10"/>
      <c r="J106" s="10"/>
      <c r="K106" s="10"/>
      <c r="L106" s="10"/>
      <c r="M106" s="10"/>
      <c r="N106" s="10"/>
      <c r="O106" s="10"/>
      <c r="P106" s="10"/>
      <c r="Q106" s="10"/>
      <c r="R106" s="10"/>
      <c r="S106" s="10"/>
      <c r="T106" s="10"/>
      <c r="U106" s="10"/>
      <c r="V106" s="10"/>
      <c r="W106" s="10"/>
      <c r="X106" s="17"/>
    </row>
    <row r="107" spans="1:24" x14ac:dyDescent="0.25">
      <c r="A107" s="4" t="s">
        <v>217</v>
      </c>
      <c r="B107" s="10"/>
      <c r="C107" s="10"/>
      <c r="D107" s="10"/>
      <c r="E107" s="10"/>
      <c r="F107" s="10"/>
      <c r="G107" s="10"/>
      <c r="H107" s="10"/>
      <c r="I107" s="10"/>
      <c r="J107" s="10"/>
      <c r="K107" s="10"/>
      <c r="L107" s="10"/>
      <c r="M107" s="10"/>
      <c r="N107" s="10"/>
      <c r="O107" s="10"/>
      <c r="P107" s="10"/>
      <c r="Q107" s="10"/>
      <c r="R107" s="10"/>
      <c r="S107" s="10"/>
      <c r="T107" s="10"/>
      <c r="U107" s="10"/>
      <c r="V107" s="10"/>
      <c r="W107" s="10"/>
      <c r="X107" s="17"/>
    </row>
    <row r="108" spans="1:24" x14ac:dyDescent="0.25">
      <c r="A108" s="4" t="s">
        <v>218</v>
      </c>
      <c r="B108" s="10"/>
      <c r="C108" s="10"/>
      <c r="D108" s="10"/>
      <c r="E108" s="10"/>
      <c r="F108" s="10"/>
      <c r="G108" s="10"/>
      <c r="H108" s="10"/>
      <c r="I108" s="10"/>
      <c r="J108" s="10"/>
      <c r="K108" s="10"/>
      <c r="L108" s="10"/>
      <c r="M108" s="10"/>
      <c r="N108" s="10"/>
      <c r="O108" s="10"/>
      <c r="P108" s="10"/>
      <c r="Q108" s="10"/>
      <c r="R108" s="10"/>
      <c r="S108" s="10"/>
      <c r="T108" s="10"/>
      <c r="U108" s="10"/>
      <c r="V108" s="10"/>
      <c r="W108" s="10"/>
      <c r="X108" s="17"/>
    </row>
    <row r="109" spans="1:24" x14ac:dyDescent="0.25">
      <c r="A109" s="4" t="s">
        <v>219</v>
      </c>
      <c r="B109" s="38">
        <f>Yard!$B$124</f>
        <v>0</v>
      </c>
      <c r="C109" s="38">
        <f>Yard!$C$124</f>
        <v>1.5179288881540067E-2</v>
      </c>
      <c r="D109" s="38">
        <f>Yard!$D$124</f>
        <v>6.0042494117577387E-3</v>
      </c>
      <c r="E109" s="38">
        <f>Yard!$E$124</f>
        <v>2.1090414152487327E-2</v>
      </c>
      <c r="F109" s="38">
        <f>Yard!$F$124</f>
        <v>1.3303904890193936E-2</v>
      </c>
      <c r="G109" s="38">
        <f>Yard!$G$124</f>
        <v>0</v>
      </c>
      <c r="H109" s="38">
        <f>Yard!$H$124</f>
        <v>1.690708753234187E-2</v>
      </c>
      <c r="I109" s="38">
        <f>Yard!$I$124</f>
        <v>1.5350289713048191E-2</v>
      </c>
      <c r="J109" s="38">
        <f>Yard!$J$124</f>
        <v>3.6469769310809239E-4</v>
      </c>
      <c r="K109" s="10"/>
      <c r="L109" s="10"/>
      <c r="M109" s="38">
        <f>Yard!$K$124</f>
        <v>1.9529385095021807E-3</v>
      </c>
      <c r="N109" s="38">
        <f>Yard!$L$124</f>
        <v>5.53397657707232E-3</v>
      </c>
      <c r="O109" s="38">
        <f>Yard!$M$124</f>
        <v>2.1889942188251165E-3</v>
      </c>
      <c r="P109" s="38">
        <f>Yard!$N$124</f>
        <v>7.6890201399723163E-3</v>
      </c>
      <c r="Q109" s="38">
        <f>Yard!$O$124</f>
        <v>4.8502600234103591E-3</v>
      </c>
      <c r="R109" s="38">
        <f>Yard!$P$124</f>
        <v>0</v>
      </c>
      <c r="S109" s="38">
        <f>Yard!$Q$124</f>
        <v>8.8055533262333414E-3</v>
      </c>
      <c r="T109" s="38">
        <f>Yard!$R$124</f>
        <v>7.9947415178878139E-3</v>
      </c>
      <c r="U109" s="38">
        <f>Yard!$S$124</f>
        <v>4.4319785709832386E-3</v>
      </c>
      <c r="V109" s="38">
        <f>Otex!$B$160</f>
        <v>1.5270367621041392</v>
      </c>
      <c r="W109" s="10"/>
      <c r="X109" s="17"/>
    </row>
    <row r="110" spans="1:24" x14ac:dyDescent="0.25">
      <c r="A110" s="4" t="s">
        <v>181</v>
      </c>
      <c r="B110" s="10"/>
      <c r="C110" s="10"/>
      <c r="D110" s="10"/>
      <c r="E110" s="10"/>
      <c r="F110" s="10"/>
      <c r="G110" s="10"/>
      <c r="H110" s="10"/>
      <c r="I110" s="10"/>
      <c r="J110" s="10"/>
      <c r="K110" s="10"/>
      <c r="L110" s="10"/>
      <c r="M110" s="10"/>
      <c r="N110" s="10"/>
      <c r="O110" s="10"/>
      <c r="P110" s="10"/>
      <c r="Q110" s="10"/>
      <c r="R110" s="10"/>
      <c r="S110" s="10"/>
      <c r="T110" s="10"/>
      <c r="U110" s="10"/>
      <c r="V110" s="10"/>
      <c r="W110" s="10"/>
      <c r="X110" s="17"/>
    </row>
    <row r="111" spans="1:24" x14ac:dyDescent="0.25">
      <c r="A111" s="4" t="s">
        <v>182</v>
      </c>
      <c r="B111" s="10"/>
      <c r="C111" s="10"/>
      <c r="D111" s="10"/>
      <c r="E111" s="10"/>
      <c r="F111" s="10"/>
      <c r="G111" s="10"/>
      <c r="H111" s="10"/>
      <c r="I111" s="10"/>
      <c r="J111" s="10"/>
      <c r="K111" s="10"/>
      <c r="L111" s="10"/>
      <c r="M111" s="10"/>
      <c r="N111" s="10"/>
      <c r="O111" s="10"/>
      <c r="P111" s="10"/>
      <c r="Q111" s="10"/>
      <c r="R111" s="10"/>
      <c r="S111" s="10"/>
      <c r="T111" s="10"/>
      <c r="U111" s="10"/>
      <c r="V111" s="10"/>
      <c r="W111" s="10"/>
      <c r="X111" s="17"/>
    </row>
    <row r="112" spans="1:24" x14ac:dyDescent="0.25">
      <c r="A112" s="4" t="s">
        <v>183</v>
      </c>
      <c r="B112" s="10"/>
      <c r="C112" s="10"/>
      <c r="D112" s="10"/>
      <c r="E112" s="10"/>
      <c r="F112" s="10"/>
      <c r="G112" s="10"/>
      <c r="H112" s="10"/>
      <c r="I112" s="10"/>
      <c r="J112" s="10"/>
      <c r="K112" s="10"/>
      <c r="L112" s="10"/>
      <c r="M112" s="10"/>
      <c r="N112" s="10"/>
      <c r="O112" s="10"/>
      <c r="P112" s="10"/>
      <c r="Q112" s="10"/>
      <c r="R112" s="10"/>
      <c r="S112" s="10"/>
      <c r="T112" s="10"/>
      <c r="U112" s="10"/>
      <c r="V112" s="10"/>
      <c r="W112" s="10"/>
      <c r="X112" s="17"/>
    </row>
    <row r="113" spans="1:24" x14ac:dyDescent="0.25">
      <c r="A113" s="4" t="s">
        <v>184</v>
      </c>
      <c r="B113" s="38">
        <f>Yard!$B$125</f>
        <v>0</v>
      </c>
      <c r="C113" s="38">
        <f>Yard!$C$125</f>
        <v>-1.3813342942816083E-2</v>
      </c>
      <c r="D113" s="38">
        <f>Yard!$D$125</f>
        <v>-5.4639421441985579E-3</v>
      </c>
      <c r="E113" s="38">
        <f>Yard!$E$125</f>
        <v>-1.9192540952865204E-2</v>
      </c>
      <c r="F113" s="38">
        <f>Yard!$F$125</f>
        <v>-1.2106720028916898E-2</v>
      </c>
      <c r="G113" s="38">
        <f>Yard!$G$125</f>
        <v>0</v>
      </c>
      <c r="H113" s="38">
        <f>Yard!$H$125</f>
        <v>-1.5385661348896689E-2</v>
      </c>
      <c r="I113" s="38">
        <f>Yard!$I$125</f>
        <v>-1.39689558405982E-2</v>
      </c>
      <c r="J113" s="38">
        <f>Yard!$J$125</f>
        <v>0</v>
      </c>
      <c r="K113" s="10"/>
      <c r="L113" s="10"/>
      <c r="M113" s="38">
        <f>Yard!$K$125</f>
        <v>-1.7771984964850801E-3</v>
      </c>
      <c r="N113" s="38">
        <f>Yard!$L$125</f>
        <v>-5.0359879763257837E-3</v>
      </c>
      <c r="O113" s="38">
        <f>Yard!$M$125</f>
        <v>-1.9920121476339737E-3</v>
      </c>
      <c r="P113" s="38">
        <f>Yard!$N$125</f>
        <v>-6.9971046019700793E-3</v>
      </c>
      <c r="Q113" s="38">
        <f>Yard!$O$125</f>
        <v>-4.4137973516451632E-3</v>
      </c>
      <c r="R113" s="38">
        <f>Yard!$P$125</f>
        <v>0</v>
      </c>
      <c r="S113" s="38">
        <f>Yard!$Q$125</f>
        <v>-8.0131637816339626E-3</v>
      </c>
      <c r="T113" s="38">
        <f>Yard!$R$125</f>
        <v>-7.2753148838254319E-3</v>
      </c>
      <c r="U113" s="38">
        <f>Yard!$S$125</f>
        <v>0</v>
      </c>
      <c r="V113" s="10"/>
      <c r="W113" s="10"/>
      <c r="X113" s="17"/>
    </row>
    <row r="114" spans="1:24" x14ac:dyDescent="0.25">
      <c r="A114" s="4" t="s">
        <v>185</v>
      </c>
      <c r="B114" s="10"/>
      <c r="C114" s="10"/>
      <c r="D114" s="10"/>
      <c r="E114" s="10"/>
      <c r="F114" s="10"/>
      <c r="G114" s="10"/>
      <c r="H114" s="10"/>
      <c r="I114" s="10"/>
      <c r="J114" s="10"/>
      <c r="K114" s="10"/>
      <c r="L114" s="10"/>
      <c r="M114" s="10"/>
      <c r="N114" s="10"/>
      <c r="O114" s="10"/>
      <c r="P114" s="10"/>
      <c r="Q114" s="10"/>
      <c r="R114" s="10"/>
      <c r="S114" s="10"/>
      <c r="T114" s="10"/>
      <c r="U114" s="10"/>
      <c r="V114" s="10"/>
      <c r="W114" s="10"/>
      <c r="X114" s="17"/>
    </row>
    <row r="115" spans="1:24" x14ac:dyDescent="0.25">
      <c r="A115" s="4" t="s">
        <v>186</v>
      </c>
      <c r="B115" s="38">
        <f>Yard!$B$126</f>
        <v>0</v>
      </c>
      <c r="C115" s="38">
        <f>Yard!$C$126</f>
        <v>-1.3158486468412502E-2</v>
      </c>
      <c r="D115" s="38">
        <f>Yard!$D$126</f>
        <v>-5.2049101413222474E-3</v>
      </c>
      <c r="E115" s="38">
        <f>Yard!$E$126</f>
        <v>-1.8282669985694572E-2</v>
      </c>
      <c r="F115" s="38">
        <f>Yard!$F$126</f>
        <v>-1.1532770332051454E-2</v>
      </c>
      <c r="G115" s="38">
        <f>Yard!$G$126</f>
        <v>0</v>
      </c>
      <c r="H115" s="38">
        <f>Yard!$H$126</f>
        <v>-1.4656265141981704E-2</v>
      </c>
      <c r="I115" s="38">
        <f>Yard!$I$126</f>
        <v>0</v>
      </c>
      <c r="J115" s="38">
        <f>Yard!$J$126</f>
        <v>0</v>
      </c>
      <c r="K115" s="10"/>
      <c r="L115" s="10"/>
      <c r="M115" s="38">
        <f>Yard!$K$126</f>
        <v>-1.6929459048755432E-3</v>
      </c>
      <c r="N115" s="38">
        <f>Yard!$L$126</f>
        <v>-4.7972442236391358E-3</v>
      </c>
      <c r="O115" s="38">
        <f>Yard!$M$126</f>
        <v>-1.8975757713441117E-3</v>
      </c>
      <c r="P115" s="38">
        <f>Yard!$N$126</f>
        <v>-6.6653891533890973E-3</v>
      </c>
      <c r="Q115" s="38">
        <f>Yard!$O$126</f>
        <v>-4.2045501198638502E-3</v>
      </c>
      <c r="R115" s="38">
        <f>Yard!$P$126</f>
        <v>0</v>
      </c>
      <c r="S115" s="38">
        <f>Yard!$Q$126</f>
        <v>-7.6332794766845683E-3</v>
      </c>
      <c r="T115" s="38">
        <f>Yard!$R$126</f>
        <v>0</v>
      </c>
      <c r="U115" s="38">
        <f>Yard!$S$126</f>
        <v>0</v>
      </c>
      <c r="V115" s="10"/>
      <c r="W115" s="10"/>
      <c r="X115" s="17"/>
    </row>
    <row r="116" spans="1:24" x14ac:dyDescent="0.25">
      <c r="A116" s="4" t="s">
        <v>194</v>
      </c>
      <c r="B116" s="10"/>
      <c r="C116" s="10"/>
      <c r="D116" s="10"/>
      <c r="E116" s="10"/>
      <c r="F116" s="10"/>
      <c r="G116" s="10"/>
      <c r="H116" s="10"/>
      <c r="I116" s="10"/>
      <c r="J116" s="10"/>
      <c r="K116" s="10"/>
      <c r="L116" s="10"/>
      <c r="M116" s="10"/>
      <c r="N116" s="10"/>
      <c r="O116" s="10"/>
      <c r="P116" s="10"/>
      <c r="Q116" s="10"/>
      <c r="R116" s="10"/>
      <c r="S116" s="10"/>
      <c r="T116" s="10"/>
      <c r="U116" s="10"/>
      <c r="V116" s="10"/>
      <c r="W116" s="10"/>
      <c r="X116" s="17"/>
    </row>
    <row r="117" spans="1:24" x14ac:dyDescent="0.25">
      <c r="A117" s="4" t="s">
        <v>195</v>
      </c>
      <c r="B117" s="38">
        <f>Yard!$B$127</f>
        <v>0</v>
      </c>
      <c r="C117" s="38">
        <f>Yard!$C$127</f>
        <v>-1.2988170878889134E-2</v>
      </c>
      <c r="D117" s="38">
        <f>Yard!$D$127</f>
        <v>-5.1375408932507853E-3</v>
      </c>
      <c r="E117" s="38">
        <f>Yard!$E$127</f>
        <v>-1.8046030025304777E-2</v>
      </c>
      <c r="F117" s="38">
        <f>Yard!$F$127</f>
        <v>-4.8949037277102262E-3</v>
      </c>
      <c r="G117" s="38">
        <f>Yard!$G$127</f>
        <v>0</v>
      </c>
      <c r="H117" s="38">
        <f>Yard!$H$127</f>
        <v>0</v>
      </c>
      <c r="I117" s="38">
        <f>Yard!$I$127</f>
        <v>0</v>
      </c>
      <c r="J117" s="38">
        <f>Yard!$J$127</f>
        <v>0</v>
      </c>
      <c r="K117" s="10"/>
      <c r="L117" s="10"/>
      <c r="M117" s="38">
        <f>Yard!$K$127</f>
        <v>-1.6710334242485186E-3</v>
      </c>
      <c r="N117" s="38">
        <f>Yard!$L$127</f>
        <v>-4.7351515597147537E-3</v>
      </c>
      <c r="O117" s="38">
        <f>Yard!$M$127</f>
        <v>-1.8730146839472019E-3</v>
      </c>
      <c r="P117" s="38">
        <f>Yard!$N$127</f>
        <v>-6.5791163373028934E-3</v>
      </c>
      <c r="Q117" s="38">
        <f>Yard!$O$127</f>
        <v>-4.1501289344133656E-3</v>
      </c>
      <c r="R117" s="38">
        <f>Yard!$P$127</f>
        <v>0</v>
      </c>
      <c r="S117" s="38">
        <f>Yard!$Q$127</f>
        <v>0</v>
      </c>
      <c r="T117" s="38">
        <f>Yard!$R$127</f>
        <v>0</v>
      </c>
      <c r="U117" s="38">
        <f>Yard!$S$127</f>
        <v>0</v>
      </c>
      <c r="V117" s="10"/>
      <c r="W117" s="10"/>
      <c r="X117" s="17"/>
    </row>
    <row r="119" spans="1:24" ht="21" customHeight="1" x14ac:dyDescent="0.3">
      <c r="A119" s="1" t="s">
        <v>1075</v>
      </c>
    </row>
    <row r="120" spans="1:24" x14ac:dyDescent="0.25">
      <c r="A120" s="2" t="s">
        <v>350</v>
      </c>
    </row>
    <row r="121" spans="1:24" x14ac:dyDescent="0.25">
      <c r="A121" s="32" t="s">
        <v>1076</v>
      </c>
    </row>
    <row r="122" spans="1:24" x14ac:dyDescent="0.25">
      <c r="A122" s="32" t="s">
        <v>1077</v>
      </c>
    </row>
    <row r="123" spans="1:24" x14ac:dyDescent="0.25">
      <c r="A123" s="32" t="s">
        <v>1078</v>
      </c>
    </row>
    <row r="124" spans="1:24" x14ac:dyDescent="0.25">
      <c r="A124" s="32" t="s">
        <v>1079</v>
      </c>
    </row>
    <row r="125" spans="1:24" x14ac:dyDescent="0.25">
      <c r="A125" s="32" t="s">
        <v>1080</v>
      </c>
    </row>
    <row r="126" spans="1:24" x14ac:dyDescent="0.25">
      <c r="A126" s="2" t="s">
        <v>439</v>
      </c>
    </row>
    <row r="128" spans="1:24" ht="30" x14ac:dyDescent="0.25">
      <c r="B128" s="15" t="s">
        <v>139</v>
      </c>
      <c r="C128" s="15" t="s">
        <v>313</v>
      </c>
      <c r="D128" s="15" t="s">
        <v>314</v>
      </c>
      <c r="E128" s="15" t="s">
        <v>315</v>
      </c>
      <c r="F128" s="15" t="s">
        <v>316</v>
      </c>
      <c r="G128" s="15" t="s">
        <v>317</v>
      </c>
      <c r="H128" s="15" t="s">
        <v>318</v>
      </c>
      <c r="I128" s="15" t="s">
        <v>319</v>
      </c>
      <c r="J128" s="15" t="s">
        <v>320</v>
      </c>
      <c r="K128" s="15" t="s">
        <v>462</v>
      </c>
      <c r="L128" s="15" t="s">
        <v>474</v>
      </c>
      <c r="M128" s="15" t="s">
        <v>301</v>
      </c>
      <c r="N128" s="15" t="s">
        <v>876</v>
      </c>
      <c r="O128" s="15" t="s">
        <v>877</v>
      </c>
      <c r="P128" s="15" t="s">
        <v>878</v>
      </c>
      <c r="Q128" s="15" t="s">
        <v>879</v>
      </c>
      <c r="R128" s="15" t="s">
        <v>880</v>
      </c>
      <c r="S128" s="15" t="s">
        <v>881</v>
      </c>
      <c r="T128" s="15" t="s">
        <v>882</v>
      </c>
      <c r="U128" s="15" t="s">
        <v>883</v>
      </c>
      <c r="V128" s="15" t="s">
        <v>884</v>
      </c>
      <c r="W128" s="15" t="s">
        <v>885</v>
      </c>
    </row>
    <row r="129" spans="1:24" x14ac:dyDescent="0.25">
      <c r="A129" s="4" t="s">
        <v>171</v>
      </c>
      <c r="B129" s="38">
        <f>AggCap!$B$89</f>
        <v>0</v>
      </c>
      <c r="C129" s="38">
        <f>AggCap!$C$89</f>
        <v>0</v>
      </c>
      <c r="D129" s="38">
        <f>AggCap!$D$89</f>
        <v>0</v>
      </c>
      <c r="E129" s="38">
        <f>AggCap!$E$89</f>
        <v>0</v>
      </c>
      <c r="F129" s="38">
        <f>AggCap!$F$89</f>
        <v>0</v>
      </c>
      <c r="G129" s="38">
        <f>AggCap!$G$89</f>
        <v>0</v>
      </c>
      <c r="H129" s="38">
        <f>AggCap!$H$89</f>
        <v>0</v>
      </c>
      <c r="I129" s="38">
        <f>AggCap!$I$89</f>
        <v>0</v>
      </c>
      <c r="J129" s="38">
        <f>AggCap!$J$89</f>
        <v>3.6519822693171271E-2</v>
      </c>
      <c r="K129" s="38">
        <f>SM!$B$106</f>
        <v>0</v>
      </c>
      <c r="L129" s="38">
        <f>SM!$C$106</f>
        <v>0</v>
      </c>
      <c r="M129" s="38">
        <f>AggCap!$K$89</f>
        <v>0</v>
      </c>
      <c r="N129" s="38">
        <f>AggCap!$L$89</f>
        <v>0</v>
      </c>
      <c r="O129" s="38">
        <f>AggCap!$M$89</f>
        <v>0</v>
      </c>
      <c r="P129" s="38">
        <f>AggCap!$N$89</f>
        <v>0</v>
      </c>
      <c r="Q129" s="38">
        <f>AggCap!$O$89</f>
        <v>0</v>
      </c>
      <c r="R129" s="38">
        <f>AggCap!$P$89</f>
        <v>0</v>
      </c>
      <c r="S129" s="38">
        <f>AggCap!$Q$89</f>
        <v>0</v>
      </c>
      <c r="T129" s="38">
        <f>AggCap!$R$89</f>
        <v>0</v>
      </c>
      <c r="U129" s="38">
        <f>AggCap!$S$89</f>
        <v>0.44380612943518233</v>
      </c>
      <c r="V129" s="38">
        <f>Otex!$B$121</f>
        <v>2.649615817034479</v>
      </c>
      <c r="W129" s="38">
        <f>Otex!$C$121</f>
        <v>0</v>
      </c>
      <c r="X129" s="17"/>
    </row>
    <row r="130" spans="1:24" x14ac:dyDescent="0.25">
      <c r="A130" s="4" t="s">
        <v>172</v>
      </c>
      <c r="B130" s="38">
        <f>AggCap!$B$90</f>
        <v>0</v>
      </c>
      <c r="C130" s="38">
        <f>AggCap!$C$90</f>
        <v>0</v>
      </c>
      <c r="D130" s="38">
        <f>AggCap!$D$90</f>
        <v>0</v>
      </c>
      <c r="E130" s="38">
        <f>AggCap!$E$90</f>
        <v>0</v>
      </c>
      <c r="F130" s="38">
        <f>AggCap!$F$90</f>
        <v>0</v>
      </c>
      <c r="G130" s="38">
        <f>AggCap!$G$90</f>
        <v>0</v>
      </c>
      <c r="H130" s="38">
        <f>AggCap!$H$90</f>
        <v>0</v>
      </c>
      <c r="I130" s="38">
        <f>AggCap!$I$90</f>
        <v>0</v>
      </c>
      <c r="J130" s="38">
        <f>AggCap!$J$90</f>
        <v>3.6519822693171271E-2</v>
      </c>
      <c r="K130" s="38">
        <f>SM!$B$107</f>
        <v>0</v>
      </c>
      <c r="L130" s="38">
        <f>SM!$C$107</f>
        <v>0</v>
      </c>
      <c r="M130" s="38">
        <f>AggCap!$K$90</f>
        <v>0</v>
      </c>
      <c r="N130" s="38">
        <f>AggCap!$L$90</f>
        <v>0</v>
      </c>
      <c r="O130" s="38">
        <f>AggCap!$M$90</f>
        <v>0</v>
      </c>
      <c r="P130" s="38">
        <f>AggCap!$N$90</f>
        <v>0</v>
      </c>
      <c r="Q130" s="38">
        <f>AggCap!$O$90</f>
        <v>0</v>
      </c>
      <c r="R130" s="38">
        <f>AggCap!$P$90</f>
        <v>0</v>
      </c>
      <c r="S130" s="38">
        <f>AggCap!$Q$90</f>
        <v>0</v>
      </c>
      <c r="T130" s="38">
        <f>AggCap!$R$90</f>
        <v>0</v>
      </c>
      <c r="U130" s="38">
        <f>AggCap!$S$90</f>
        <v>0.44380612943518233</v>
      </c>
      <c r="V130" s="38">
        <f>Otex!$B$122</f>
        <v>2.649615817034479</v>
      </c>
      <c r="W130" s="38">
        <f>Otex!$C$122</f>
        <v>0</v>
      </c>
      <c r="X130" s="17"/>
    </row>
    <row r="131" spans="1:24" x14ac:dyDescent="0.25">
      <c r="A131" s="4" t="s">
        <v>213</v>
      </c>
      <c r="B131" s="10"/>
      <c r="C131" s="10"/>
      <c r="D131" s="10"/>
      <c r="E131" s="10"/>
      <c r="F131" s="10"/>
      <c r="G131" s="10"/>
      <c r="H131" s="10"/>
      <c r="I131" s="10"/>
      <c r="J131" s="10"/>
      <c r="K131" s="10"/>
      <c r="L131" s="10"/>
      <c r="M131" s="10"/>
      <c r="N131" s="10"/>
      <c r="O131" s="10"/>
      <c r="P131" s="10"/>
      <c r="Q131" s="10"/>
      <c r="R131" s="10"/>
      <c r="S131" s="10"/>
      <c r="T131" s="10"/>
      <c r="U131" s="10"/>
      <c r="V131" s="10"/>
      <c r="W131" s="10"/>
      <c r="X131" s="17"/>
    </row>
    <row r="132" spans="1:24" x14ac:dyDescent="0.25">
      <c r="A132" s="4" t="s">
        <v>173</v>
      </c>
      <c r="B132" s="38">
        <f>AggCap!$B$91</f>
        <v>0</v>
      </c>
      <c r="C132" s="38">
        <f>AggCap!$C$91</f>
        <v>0</v>
      </c>
      <c r="D132" s="38">
        <f>AggCap!$D$91</f>
        <v>0</v>
      </c>
      <c r="E132" s="38">
        <f>AggCap!$E$91</f>
        <v>0</v>
      </c>
      <c r="F132" s="38">
        <f>AggCap!$F$91</f>
        <v>0</v>
      </c>
      <c r="G132" s="38">
        <f>AggCap!$G$91</f>
        <v>0</v>
      </c>
      <c r="H132" s="38">
        <f>AggCap!$H$91</f>
        <v>0</v>
      </c>
      <c r="I132" s="38">
        <f>AggCap!$I$91</f>
        <v>0</v>
      </c>
      <c r="J132" s="38">
        <f>AggCap!$J$91</f>
        <v>3.6519822693171271E-2</v>
      </c>
      <c r="K132" s="38">
        <f>SM!$B$109</f>
        <v>0</v>
      </c>
      <c r="L132" s="38">
        <f>SM!$C$109</f>
        <v>0</v>
      </c>
      <c r="M132" s="38">
        <f>AggCap!$K$91</f>
        <v>0</v>
      </c>
      <c r="N132" s="38">
        <f>AggCap!$L$91</f>
        <v>0</v>
      </c>
      <c r="O132" s="38">
        <f>AggCap!$M$91</f>
        <v>0</v>
      </c>
      <c r="P132" s="38">
        <f>AggCap!$N$91</f>
        <v>0</v>
      </c>
      <c r="Q132" s="38">
        <f>AggCap!$O$91</f>
        <v>0</v>
      </c>
      <c r="R132" s="38">
        <f>AggCap!$P$91</f>
        <v>0</v>
      </c>
      <c r="S132" s="38">
        <f>AggCap!$Q$91</f>
        <v>0</v>
      </c>
      <c r="T132" s="38">
        <f>AggCap!$R$91</f>
        <v>0</v>
      </c>
      <c r="U132" s="38">
        <f>AggCap!$S$91</f>
        <v>0.44380612943518233</v>
      </c>
      <c r="V132" s="38">
        <f>Otex!$B$124</f>
        <v>2.6496158170344684</v>
      </c>
      <c r="W132" s="38">
        <f>Otex!$C$124</f>
        <v>0</v>
      </c>
      <c r="X132" s="17"/>
    </row>
    <row r="133" spans="1:24" x14ac:dyDescent="0.25">
      <c r="A133" s="4" t="s">
        <v>174</v>
      </c>
      <c r="B133" s="38">
        <f>AggCap!$B$92</f>
        <v>0</v>
      </c>
      <c r="C133" s="38">
        <f>AggCap!$C$92</f>
        <v>0</v>
      </c>
      <c r="D133" s="38">
        <f>AggCap!$D$92</f>
        <v>0</v>
      </c>
      <c r="E133" s="38">
        <f>AggCap!$E$92</f>
        <v>0</v>
      </c>
      <c r="F133" s="38">
        <f>AggCap!$F$92</f>
        <v>0</v>
      </c>
      <c r="G133" s="38">
        <f>AggCap!$G$92</f>
        <v>0</v>
      </c>
      <c r="H133" s="38">
        <f>AggCap!$H$92</f>
        <v>0</v>
      </c>
      <c r="I133" s="38">
        <f>AggCap!$I$92</f>
        <v>0</v>
      </c>
      <c r="J133" s="38">
        <f>AggCap!$J$92</f>
        <v>3.6519822693171271E-2</v>
      </c>
      <c r="K133" s="38">
        <f>SM!$B$110</f>
        <v>0</v>
      </c>
      <c r="L133" s="38">
        <f>SM!$C$110</f>
        <v>0</v>
      </c>
      <c r="M133" s="38">
        <f>AggCap!$K$92</f>
        <v>0</v>
      </c>
      <c r="N133" s="38">
        <f>AggCap!$L$92</f>
        <v>0</v>
      </c>
      <c r="O133" s="38">
        <f>AggCap!$M$92</f>
        <v>0</v>
      </c>
      <c r="P133" s="38">
        <f>AggCap!$N$92</f>
        <v>0</v>
      </c>
      <c r="Q133" s="38">
        <f>AggCap!$O$92</f>
        <v>0</v>
      </c>
      <c r="R133" s="38">
        <f>AggCap!$P$92</f>
        <v>0</v>
      </c>
      <c r="S133" s="38">
        <f>AggCap!$Q$92</f>
        <v>0</v>
      </c>
      <c r="T133" s="38">
        <f>AggCap!$R$92</f>
        <v>0</v>
      </c>
      <c r="U133" s="38">
        <f>AggCap!$S$92</f>
        <v>0.44380612943518233</v>
      </c>
      <c r="V133" s="38">
        <f>Otex!$B$125</f>
        <v>2.6496158170344684</v>
      </c>
      <c r="W133" s="38">
        <f>Otex!$C$125</f>
        <v>0</v>
      </c>
      <c r="X133" s="17"/>
    </row>
    <row r="134" spans="1:24" x14ac:dyDescent="0.25">
      <c r="A134" s="4" t="s">
        <v>214</v>
      </c>
      <c r="B134" s="10"/>
      <c r="C134" s="10"/>
      <c r="D134" s="10"/>
      <c r="E134" s="10"/>
      <c r="F134" s="10"/>
      <c r="G134" s="10"/>
      <c r="H134" s="10"/>
      <c r="I134" s="10"/>
      <c r="J134" s="10"/>
      <c r="K134" s="10"/>
      <c r="L134" s="10"/>
      <c r="M134" s="10"/>
      <c r="N134" s="10"/>
      <c r="O134" s="10"/>
      <c r="P134" s="10"/>
      <c r="Q134" s="10"/>
      <c r="R134" s="10"/>
      <c r="S134" s="10"/>
      <c r="T134" s="10"/>
      <c r="U134" s="10"/>
      <c r="V134" s="10"/>
      <c r="W134" s="10"/>
      <c r="X134" s="17"/>
    </row>
    <row r="135" spans="1:24" x14ac:dyDescent="0.25">
      <c r="A135" s="4" t="s">
        <v>175</v>
      </c>
      <c r="B135" s="38">
        <f>AggCap!$B$93</f>
        <v>0</v>
      </c>
      <c r="C135" s="38">
        <f>AggCap!$C$93</f>
        <v>0</v>
      </c>
      <c r="D135" s="38">
        <f>AggCap!$D$93</f>
        <v>0</v>
      </c>
      <c r="E135" s="38">
        <f>AggCap!$E$93</f>
        <v>0</v>
      </c>
      <c r="F135" s="38">
        <f>AggCap!$F$93</f>
        <v>0</v>
      </c>
      <c r="G135" s="38">
        <f>AggCap!$G$93</f>
        <v>0</v>
      </c>
      <c r="H135" s="38">
        <f>AggCap!$H$93</f>
        <v>0</v>
      </c>
      <c r="I135" s="38">
        <f>AggCap!$I$93</f>
        <v>0</v>
      </c>
      <c r="J135" s="38">
        <f>AggCap!$J$93</f>
        <v>0</v>
      </c>
      <c r="K135" s="38">
        <f>SM!$B$112</f>
        <v>0</v>
      </c>
      <c r="L135" s="38">
        <f>SM!$C$112</f>
        <v>0</v>
      </c>
      <c r="M135" s="38">
        <f>AggCap!$K$93</f>
        <v>0</v>
      </c>
      <c r="N135" s="38">
        <f>AggCap!$L$93</f>
        <v>0</v>
      </c>
      <c r="O135" s="38">
        <f>AggCap!$M$93</f>
        <v>0</v>
      </c>
      <c r="P135" s="38">
        <f>AggCap!$N$93</f>
        <v>0</v>
      </c>
      <c r="Q135" s="38">
        <f>AggCap!$O$93</f>
        <v>0</v>
      </c>
      <c r="R135" s="38">
        <f>AggCap!$P$93</f>
        <v>0</v>
      </c>
      <c r="S135" s="38">
        <f>AggCap!$Q$93</f>
        <v>0</v>
      </c>
      <c r="T135" s="38">
        <f>AggCap!$R$93</f>
        <v>0</v>
      </c>
      <c r="U135" s="38">
        <f>AggCap!$S$93</f>
        <v>0</v>
      </c>
      <c r="V135" s="38">
        <f>Otex!$B$127</f>
        <v>10.575137064552598</v>
      </c>
      <c r="W135" s="38">
        <f>Otex!$C$127</f>
        <v>0</v>
      </c>
      <c r="X135" s="17"/>
    </row>
    <row r="136" spans="1:24" x14ac:dyDescent="0.25">
      <c r="A136" s="4" t="s">
        <v>176</v>
      </c>
      <c r="B136" s="38">
        <f>AggCap!$B$94</f>
        <v>0</v>
      </c>
      <c r="C136" s="38">
        <f>AggCap!$C$94</f>
        <v>0</v>
      </c>
      <c r="D136" s="38">
        <f>AggCap!$D$94</f>
        <v>0</v>
      </c>
      <c r="E136" s="38">
        <f>AggCap!$E$94</f>
        <v>0</v>
      </c>
      <c r="F136" s="38">
        <f>AggCap!$F$94</f>
        <v>0</v>
      </c>
      <c r="G136" s="38">
        <f>AggCap!$G$94</f>
        <v>0</v>
      </c>
      <c r="H136" s="38">
        <f>AggCap!$H$94</f>
        <v>0</v>
      </c>
      <c r="I136" s="38">
        <f>AggCap!$I$94</f>
        <v>0</v>
      </c>
      <c r="J136" s="38">
        <f>AggCap!$J$94</f>
        <v>0</v>
      </c>
      <c r="K136" s="38">
        <f>SM!$B$113</f>
        <v>0</v>
      </c>
      <c r="L136" s="38">
        <f>SM!$C$113</f>
        <v>0</v>
      </c>
      <c r="M136" s="38">
        <f>AggCap!$K$94</f>
        <v>0</v>
      </c>
      <c r="N136" s="38">
        <f>AggCap!$L$94</f>
        <v>0</v>
      </c>
      <c r="O136" s="38">
        <f>AggCap!$M$94</f>
        <v>0</v>
      </c>
      <c r="P136" s="38">
        <f>AggCap!$N$94</f>
        <v>0</v>
      </c>
      <c r="Q136" s="38">
        <f>AggCap!$O$94</f>
        <v>0</v>
      </c>
      <c r="R136" s="38">
        <f>AggCap!$P$94</f>
        <v>0</v>
      </c>
      <c r="S136" s="38">
        <f>AggCap!$Q$94</f>
        <v>0</v>
      </c>
      <c r="T136" s="38">
        <f>AggCap!$R$94</f>
        <v>0</v>
      </c>
      <c r="U136" s="38">
        <f>AggCap!$S$94</f>
        <v>0</v>
      </c>
      <c r="V136" s="38">
        <f>Otex!$B$128</f>
        <v>39.987232179652239</v>
      </c>
      <c r="W136" s="38">
        <f>Otex!$C$128</f>
        <v>0</v>
      </c>
      <c r="X136" s="17"/>
    </row>
    <row r="137" spans="1:24" x14ac:dyDescent="0.25">
      <c r="A137" s="4" t="s">
        <v>192</v>
      </c>
      <c r="B137" s="38">
        <f>AggCap!$B$95</f>
        <v>0</v>
      </c>
      <c r="C137" s="38">
        <f>AggCap!$C$95</f>
        <v>0</v>
      </c>
      <c r="D137" s="38">
        <f>AggCap!$D$95</f>
        <v>0</v>
      </c>
      <c r="E137" s="38">
        <f>AggCap!$E$95</f>
        <v>12.838337793822387</v>
      </c>
      <c r="F137" s="38">
        <f>AggCap!$F$95</f>
        <v>17.411704246436585</v>
      </c>
      <c r="G137" s="38">
        <f>AggCap!$G$95</f>
        <v>0</v>
      </c>
      <c r="H137" s="38">
        <f>AggCap!$H$95</f>
        <v>5.0674762190067764</v>
      </c>
      <c r="I137" s="38">
        <f>AggCap!$I$95</f>
        <v>0</v>
      </c>
      <c r="J137" s="38">
        <f>AggCap!$J$95</f>
        <v>0</v>
      </c>
      <c r="K137" s="38">
        <f>SM!$B$114</f>
        <v>0</v>
      </c>
      <c r="L137" s="38">
        <f>SM!$C$114</f>
        <v>0</v>
      </c>
      <c r="M137" s="38">
        <f>AggCap!$K$95</f>
        <v>0</v>
      </c>
      <c r="N137" s="38">
        <f>AggCap!$L$95</f>
        <v>0</v>
      </c>
      <c r="O137" s="38">
        <f>AggCap!$M$95</f>
        <v>0</v>
      </c>
      <c r="P137" s="38">
        <f>AggCap!$N$95</f>
        <v>4.680526287760264</v>
      </c>
      <c r="Q137" s="38">
        <f>AggCap!$O$95</f>
        <v>14.762459408856902</v>
      </c>
      <c r="R137" s="38">
        <f>AggCap!$P$95</f>
        <v>0</v>
      </c>
      <c r="S137" s="38">
        <f>AggCap!$Q$95</f>
        <v>20.527454597808152</v>
      </c>
      <c r="T137" s="38">
        <f>AggCap!$R$95</f>
        <v>0</v>
      </c>
      <c r="U137" s="38">
        <f>AggCap!$S$95</f>
        <v>0</v>
      </c>
      <c r="V137" s="38">
        <f>Otex!$B$129</f>
        <v>0</v>
      </c>
      <c r="W137" s="38">
        <f>Otex!$C$129</f>
        <v>87.92659195212633</v>
      </c>
      <c r="X137" s="17"/>
    </row>
    <row r="138" spans="1:24" x14ac:dyDescent="0.25">
      <c r="A138" s="4" t="s">
        <v>177</v>
      </c>
      <c r="B138" s="38">
        <f>AggCap!$B$96</f>
        <v>0</v>
      </c>
      <c r="C138" s="38">
        <f>AggCap!$C$96</f>
        <v>0</v>
      </c>
      <c r="D138" s="38">
        <f>AggCap!$D$96</f>
        <v>0</v>
      </c>
      <c r="E138" s="38">
        <f>AggCap!$E$96</f>
        <v>0</v>
      </c>
      <c r="F138" s="38">
        <f>AggCap!$F$96</f>
        <v>0</v>
      </c>
      <c r="G138" s="38">
        <f>AggCap!$G$96</f>
        <v>0</v>
      </c>
      <c r="H138" s="38">
        <f>AggCap!$H$96</f>
        <v>0</v>
      </c>
      <c r="I138" s="38">
        <f>AggCap!$I$96</f>
        <v>0</v>
      </c>
      <c r="J138" s="38">
        <f>AggCap!$J$96</f>
        <v>3.6519822693171271E-2</v>
      </c>
      <c r="K138" s="38">
        <f>SM!$B$115</f>
        <v>0</v>
      </c>
      <c r="L138" s="38">
        <f>SM!$C$115</f>
        <v>0</v>
      </c>
      <c r="M138" s="38">
        <f>AggCap!$K$96</f>
        <v>0</v>
      </c>
      <c r="N138" s="38">
        <f>AggCap!$L$96</f>
        <v>0</v>
      </c>
      <c r="O138" s="38">
        <f>AggCap!$M$96</f>
        <v>0</v>
      </c>
      <c r="P138" s="38">
        <f>AggCap!$N$96</f>
        <v>0</v>
      </c>
      <c r="Q138" s="38">
        <f>AggCap!$O$96</f>
        <v>0</v>
      </c>
      <c r="R138" s="38">
        <f>AggCap!$P$96</f>
        <v>0</v>
      </c>
      <c r="S138" s="38">
        <f>AggCap!$Q$96</f>
        <v>0</v>
      </c>
      <c r="T138" s="38">
        <f>AggCap!$R$96</f>
        <v>0</v>
      </c>
      <c r="U138" s="38">
        <f>AggCap!$S$96</f>
        <v>0.44380612943518233</v>
      </c>
      <c r="V138" s="38">
        <f>Otex!$B$130</f>
        <v>2.649615817034479</v>
      </c>
      <c r="W138" s="38">
        <f>Otex!$C$130</f>
        <v>0</v>
      </c>
      <c r="X138" s="17"/>
    </row>
    <row r="139" spans="1:24" x14ac:dyDescent="0.25">
      <c r="A139" s="4" t="s">
        <v>178</v>
      </c>
      <c r="B139" s="38">
        <f>AggCap!$B$97</f>
        <v>0</v>
      </c>
      <c r="C139" s="38">
        <f>AggCap!$C$97</f>
        <v>0</v>
      </c>
      <c r="D139" s="38">
        <f>AggCap!$D$97</f>
        <v>0</v>
      </c>
      <c r="E139" s="38">
        <f>AggCap!$E$97</f>
        <v>0</v>
      </c>
      <c r="F139" s="38">
        <f>AggCap!$F$97</f>
        <v>0</v>
      </c>
      <c r="G139" s="38">
        <f>AggCap!$G$97</f>
        <v>0</v>
      </c>
      <c r="H139" s="38">
        <f>AggCap!$H$97</f>
        <v>0</v>
      </c>
      <c r="I139" s="38">
        <f>AggCap!$I$97</f>
        <v>0</v>
      </c>
      <c r="J139" s="38">
        <f>AggCap!$J$97</f>
        <v>3.6519822693171271E-2</v>
      </c>
      <c r="K139" s="38">
        <f>SM!$B$116</f>
        <v>0</v>
      </c>
      <c r="L139" s="38">
        <f>SM!$C$116</f>
        <v>0</v>
      </c>
      <c r="M139" s="38">
        <f>AggCap!$K$97</f>
        <v>0</v>
      </c>
      <c r="N139" s="38">
        <f>AggCap!$L$97</f>
        <v>0</v>
      </c>
      <c r="O139" s="38">
        <f>AggCap!$M$97</f>
        <v>0</v>
      </c>
      <c r="P139" s="38">
        <f>AggCap!$N$97</f>
        <v>0</v>
      </c>
      <c r="Q139" s="38">
        <f>AggCap!$O$97</f>
        <v>0</v>
      </c>
      <c r="R139" s="38">
        <f>AggCap!$P$97</f>
        <v>0</v>
      </c>
      <c r="S139" s="38">
        <f>AggCap!$Q$97</f>
        <v>0</v>
      </c>
      <c r="T139" s="38">
        <f>AggCap!$R$97</f>
        <v>0</v>
      </c>
      <c r="U139" s="38">
        <f>AggCap!$S$97</f>
        <v>0.44380612943518233</v>
      </c>
      <c r="V139" s="38">
        <f>Otex!$B$131</f>
        <v>2.6496158170344684</v>
      </c>
      <c r="W139" s="38">
        <f>Otex!$C$131</f>
        <v>0</v>
      </c>
      <c r="X139" s="17"/>
    </row>
    <row r="140" spans="1:24" x14ac:dyDescent="0.25">
      <c r="A140" s="4" t="s">
        <v>179</v>
      </c>
      <c r="B140" s="10"/>
      <c r="C140" s="10"/>
      <c r="D140" s="10"/>
      <c r="E140" s="10"/>
      <c r="F140" s="10"/>
      <c r="G140" s="10"/>
      <c r="H140" s="10"/>
      <c r="I140" s="10"/>
      <c r="J140" s="10"/>
      <c r="K140" s="38">
        <f>SM!$B$117</f>
        <v>0</v>
      </c>
      <c r="L140" s="38">
        <f>SM!$C$117</f>
        <v>0</v>
      </c>
      <c r="M140" s="10"/>
      <c r="N140" s="10"/>
      <c r="O140" s="10"/>
      <c r="P140" s="10"/>
      <c r="Q140" s="10"/>
      <c r="R140" s="10"/>
      <c r="S140" s="10"/>
      <c r="T140" s="10"/>
      <c r="U140" s="10"/>
      <c r="V140" s="38">
        <f>Otex!$B$132</f>
        <v>12.456619612572952</v>
      </c>
      <c r="W140" s="38">
        <f>Otex!$C$132</f>
        <v>0</v>
      </c>
      <c r="X140" s="17"/>
    </row>
    <row r="141" spans="1:24" x14ac:dyDescent="0.25">
      <c r="A141" s="4" t="s">
        <v>180</v>
      </c>
      <c r="B141" s="10"/>
      <c r="C141" s="10"/>
      <c r="D141" s="10"/>
      <c r="E141" s="10"/>
      <c r="F141" s="10"/>
      <c r="G141" s="10"/>
      <c r="H141" s="10"/>
      <c r="I141" s="10"/>
      <c r="J141" s="10"/>
      <c r="K141" s="38">
        <f>SM!$B$118</f>
        <v>0</v>
      </c>
      <c r="L141" s="38">
        <f>SM!$C$118</f>
        <v>0</v>
      </c>
      <c r="M141" s="10"/>
      <c r="N141" s="10"/>
      <c r="O141" s="10"/>
      <c r="P141" s="10"/>
      <c r="Q141" s="10"/>
      <c r="R141" s="10"/>
      <c r="S141" s="10"/>
      <c r="T141" s="10"/>
      <c r="U141" s="10"/>
      <c r="V141" s="38">
        <f>Otex!$B$133</f>
        <v>39.987232179652239</v>
      </c>
      <c r="W141" s="38">
        <f>Otex!$C$133</f>
        <v>0</v>
      </c>
      <c r="X141" s="17"/>
    </row>
    <row r="142" spans="1:24" x14ac:dyDescent="0.25">
      <c r="A142" s="4" t="s">
        <v>193</v>
      </c>
      <c r="B142" s="10"/>
      <c r="C142" s="10"/>
      <c r="D142" s="10"/>
      <c r="E142" s="10"/>
      <c r="F142" s="10"/>
      <c r="G142" s="10"/>
      <c r="H142" s="10"/>
      <c r="I142" s="10"/>
      <c r="J142" s="10"/>
      <c r="K142" s="38">
        <f>SM!$B$119</f>
        <v>0</v>
      </c>
      <c r="L142" s="38">
        <f>SM!$C$119</f>
        <v>0</v>
      </c>
      <c r="M142" s="10"/>
      <c r="N142" s="10"/>
      <c r="O142" s="10"/>
      <c r="P142" s="10"/>
      <c r="Q142" s="10"/>
      <c r="R142" s="10"/>
      <c r="S142" s="10"/>
      <c r="T142" s="10"/>
      <c r="U142" s="10"/>
      <c r="V142" s="38">
        <f>Otex!$B$134</f>
        <v>0</v>
      </c>
      <c r="W142" s="38">
        <f>Otex!$C$134</f>
        <v>87.92659195212633</v>
      </c>
      <c r="X142" s="17"/>
    </row>
    <row r="143" spans="1:24" x14ac:dyDescent="0.25">
      <c r="A143" s="4" t="s">
        <v>215</v>
      </c>
      <c r="B143" s="10"/>
      <c r="C143" s="10"/>
      <c r="D143" s="10"/>
      <c r="E143" s="10"/>
      <c r="F143" s="10"/>
      <c r="G143" s="10"/>
      <c r="H143" s="10"/>
      <c r="I143" s="10"/>
      <c r="J143" s="10"/>
      <c r="K143" s="10"/>
      <c r="L143" s="10"/>
      <c r="M143" s="10"/>
      <c r="N143" s="10"/>
      <c r="O143" s="10"/>
      <c r="P143" s="10"/>
      <c r="Q143" s="10"/>
      <c r="R143" s="10"/>
      <c r="S143" s="10"/>
      <c r="T143" s="10"/>
      <c r="U143" s="10"/>
      <c r="V143" s="10"/>
      <c r="W143" s="10"/>
      <c r="X143" s="17"/>
    </row>
    <row r="144" spans="1:24" x14ac:dyDescent="0.25">
      <c r="A144" s="4" t="s">
        <v>216</v>
      </c>
      <c r="B144" s="10"/>
      <c r="C144" s="10"/>
      <c r="D144" s="10"/>
      <c r="E144" s="10"/>
      <c r="F144" s="10"/>
      <c r="G144" s="10"/>
      <c r="H144" s="10"/>
      <c r="I144" s="10"/>
      <c r="J144" s="10"/>
      <c r="K144" s="10"/>
      <c r="L144" s="10"/>
      <c r="M144" s="10"/>
      <c r="N144" s="10"/>
      <c r="O144" s="10"/>
      <c r="P144" s="10"/>
      <c r="Q144" s="10"/>
      <c r="R144" s="10"/>
      <c r="S144" s="10"/>
      <c r="T144" s="10"/>
      <c r="U144" s="10"/>
      <c r="V144" s="10"/>
      <c r="W144" s="10"/>
      <c r="X144" s="17"/>
    </row>
    <row r="145" spans="1:24" x14ac:dyDescent="0.25">
      <c r="A145" s="4" t="s">
        <v>217</v>
      </c>
      <c r="B145" s="10"/>
      <c r="C145" s="10"/>
      <c r="D145" s="10"/>
      <c r="E145" s="10"/>
      <c r="F145" s="10"/>
      <c r="G145" s="10"/>
      <c r="H145" s="10"/>
      <c r="I145" s="10"/>
      <c r="J145" s="10"/>
      <c r="K145" s="10"/>
      <c r="L145" s="10"/>
      <c r="M145" s="10"/>
      <c r="N145" s="10"/>
      <c r="O145" s="10"/>
      <c r="P145" s="10"/>
      <c r="Q145" s="10"/>
      <c r="R145" s="10"/>
      <c r="S145" s="10"/>
      <c r="T145" s="10"/>
      <c r="U145" s="10"/>
      <c r="V145" s="10"/>
      <c r="W145" s="10"/>
      <c r="X145" s="17"/>
    </row>
    <row r="146" spans="1:24" x14ac:dyDescent="0.25">
      <c r="A146" s="4" t="s">
        <v>218</v>
      </c>
      <c r="B146" s="10"/>
      <c r="C146" s="10"/>
      <c r="D146" s="10"/>
      <c r="E146" s="10"/>
      <c r="F146" s="10"/>
      <c r="G146" s="10"/>
      <c r="H146" s="10"/>
      <c r="I146" s="10"/>
      <c r="J146" s="10"/>
      <c r="K146" s="10"/>
      <c r="L146" s="10"/>
      <c r="M146" s="10"/>
      <c r="N146" s="10"/>
      <c r="O146" s="10"/>
      <c r="P146" s="10"/>
      <c r="Q146" s="10"/>
      <c r="R146" s="10"/>
      <c r="S146" s="10"/>
      <c r="T146" s="10"/>
      <c r="U146" s="10"/>
      <c r="V146" s="10"/>
      <c r="W146" s="10"/>
      <c r="X146" s="17"/>
    </row>
    <row r="147" spans="1:24" x14ac:dyDescent="0.25">
      <c r="A147" s="4" t="s">
        <v>219</v>
      </c>
      <c r="B147" s="10"/>
      <c r="C147" s="10"/>
      <c r="D147" s="10"/>
      <c r="E147" s="10"/>
      <c r="F147" s="10"/>
      <c r="G147" s="10"/>
      <c r="H147" s="10"/>
      <c r="I147" s="10"/>
      <c r="J147" s="10"/>
      <c r="K147" s="10"/>
      <c r="L147" s="10"/>
      <c r="M147" s="10"/>
      <c r="N147" s="10"/>
      <c r="O147" s="10"/>
      <c r="P147" s="10"/>
      <c r="Q147" s="10"/>
      <c r="R147" s="10"/>
      <c r="S147" s="10"/>
      <c r="T147" s="10"/>
      <c r="U147" s="10"/>
      <c r="V147" s="10"/>
      <c r="W147" s="10"/>
      <c r="X147" s="17"/>
    </row>
    <row r="148" spans="1:24" x14ac:dyDescent="0.25">
      <c r="A148" s="4" t="s">
        <v>181</v>
      </c>
      <c r="B148" s="10"/>
      <c r="C148" s="10"/>
      <c r="D148" s="10"/>
      <c r="E148" s="10"/>
      <c r="F148" s="10"/>
      <c r="G148" s="10"/>
      <c r="H148" s="10"/>
      <c r="I148" s="10"/>
      <c r="J148" s="10"/>
      <c r="K148" s="38">
        <f>SM!$B$125</f>
        <v>0</v>
      </c>
      <c r="L148" s="38">
        <f>SM!$C$125</f>
        <v>0</v>
      </c>
      <c r="M148" s="10"/>
      <c r="N148" s="10"/>
      <c r="O148" s="10"/>
      <c r="P148" s="10"/>
      <c r="Q148" s="10"/>
      <c r="R148" s="10"/>
      <c r="S148" s="10"/>
      <c r="T148" s="10"/>
      <c r="U148" s="10"/>
      <c r="V148" s="38">
        <f>Otex!$B$140</f>
        <v>0</v>
      </c>
      <c r="W148" s="38">
        <f>Otex!$C$140</f>
        <v>0</v>
      </c>
      <c r="X148" s="17"/>
    </row>
    <row r="149" spans="1:24" x14ac:dyDescent="0.25">
      <c r="A149" s="4" t="s">
        <v>182</v>
      </c>
      <c r="B149" s="10"/>
      <c r="C149" s="10"/>
      <c r="D149" s="10"/>
      <c r="E149" s="10"/>
      <c r="F149" s="10"/>
      <c r="G149" s="10"/>
      <c r="H149" s="10"/>
      <c r="I149" s="10"/>
      <c r="J149" s="10"/>
      <c r="K149" s="38">
        <f>SM!$B$126</f>
        <v>0</v>
      </c>
      <c r="L149" s="38">
        <f>SM!$C$126</f>
        <v>0</v>
      </c>
      <c r="M149" s="10"/>
      <c r="N149" s="10"/>
      <c r="O149" s="10"/>
      <c r="P149" s="10"/>
      <c r="Q149" s="10"/>
      <c r="R149" s="10"/>
      <c r="S149" s="10"/>
      <c r="T149" s="10"/>
      <c r="U149" s="10"/>
      <c r="V149" s="38">
        <f>Otex!$B$141</f>
        <v>0</v>
      </c>
      <c r="W149" s="38">
        <f>Otex!$C$141</f>
        <v>0</v>
      </c>
      <c r="X149" s="17"/>
    </row>
    <row r="150" spans="1:24" x14ac:dyDescent="0.25">
      <c r="A150" s="4" t="s">
        <v>183</v>
      </c>
      <c r="B150" s="10"/>
      <c r="C150" s="10"/>
      <c r="D150" s="10"/>
      <c r="E150" s="10"/>
      <c r="F150" s="10"/>
      <c r="G150" s="10"/>
      <c r="H150" s="10"/>
      <c r="I150" s="10"/>
      <c r="J150" s="10"/>
      <c r="K150" s="38">
        <f>SM!$B$127</f>
        <v>0</v>
      </c>
      <c r="L150" s="38">
        <f>SM!$C$127</f>
        <v>0</v>
      </c>
      <c r="M150" s="10"/>
      <c r="N150" s="10"/>
      <c r="O150" s="10"/>
      <c r="P150" s="10"/>
      <c r="Q150" s="10"/>
      <c r="R150" s="10"/>
      <c r="S150" s="10"/>
      <c r="T150" s="10"/>
      <c r="U150" s="10"/>
      <c r="V150" s="38">
        <f>Otex!$B$142</f>
        <v>0</v>
      </c>
      <c r="W150" s="38">
        <f>Otex!$C$142</f>
        <v>0</v>
      </c>
      <c r="X150" s="17"/>
    </row>
    <row r="151" spans="1:24" x14ac:dyDescent="0.25">
      <c r="A151" s="4" t="s">
        <v>184</v>
      </c>
      <c r="B151" s="10"/>
      <c r="C151" s="10"/>
      <c r="D151" s="10"/>
      <c r="E151" s="10"/>
      <c r="F151" s="10"/>
      <c r="G151" s="10"/>
      <c r="H151" s="10"/>
      <c r="I151" s="10"/>
      <c r="J151" s="10"/>
      <c r="K151" s="38">
        <f>SM!$B$128</f>
        <v>0</v>
      </c>
      <c r="L151" s="38">
        <f>SM!$C$128</f>
        <v>0</v>
      </c>
      <c r="M151" s="10"/>
      <c r="N151" s="10"/>
      <c r="O151" s="10"/>
      <c r="P151" s="10"/>
      <c r="Q151" s="10"/>
      <c r="R151" s="10"/>
      <c r="S151" s="10"/>
      <c r="T151" s="10"/>
      <c r="U151" s="10"/>
      <c r="V151" s="38">
        <f>Otex!$B$143</f>
        <v>0</v>
      </c>
      <c r="W151" s="38">
        <f>Otex!$C$143</f>
        <v>0</v>
      </c>
      <c r="X151" s="17"/>
    </row>
    <row r="152" spans="1:24" x14ac:dyDescent="0.25">
      <c r="A152" s="4" t="s">
        <v>185</v>
      </c>
      <c r="B152" s="10"/>
      <c r="C152" s="10"/>
      <c r="D152" s="10"/>
      <c r="E152" s="10"/>
      <c r="F152" s="10"/>
      <c r="G152" s="10"/>
      <c r="H152" s="10"/>
      <c r="I152" s="10"/>
      <c r="J152" s="10"/>
      <c r="K152" s="38">
        <f>SM!$B$129</f>
        <v>0</v>
      </c>
      <c r="L152" s="38">
        <f>SM!$C$129</f>
        <v>0</v>
      </c>
      <c r="M152" s="10"/>
      <c r="N152" s="10"/>
      <c r="O152" s="10"/>
      <c r="P152" s="10"/>
      <c r="Q152" s="10"/>
      <c r="R152" s="10"/>
      <c r="S152" s="10"/>
      <c r="T152" s="10"/>
      <c r="U152" s="10"/>
      <c r="V152" s="38">
        <f>Otex!$B$144</f>
        <v>0</v>
      </c>
      <c r="W152" s="38">
        <f>Otex!$C$144</f>
        <v>0</v>
      </c>
      <c r="X152" s="17"/>
    </row>
    <row r="153" spans="1:24" x14ac:dyDescent="0.25">
      <c r="A153" s="4" t="s">
        <v>186</v>
      </c>
      <c r="B153" s="10"/>
      <c r="C153" s="10"/>
      <c r="D153" s="10"/>
      <c r="E153" s="10"/>
      <c r="F153" s="10"/>
      <c r="G153" s="10"/>
      <c r="H153" s="10"/>
      <c r="I153" s="10"/>
      <c r="J153" s="10"/>
      <c r="K153" s="38">
        <f>SM!$B$130</f>
        <v>0</v>
      </c>
      <c r="L153" s="38">
        <f>SM!$C$130</f>
        <v>0</v>
      </c>
      <c r="M153" s="10"/>
      <c r="N153" s="10"/>
      <c r="O153" s="10"/>
      <c r="P153" s="10"/>
      <c r="Q153" s="10"/>
      <c r="R153" s="10"/>
      <c r="S153" s="10"/>
      <c r="T153" s="10"/>
      <c r="U153" s="10"/>
      <c r="V153" s="38">
        <f>Otex!$B$145</f>
        <v>0</v>
      </c>
      <c r="W153" s="38">
        <f>Otex!$C$145</f>
        <v>0</v>
      </c>
      <c r="X153" s="17"/>
    </row>
    <row r="154" spans="1:24" x14ac:dyDescent="0.25">
      <c r="A154" s="4" t="s">
        <v>194</v>
      </c>
      <c r="B154" s="10"/>
      <c r="C154" s="10"/>
      <c r="D154" s="10"/>
      <c r="E154" s="10"/>
      <c r="F154" s="10"/>
      <c r="G154" s="10"/>
      <c r="H154" s="10"/>
      <c r="I154" s="10"/>
      <c r="J154" s="10"/>
      <c r="K154" s="38">
        <f>SM!$B$131</f>
        <v>0</v>
      </c>
      <c r="L154" s="38">
        <f>SM!$C$131</f>
        <v>0</v>
      </c>
      <c r="M154" s="10"/>
      <c r="N154" s="10"/>
      <c r="O154" s="10"/>
      <c r="P154" s="10"/>
      <c r="Q154" s="10"/>
      <c r="R154" s="10"/>
      <c r="S154" s="10"/>
      <c r="T154" s="10"/>
      <c r="U154" s="10"/>
      <c r="V154" s="38">
        <f>Otex!$B$146</f>
        <v>0</v>
      </c>
      <c r="W154" s="38">
        <f>Otex!$C$146</f>
        <v>5.9206889028113041</v>
      </c>
      <c r="X154" s="17"/>
    </row>
    <row r="155" spans="1:24" x14ac:dyDescent="0.25">
      <c r="A155" s="4" t="s">
        <v>195</v>
      </c>
      <c r="B155" s="10"/>
      <c r="C155" s="10"/>
      <c r="D155" s="10"/>
      <c r="E155" s="10"/>
      <c r="F155" s="10"/>
      <c r="G155" s="10"/>
      <c r="H155" s="10"/>
      <c r="I155" s="10"/>
      <c r="J155" s="10"/>
      <c r="K155" s="38">
        <f>SM!$B$132</f>
        <v>0</v>
      </c>
      <c r="L155" s="38">
        <f>SM!$C$132</f>
        <v>0</v>
      </c>
      <c r="M155" s="10"/>
      <c r="N155" s="10"/>
      <c r="O155" s="10"/>
      <c r="P155" s="10"/>
      <c r="Q155" s="10"/>
      <c r="R155" s="10"/>
      <c r="S155" s="10"/>
      <c r="T155" s="10"/>
      <c r="U155" s="10"/>
      <c r="V155" s="38">
        <f>Otex!$B$147</f>
        <v>0</v>
      </c>
      <c r="W155" s="38">
        <f>Otex!$C$147</f>
        <v>5.9206889028113041</v>
      </c>
      <c r="X155" s="17"/>
    </row>
    <row r="157" spans="1:24" ht="21" customHeight="1" x14ac:dyDescent="0.3">
      <c r="A157" s="1" t="s">
        <v>1081</v>
      </c>
    </row>
    <row r="158" spans="1:24" x14ac:dyDescent="0.25">
      <c r="A158" s="2" t="s">
        <v>350</v>
      </c>
    </row>
    <row r="159" spans="1:24" x14ac:dyDescent="0.25">
      <c r="A159" s="32" t="s">
        <v>1082</v>
      </c>
    </row>
    <row r="160" spans="1:24" x14ac:dyDescent="0.25">
      <c r="A160" s="2" t="s">
        <v>632</v>
      </c>
    </row>
    <row r="162" spans="1:24" ht="30" x14ac:dyDescent="0.25">
      <c r="B162" s="15" t="s">
        <v>139</v>
      </c>
      <c r="C162" s="15" t="s">
        <v>313</v>
      </c>
      <c r="D162" s="15" t="s">
        <v>314</v>
      </c>
      <c r="E162" s="15" t="s">
        <v>315</v>
      </c>
      <c r="F162" s="15" t="s">
        <v>316</v>
      </c>
      <c r="G162" s="15" t="s">
        <v>317</v>
      </c>
      <c r="H162" s="15" t="s">
        <v>318</v>
      </c>
      <c r="I162" s="15" t="s">
        <v>319</v>
      </c>
      <c r="J162" s="15" t="s">
        <v>320</v>
      </c>
      <c r="K162" s="15" t="s">
        <v>462</v>
      </c>
      <c r="L162" s="15" t="s">
        <v>474</v>
      </c>
      <c r="M162" s="15" t="s">
        <v>301</v>
      </c>
      <c r="N162" s="15" t="s">
        <v>876</v>
      </c>
      <c r="O162" s="15" t="s">
        <v>877</v>
      </c>
      <c r="P162" s="15" t="s">
        <v>878</v>
      </c>
      <c r="Q162" s="15" t="s">
        <v>879</v>
      </c>
      <c r="R162" s="15" t="s">
        <v>880</v>
      </c>
      <c r="S162" s="15" t="s">
        <v>881</v>
      </c>
      <c r="T162" s="15" t="s">
        <v>882</v>
      </c>
      <c r="U162" s="15" t="s">
        <v>883</v>
      </c>
      <c r="V162" s="15" t="s">
        <v>884</v>
      </c>
      <c r="W162" s="15" t="s">
        <v>885</v>
      </c>
    </row>
    <row r="163" spans="1:24" x14ac:dyDescent="0.25">
      <c r="A163" s="4" t="s">
        <v>171</v>
      </c>
      <c r="B163" s="10"/>
      <c r="C163" s="10"/>
      <c r="D163" s="10"/>
      <c r="E163" s="10"/>
      <c r="F163" s="10"/>
      <c r="G163" s="10"/>
      <c r="H163" s="10"/>
      <c r="I163" s="10"/>
      <c r="J163" s="10"/>
      <c r="K163" s="10"/>
      <c r="L163" s="10"/>
      <c r="M163" s="10"/>
      <c r="N163" s="10"/>
      <c r="O163" s="10"/>
      <c r="P163" s="10"/>
      <c r="Q163" s="10"/>
      <c r="R163" s="10"/>
      <c r="S163" s="10"/>
      <c r="T163" s="10"/>
      <c r="U163" s="10"/>
      <c r="V163" s="10"/>
      <c r="W163" s="10"/>
      <c r="X163" s="17"/>
    </row>
    <row r="164" spans="1:24" x14ac:dyDescent="0.25">
      <c r="A164" s="4" t="s">
        <v>172</v>
      </c>
      <c r="B164" s="10"/>
      <c r="C164" s="10"/>
      <c r="D164" s="10"/>
      <c r="E164" s="10"/>
      <c r="F164" s="10"/>
      <c r="G164" s="10"/>
      <c r="H164" s="10"/>
      <c r="I164" s="10"/>
      <c r="J164" s="10"/>
      <c r="K164" s="10"/>
      <c r="L164" s="10"/>
      <c r="M164" s="10"/>
      <c r="N164" s="10"/>
      <c r="O164" s="10"/>
      <c r="P164" s="10"/>
      <c r="Q164" s="10"/>
      <c r="R164" s="10"/>
      <c r="S164" s="10"/>
      <c r="T164" s="10"/>
      <c r="U164" s="10"/>
      <c r="V164" s="10"/>
      <c r="W164" s="10"/>
      <c r="X164" s="17"/>
    </row>
    <row r="165" spans="1:24" x14ac:dyDescent="0.25">
      <c r="A165" s="4" t="s">
        <v>213</v>
      </c>
      <c r="B165" s="10"/>
      <c r="C165" s="10"/>
      <c r="D165" s="10"/>
      <c r="E165" s="10"/>
      <c r="F165" s="10"/>
      <c r="G165" s="10"/>
      <c r="H165" s="10"/>
      <c r="I165" s="10"/>
      <c r="J165" s="10"/>
      <c r="K165" s="10"/>
      <c r="L165" s="10"/>
      <c r="M165" s="10"/>
      <c r="N165" s="10"/>
      <c r="O165" s="10"/>
      <c r="P165" s="10"/>
      <c r="Q165" s="10"/>
      <c r="R165" s="10"/>
      <c r="S165" s="10"/>
      <c r="T165" s="10"/>
      <c r="U165" s="10"/>
      <c r="V165" s="10"/>
      <c r="W165" s="10"/>
      <c r="X165" s="17"/>
    </row>
    <row r="166" spans="1:24" x14ac:dyDescent="0.25">
      <c r="A166" s="4" t="s">
        <v>173</v>
      </c>
      <c r="B166" s="10"/>
      <c r="C166" s="10"/>
      <c r="D166" s="10"/>
      <c r="E166" s="10"/>
      <c r="F166" s="10"/>
      <c r="G166" s="10"/>
      <c r="H166" s="10"/>
      <c r="I166" s="10"/>
      <c r="J166" s="10"/>
      <c r="K166" s="10"/>
      <c r="L166" s="10"/>
      <c r="M166" s="10"/>
      <c r="N166" s="10"/>
      <c r="O166" s="10"/>
      <c r="P166" s="10"/>
      <c r="Q166" s="10"/>
      <c r="R166" s="10"/>
      <c r="S166" s="10"/>
      <c r="T166" s="10"/>
      <c r="U166" s="10"/>
      <c r="V166" s="10"/>
      <c r="W166" s="10"/>
      <c r="X166" s="17"/>
    </row>
    <row r="167" spans="1:24" x14ac:dyDescent="0.25">
      <c r="A167" s="4" t="s">
        <v>174</v>
      </c>
      <c r="B167" s="10"/>
      <c r="C167" s="10"/>
      <c r="D167" s="10"/>
      <c r="E167" s="10"/>
      <c r="F167" s="10"/>
      <c r="G167" s="10"/>
      <c r="H167" s="10"/>
      <c r="I167" s="10"/>
      <c r="J167" s="10"/>
      <c r="K167" s="10"/>
      <c r="L167" s="10"/>
      <c r="M167" s="10"/>
      <c r="N167" s="10"/>
      <c r="O167" s="10"/>
      <c r="P167" s="10"/>
      <c r="Q167" s="10"/>
      <c r="R167" s="10"/>
      <c r="S167" s="10"/>
      <c r="T167" s="10"/>
      <c r="U167" s="10"/>
      <c r="V167" s="10"/>
      <c r="W167" s="10"/>
      <c r="X167" s="17"/>
    </row>
    <row r="168" spans="1:24" x14ac:dyDescent="0.25">
      <c r="A168" s="4" t="s">
        <v>214</v>
      </c>
      <c r="B168" s="10"/>
      <c r="C168" s="10"/>
      <c r="D168" s="10"/>
      <c r="E168" s="10"/>
      <c r="F168" s="10"/>
      <c r="G168" s="10"/>
      <c r="H168" s="10"/>
      <c r="I168" s="10"/>
      <c r="J168" s="10"/>
      <c r="K168" s="10"/>
      <c r="L168" s="10"/>
      <c r="M168" s="10"/>
      <c r="N168" s="10"/>
      <c r="O168" s="10"/>
      <c r="P168" s="10"/>
      <c r="Q168" s="10"/>
      <c r="R168" s="10"/>
      <c r="S168" s="10"/>
      <c r="T168" s="10"/>
      <c r="U168" s="10"/>
      <c r="V168" s="10"/>
      <c r="W168" s="10"/>
      <c r="X168" s="17"/>
    </row>
    <row r="169" spans="1:24" x14ac:dyDescent="0.25">
      <c r="A169" s="4" t="s">
        <v>175</v>
      </c>
      <c r="B169" s="10"/>
      <c r="C169" s="10"/>
      <c r="D169" s="10"/>
      <c r="E169" s="10"/>
      <c r="F169" s="10"/>
      <c r="G169" s="10"/>
      <c r="H169" s="10"/>
      <c r="I169" s="10"/>
      <c r="J169" s="10"/>
      <c r="K169" s="10"/>
      <c r="L169" s="10"/>
      <c r="M169" s="10"/>
      <c r="N169" s="10"/>
      <c r="O169" s="10"/>
      <c r="P169" s="10"/>
      <c r="Q169" s="10"/>
      <c r="R169" s="10"/>
      <c r="S169" s="10"/>
      <c r="T169" s="10"/>
      <c r="U169" s="10"/>
      <c r="V169" s="10"/>
      <c r="W169" s="10"/>
      <c r="X169" s="17"/>
    </row>
    <row r="170" spans="1:24" x14ac:dyDescent="0.25">
      <c r="A170" s="4" t="s">
        <v>176</v>
      </c>
      <c r="B170" s="10"/>
      <c r="C170" s="10"/>
      <c r="D170" s="10"/>
      <c r="E170" s="10"/>
      <c r="F170" s="10"/>
      <c r="G170" s="10"/>
      <c r="H170" s="10"/>
      <c r="I170" s="10"/>
      <c r="J170" s="10"/>
      <c r="K170" s="10"/>
      <c r="L170" s="10"/>
      <c r="M170" s="10"/>
      <c r="N170" s="10"/>
      <c r="O170" s="10"/>
      <c r="P170" s="10"/>
      <c r="Q170" s="10"/>
      <c r="R170" s="10"/>
      <c r="S170" s="10"/>
      <c r="T170" s="10"/>
      <c r="U170" s="10"/>
      <c r="V170" s="10"/>
      <c r="W170" s="10"/>
      <c r="X170" s="17"/>
    </row>
    <row r="171" spans="1:24" x14ac:dyDescent="0.25">
      <c r="A171" s="4" t="s">
        <v>192</v>
      </c>
      <c r="B171" s="10"/>
      <c r="C171" s="10"/>
      <c r="D171" s="10"/>
      <c r="E171" s="10"/>
      <c r="F171" s="10"/>
      <c r="G171" s="10"/>
      <c r="H171" s="10"/>
      <c r="I171" s="10"/>
      <c r="J171" s="10"/>
      <c r="K171" s="10"/>
      <c r="L171" s="10"/>
      <c r="M171" s="10"/>
      <c r="N171" s="10"/>
      <c r="O171" s="10"/>
      <c r="P171" s="10"/>
      <c r="Q171" s="10"/>
      <c r="R171" s="10"/>
      <c r="S171" s="10"/>
      <c r="T171" s="10"/>
      <c r="U171" s="10"/>
      <c r="V171" s="10"/>
      <c r="W171" s="10"/>
      <c r="X171" s="17"/>
    </row>
    <row r="172" spans="1:24" x14ac:dyDescent="0.25">
      <c r="A172" s="4" t="s">
        <v>177</v>
      </c>
      <c r="B172" s="10"/>
      <c r="C172" s="10"/>
      <c r="D172" s="10"/>
      <c r="E172" s="10"/>
      <c r="F172" s="10"/>
      <c r="G172" s="10"/>
      <c r="H172" s="10"/>
      <c r="I172" s="10"/>
      <c r="J172" s="10"/>
      <c r="K172" s="10"/>
      <c r="L172" s="10"/>
      <c r="M172" s="10"/>
      <c r="N172" s="10"/>
      <c r="O172" s="10"/>
      <c r="P172" s="10"/>
      <c r="Q172" s="10"/>
      <c r="R172" s="10"/>
      <c r="S172" s="10"/>
      <c r="T172" s="10"/>
      <c r="U172" s="10"/>
      <c r="V172" s="10"/>
      <c r="W172" s="10"/>
      <c r="X172" s="17"/>
    </row>
    <row r="173" spans="1:24" x14ac:dyDescent="0.25">
      <c r="A173" s="4" t="s">
        <v>178</v>
      </c>
      <c r="B173" s="10"/>
      <c r="C173" s="10"/>
      <c r="D173" s="10"/>
      <c r="E173" s="10"/>
      <c r="F173" s="10"/>
      <c r="G173" s="10"/>
      <c r="H173" s="10"/>
      <c r="I173" s="10"/>
      <c r="J173" s="10"/>
      <c r="K173" s="10"/>
      <c r="L173" s="10"/>
      <c r="M173" s="10"/>
      <c r="N173" s="10"/>
      <c r="O173" s="10"/>
      <c r="P173" s="10"/>
      <c r="Q173" s="10"/>
      <c r="R173" s="10"/>
      <c r="S173" s="10"/>
      <c r="T173" s="10"/>
      <c r="U173" s="10"/>
      <c r="V173" s="10"/>
      <c r="W173" s="10"/>
      <c r="X173" s="17"/>
    </row>
    <row r="174" spans="1:24" x14ac:dyDescent="0.25">
      <c r="A174" s="4" t="s">
        <v>179</v>
      </c>
      <c r="B174" s="38">
        <f>Standing!$B$36</f>
        <v>0</v>
      </c>
      <c r="C174" s="38">
        <f>Standing!$C$36</f>
        <v>0</v>
      </c>
      <c r="D174" s="38">
        <f>Standing!$D$36</f>
        <v>0</v>
      </c>
      <c r="E174" s="38">
        <f>Standing!$E$36</f>
        <v>0</v>
      </c>
      <c r="F174" s="38">
        <f>Standing!$F$36</f>
        <v>0</v>
      </c>
      <c r="G174" s="38">
        <f>Standing!$G$36</f>
        <v>0</v>
      </c>
      <c r="H174" s="38">
        <f>Standing!$H$36</f>
        <v>0.30116692070058509</v>
      </c>
      <c r="I174" s="38">
        <f>Standing!$I$36</f>
        <v>1.3671779589172803</v>
      </c>
      <c r="J174" s="38">
        <f>Standing!$J$36</f>
        <v>2.8331136243140861E-2</v>
      </c>
      <c r="K174" s="10"/>
      <c r="L174" s="10"/>
      <c r="M174" s="38">
        <f>Standing!$K$36</f>
        <v>0</v>
      </c>
      <c r="N174" s="38">
        <f>Standing!$L$36</f>
        <v>0</v>
      </c>
      <c r="O174" s="38">
        <f>Standing!$M$36</f>
        <v>0</v>
      </c>
      <c r="P174" s="38">
        <f>Standing!$N$36</f>
        <v>0</v>
      </c>
      <c r="Q174" s="38">
        <f>Standing!$O$36</f>
        <v>0</v>
      </c>
      <c r="R174" s="38">
        <f>Standing!$P$36</f>
        <v>0</v>
      </c>
      <c r="S174" s="38">
        <f>Standing!$Q$36</f>
        <v>0.15685382684945257</v>
      </c>
      <c r="T174" s="38">
        <f>Standing!$R$36</f>
        <v>0.71205394782914655</v>
      </c>
      <c r="U174" s="38">
        <f>Standing!$S$36</f>
        <v>0.34429334512952725</v>
      </c>
      <c r="V174" s="10"/>
      <c r="W174" s="10"/>
      <c r="X174" s="17"/>
    </row>
    <row r="175" spans="1:24" x14ac:dyDescent="0.25">
      <c r="A175" s="4" t="s">
        <v>180</v>
      </c>
      <c r="B175" s="38">
        <f>Standing!$B$37</f>
        <v>0</v>
      </c>
      <c r="C175" s="38">
        <f>Standing!$C$37</f>
        <v>0</v>
      </c>
      <c r="D175" s="38">
        <f>Standing!$D$37</f>
        <v>0</v>
      </c>
      <c r="E175" s="38">
        <f>Standing!$E$37</f>
        <v>0</v>
      </c>
      <c r="F175" s="38">
        <f>Standing!$F$37</f>
        <v>0</v>
      </c>
      <c r="G175" s="38">
        <f>Standing!$G$37</f>
        <v>0</v>
      </c>
      <c r="H175" s="38">
        <f>Standing!$H$37</f>
        <v>1.4344467038781146</v>
      </c>
      <c r="I175" s="38">
        <f>Standing!$I$37</f>
        <v>5.5815575501783572E-2</v>
      </c>
      <c r="J175" s="38">
        <f>Standing!$J$37</f>
        <v>0</v>
      </c>
      <c r="K175" s="10"/>
      <c r="L175" s="10"/>
      <c r="M175" s="38">
        <f>Standing!$K$37</f>
        <v>0</v>
      </c>
      <c r="N175" s="38">
        <f>Standing!$L$37</f>
        <v>0</v>
      </c>
      <c r="O175" s="38">
        <f>Standing!$M$37</f>
        <v>0</v>
      </c>
      <c r="P175" s="38">
        <f>Standing!$N$37</f>
        <v>0</v>
      </c>
      <c r="Q175" s="38">
        <f>Standing!$O$37</f>
        <v>0</v>
      </c>
      <c r="R175" s="38">
        <f>Standing!$P$37</f>
        <v>0</v>
      </c>
      <c r="S175" s="38">
        <f>Standing!$Q$37</f>
        <v>0.74708887148517644</v>
      </c>
      <c r="T175" s="38">
        <f>Standing!$R$37</f>
        <v>0.67829722870685383</v>
      </c>
      <c r="U175" s="38">
        <f>Standing!$S$37</f>
        <v>0</v>
      </c>
      <c r="V175" s="10"/>
      <c r="W175" s="10"/>
      <c r="X175" s="17"/>
    </row>
    <row r="176" spans="1:24" x14ac:dyDescent="0.25">
      <c r="A176" s="4" t="s">
        <v>193</v>
      </c>
      <c r="B176" s="38">
        <f>Standing!$B$38</f>
        <v>0</v>
      </c>
      <c r="C176" s="38">
        <f>Standing!$C$38</f>
        <v>0</v>
      </c>
      <c r="D176" s="38">
        <f>Standing!$D$38</f>
        <v>0</v>
      </c>
      <c r="E176" s="38">
        <f>Standing!$E$38</f>
        <v>0.4611986432217296</v>
      </c>
      <c r="F176" s="38">
        <f>Standing!$F$38</f>
        <v>0.62549019223490265</v>
      </c>
      <c r="G176" s="38">
        <f>Standing!$G$38</f>
        <v>0</v>
      </c>
      <c r="H176" s="38">
        <f>Standing!$H$38</f>
        <v>0.18204172489439316</v>
      </c>
      <c r="I176" s="38">
        <f>Standing!$I$38</f>
        <v>0</v>
      </c>
      <c r="J176" s="38">
        <f>Standing!$J$38</f>
        <v>0</v>
      </c>
      <c r="K176" s="10"/>
      <c r="L176" s="10"/>
      <c r="M176" s="38">
        <f>Standing!$K$38</f>
        <v>0</v>
      </c>
      <c r="N176" s="38">
        <f>Standing!$L$38</f>
        <v>0</v>
      </c>
      <c r="O176" s="38">
        <f>Standing!$M$38</f>
        <v>0</v>
      </c>
      <c r="P176" s="38">
        <f>Standing!$N$38</f>
        <v>0.1681411104884141</v>
      </c>
      <c r="Q176" s="38">
        <f>Standing!$O$38</f>
        <v>0.53031991830412584</v>
      </c>
      <c r="R176" s="38">
        <f>Standing!$P$38</f>
        <v>0</v>
      </c>
      <c r="S176" s="38">
        <f>Standing!$Q$38</f>
        <v>0.73741899935521737</v>
      </c>
      <c r="T176" s="38">
        <f>Standing!$R$38</f>
        <v>0</v>
      </c>
      <c r="U176" s="38">
        <f>Standing!$S$38</f>
        <v>0</v>
      </c>
      <c r="V176" s="10"/>
      <c r="W176" s="10"/>
      <c r="X176" s="17"/>
    </row>
    <row r="177" spans="1:24" x14ac:dyDescent="0.25">
      <c r="A177" s="4" t="s">
        <v>215</v>
      </c>
      <c r="B177" s="10"/>
      <c r="C177" s="10"/>
      <c r="D177" s="10"/>
      <c r="E177" s="10"/>
      <c r="F177" s="10"/>
      <c r="G177" s="10"/>
      <c r="H177" s="10"/>
      <c r="I177" s="10"/>
      <c r="J177" s="10"/>
      <c r="K177" s="10"/>
      <c r="L177" s="10"/>
      <c r="M177" s="10"/>
      <c r="N177" s="10"/>
      <c r="O177" s="10"/>
      <c r="P177" s="10"/>
      <c r="Q177" s="10"/>
      <c r="R177" s="10"/>
      <c r="S177" s="10"/>
      <c r="T177" s="10"/>
      <c r="U177" s="10"/>
      <c r="V177" s="10"/>
      <c r="W177" s="10"/>
      <c r="X177" s="17"/>
    </row>
    <row r="178" spans="1:24" x14ac:dyDescent="0.25">
      <c r="A178" s="4" t="s">
        <v>216</v>
      </c>
      <c r="B178" s="10"/>
      <c r="C178" s="10"/>
      <c r="D178" s="10"/>
      <c r="E178" s="10"/>
      <c r="F178" s="10"/>
      <c r="G178" s="10"/>
      <c r="H178" s="10"/>
      <c r="I178" s="10"/>
      <c r="J178" s="10"/>
      <c r="K178" s="10"/>
      <c r="L178" s="10"/>
      <c r="M178" s="10"/>
      <c r="N178" s="10"/>
      <c r="O178" s="10"/>
      <c r="P178" s="10"/>
      <c r="Q178" s="10"/>
      <c r="R178" s="10"/>
      <c r="S178" s="10"/>
      <c r="T178" s="10"/>
      <c r="U178" s="10"/>
      <c r="V178" s="10"/>
      <c r="W178" s="10"/>
      <c r="X178" s="17"/>
    </row>
    <row r="179" spans="1:24" x14ac:dyDescent="0.25">
      <c r="A179" s="4" t="s">
        <v>217</v>
      </c>
      <c r="B179" s="10"/>
      <c r="C179" s="10"/>
      <c r="D179" s="10"/>
      <c r="E179" s="10"/>
      <c r="F179" s="10"/>
      <c r="G179" s="10"/>
      <c r="H179" s="10"/>
      <c r="I179" s="10"/>
      <c r="J179" s="10"/>
      <c r="K179" s="10"/>
      <c r="L179" s="10"/>
      <c r="M179" s="10"/>
      <c r="N179" s="10"/>
      <c r="O179" s="10"/>
      <c r="P179" s="10"/>
      <c r="Q179" s="10"/>
      <c r="R179" s="10"/>
      <c r="S179" s="10"/>
      <c r="T179" s="10"/>
      <c r="U179" s="10"/>
      <c r="V179" s="10"/>
      <c r="W179" s="10"/>
      <c r="X179" s="17"/>
    </row>
    <row r="180" spans="1:24" x14ac:dyDescent="0.25">
      <c r="A180" s="4" t="s">
        <v>218</v>
      </c>
      <c r="B180" s="10"/>
      <c r="C180" s="10"/>
      <c r="D180" s="10"/>
      <c r="E180" s="10"/>
      <c r="F180" s="10"/>
      <c r="G180" s="10"/>
      <c r="H180" s="10"/>
      <c r="I180" s="10"/>
      <c r="J180" s="10"/>
      <c r="K180" s="10"/>
      <c r="L180" s="10"/>
      <c r="M180" s="10"/>
      <c r="N180" s="10"/>
      <c r="O180" s="10"/>
      <c r="P180" s="10"/>
      <c r="Q180" s="10"/>
      <c r="R180" s="10"/>
      <c r="S180" s="10"/>
      <c r="T180" s="10"/>
      <c r="U180" s="10"/>
      <c r="V180" s="10"/>
      <c r="W180" s="10"/>
      <c r="X180" s="17"/>
    </row>
    <row r="181" spans="1:24" x14ac:dyDescent="0.25">
      <c r="A181" s="4" t="s">
        <v>219</v>
      </c>
      <c r="B181" s="10"/>
      <c r="C181" s="10"/>
      <c r="D181" s="10"/>
      <c r="E181" s="10"/>
      <c r="F181" s="10"/>
      <c r="G181" s="10"/>
      <c r="H181" s="10"/>
      <c r="I181" s="10"/>
      <c r="J181" s="10"/>
      <c r="K181" s="10"/>
      <c r="L181" s="10"/>
      <c r="M181" s="10"/>
      <c r="N181" s="10"/>
      <c r="O181" s="10"/>
      <c r="P181" s="10"/>
      <c r="Q181" s="10"/>
      <c r="R181" s="10"/>
      <c r="S181" s="10"/>
      <c r="T181" s="10"/>
      <c r="U181" s="10"/>
      <c r="V181" s="10"/>
      <c r="W181" s="10"/>
      <c r="X181" s="17"/>
    </row>
    <row r="182" spans="1:24" x14ac:dyDescent="0.25">
      <c r="A182" s="4" t="s">
        <v>181</v>
      </c>
      <c r="B182" s="10"/>
      <c r="C182" s="10"/>
      <c r="D182" s="10"/>
      <c r="E182" s="10"/>
      <c r="F182" s="10"/>
      <c r="G182" s="10"/>
      <c r="H182" s="10"/>
      <c r="I182" s="10"/>
      <c r="J182" s="10"/>
      <c r="K182" s="10"/>
      <c r="L182" s="10"/>
      <c r="M182" s="10"/>
      <c r="N182" s="10"/>
      <c r="O182" s="10"/>
      <c r="P182" s="10"/>
      <c r="Q182" s="10"/>
      <c r="R182" s="10"/>
      <c r="S182" s="10"/>
      <c r="T182" s="10"/>
      <c r="U182" s="10"/>
      <c r="V182" s="10"/>
      <c r="W182" s="10"/>
      <c r="X182" s="17"/>
    </row>
    <row r="183" spans="1:24" x14ac:dyDescent="0.25">
      <c r="A183" s="4" t="s">
        <v>182</v>
      </c>
      <c r="B183" s="10"/>
      <c r="C183" s="10"/>
      <c r="D183" s="10"/>
      <c r="E183" s="10"/>
      <c r="F183" s="10"/>
      <c r="G183" s="10"/>
      <c r="H183" s="10"/>
      <c r="I183" s="10"/>
      <c r="J183" s="10"/>
      <c r="K183" s="10"/>
      <c r="L183" s="10"/>
      <c r="M183" s="10"/>
      <c r="N183" s="10"/>
      <c r="O183" s="10"/>
      <c r="P183" s="10"/>
      <c r="Q183" s="10"/>
      <c r="R183" s="10"/>
      <c r="S183" s="10"/>
      <c r="T183" s="10"/>
      <c r="U183" s="10"/>
      <c r="V183" s="10"/>
      <c r="W183" s="10"/>
      <c r="X183" s="17"/>
    </row>
    <row r="184" spans="1:24" x14ac:dyDescent="0.25">
      <c r="A184" s="4" t="s">
        <v>183</v>
      </c>
      <c r="B184" s="10"/>
      <c r="C184" s="10"/>
      <c r="D184" s="10"/>
      <c r="E184" s="10"/>
      <c r="F184" s="10"/>
      <c r="G184" s="10"/>
      <c r="H184" s="10"/>
      <c r="I184" s="10"/>
      <c r="J184" s="10"/>
      <c r="K184" s="10"/>
      <c r="L184" s="10"/>
      <c r="M184" s="10"/>
      <c r="N184" s="10"/>
      <c r="O184" s="10"/>
      <c r="P184" s="10"/>
      <c r="Q184" s="10"/>
      <c r="R184" s="10"/>
      <c r="S184" s="10"/>
      <c r="T184" s="10"/>
      <c r="U184" s="10"/>
      <c r="V184" s="10"/>
      <c r="W184" s="10"/>
      <c r="X184" s="17"/>
    </row>
    <row r="185" spans="1:24" x14ac:dyDescent="0.25">
      <c r="A185" s="4" t="s">
        <v>184</v>
      </c>
      <c r="B185" s="10"/>
      <c r="C185" s="10"/>
      <c r="D185" s="10"/>
      <c r="E185" s="10"/>
      <c r="F185" s="10"/>
      <c r="G185" s="10"/>
      <c r="H185" s="10"/>
      <c r="I185" s="10"/>
      <c r="J185" s="10"/>
      <c r="K185" s="10"/>
      <c r="L185" s="10"/>
      <c r="M185" s="10"/>
      <c r="N185" s="10"/>
      <c r="O185" s="10"/>
      <c r="P185" s="10"/>
      <c r="Q185" s="10"/>
      <c r="R185" s="10"/>
      <c r="S185" s="10"/>
      <c r="T185" s="10"/>
      <c r="U185" s="10"/>
      <c r="V185" s="10"/>
      <c r="W185" s="10"/>
      <c r="X185" s="17"/>
    </row>
    <row r="186" spans="1:24" x14ac:dyDescent="0.25">
      <c r="A186" s="4" t="s">
        <v>185</v>
      </c>
      <c r="B186" s="10"/>
      <c r="C186" s="10"/>
      <c r="D186" s="10"/>
      <c r="E186" s="10"/>
      <c r="F186" s="10"/>
      <c r="G186" s="10"/>
      <c r="H186" s="10"/>
      <c r="I186" s="10"/>
      <c r="J186" s="10"/>
      <c r="K186" s="10"/>
      <c r="L186" s="10"/>
      <c r="M186" s="10"/>
      <c r="N186" s="10"/>
      <c r="O186" s="10"/>
      <c r="P186" s="10"/>
      <c r="Q186" s="10"/>
      <c r="R186" s="10"/>
      <c r="S186" s="10"/>
      <c r="T186" s="10"/>
      <c r="U186" s="10"/>
      <c r="V186" s="10"/>
      <c r="W186" s="10"/>
      <c r="X186" s="17"/>
    </row>
    <row r="187" spans="1:24" x14ac:dyDescent="0.25">
      <c r="A187" s="4" t="s">
        <v>186</v>
      </c>
      <c r="B187" s="10"/>
      <c r="C187" s="10"/>
      <c r="D187" s="10"/>
      <c r="E187" s="10"/>
      <c r="F187" s="10"/>
      <c r="G187" s="10"/>
      <c r="H187" s="10"/>
      <c r="I187" s="10"/>
      <c r="J187" s="10"/>
      <c r="K187" s="10"/>
      <c r="L187" s="10"/>
      <c r="M187" s="10"/>
      <c r="N187" s="10"/>
      <c r="O187" s="10"/>
      <c r="P187" s="10"/>
      <c r="Q187" s="10"/>
      <c r="R187" s="10"/>
      <c r="S187" s="10"/>
      <c r="T187" s="10"/>
      <c r="U187" s="10"/>
      <c r="V187" s="10"/>
      <c r="W187" s="10"/>
      <c r="X187" s="17"/>
    </row>
    <row r="188" spans="1:24" x14ac:dyDescent="0.25">
      <c r="A188" s="4" t="s">
        <v>194</v>
      </c>
      <c r="B188" s="10"/>
      <c r="C188" s="10"/>
      <c r="D188" s="10"/>
      <c r="E188" s="10"/>
      <c r="F188" s="10"/>
      <c r="G188" s="10"/>
      <c r="H188" s="10"/>
      <c r="I188" s="10"/>
      <c r="J188" s="10"/>
      <c r="K188" s="10"/>
      <c r="L188" s="10"/>
      <c r="M188" s="10"/>
      <c r="N188" s="10"/>
      <c r="O188" s="10"/>
      <c r="P188" s="10"/>
      <c r="Q188" s="10"/>
      <c r="R188" s="10"/>
      <c r="S188" s="10"/>
      <c r="T188" s="10"/>
      <c r="U188" s="10"/>
      <c r="V188" s="10"/>
      <c r="W188" s="10"/>
      <c r="X188" s="17"/>
    </row>
    <row r="189" spans="1:24" x14ac:dyDescent="0.25">
      <c r="A189" s="4" t="s">
        <v>195</v>
      </c>
      <c r="B189" s="10"/>
      <c r="C189" s="10"/>
      <c r="D189" s="10"/>
      <c r="E189" s="10"/>
      <c r="F189" s="10"/>
      <c r="G189" s="10"/>
      <c r="H189" s="10"/>
      <c r="I189" s="10"/>
      <c r="J189" s="10"/>
      <c r="K189" s="10"/>
      <c r="L189" s="10"/>
      <c r="M189" s="10"/>
      <c r="N189" s="10"/>
      <c r="O189" s="10"/>
      <c r="P189" s="10"/>
      <c r="Q189" s="10"/>
      <c r="R189" s="10"/>
      <c r="S189" s="10"/>
      <c r="T189" s="10"/>
      <c r="U189" s="10"/>
      <c r="V189" s="10"/>
      <c r="W189" s="10"/>
      <c r="X189" s="17"/>
    </row>
    <row r="191" spans="1:24" ht="21" customHeight="1" x14ac:dyDescent="0.3">
      <c r="A191" s="1" t="s">
        <v>1083</v>
      </c>
    </row>
    <row r="192" spans="1:24" x14ac:dyDescent="0.25">
      <c r="A192" s="2" t="s">
        <v>350</v>
      </c>
    </row>
    <row r="193" spans="1:24" x14ac:dyDescent="0.25">
      <c r="A193" s="32" t="s">
        <v>1084</v>
      </c>
    </row>
    <row r="194" spans="1:24" x14ac:dyDescent="0.25">
      <c r="A194" s="32" t="s">
        <v>1085</v>
      </c>
    </row>
    <row r="195" spans="1:24" x14ac:dyDescent="0.25">
      <c r="A195" s="2" t="s">
        <v>368</v>
      </c>
    </row>
    <row r="197" spans="1:24" ht="30" x14ac:dyDescent="0.25">
      <c r="B197" s="15" t="s">
        <v>139</v>
      </c>
      <c r="C197" s="15" t="s">
        <v>313</v>
      </c>
      <c r="D197" s="15" t="s">
        <v>314</v>
      </c>
      <c r="E197" s="15" t="s">
        <v>315</v>
      </c>
      <c r="F197" s="15" t="s">
        <v>316</v>
      </c>
      <c r="G197" s="15" t="s">
        <v>317</v>
      </c>
      <c r="H197" s="15" t="s">
        <v>318</v>
      </c>
      <c r="I197" s="15" t="s">
        <v>319</v>
      </c>
      <c r="J197" s="15" t="s">
        <v>320</v>
      </c>
      <c r="K197" s="15" t="s">
        <v>462</v>
      </c>
      <c r="L197" s="15" t="s">
        <v>474</v>
      </c>
      <c r="M197" s="15" t="s">
        <v>301</v>
      </c>
      <c r="N197" s="15" t="s">
        <v>876</v>
      </c>
      <c r="O197" s="15" t="s">
        <v>877</v>
      </c>
      <c r="P197" s="15" t="s">
        <v>878</v>
      </c>
      <c r="Q197" s="15" t="s">
        <v>879</v>
      </c>
      <c r="R197" s="15" t="s">
        <v>880</v>
      </c>
      <c r="S197" s="15" t="s">
        <v>881</v>
      </c>
      <c r="T197" s="15" t="s">
        <v>882</v>
      </c>
      <c r="U197" s="15" t="s">
        <v>883</v>
      </c>
      <c r="V197" s="15" t="s">
        <v>884</v>
      </c>
      <c r="W197" s="15" t="s">
        <v>885</v>
      </c>
    </row>
    <row r="198" spans="1:24" x14ac:dyDescent="0.25">
      <c r="A198" s="4" t="s">
        <v>171</v>
      </c>
      <c r="B198" s="10"/>
      <c r="C198" s="10"/>
      <c r="D198" s="10"/>
      <c r="E198" s="10"/>
      <c r="F198" s="10"/>
      <c r="G198" s="10"/>
      <c r="H198" s="10"/>
      <c r="I198" s="10"/>
      <c r="J198" s="10"/>
      <c r="K198" s="10"/>
      <c r="L198" s="10"/>
      <c r="M198" s="10"/>
      <c r="N198" s="10"/>
      <c r="O198" s="10"/>
      <c r="P198" s="10"/>
      <c r="Q198" s="10"/>
      <c r="R198" s="10"/>
      <c r="S198" s="10"/>
      <c r="T198" s="10"/>
      <c r="U198" s="10"/>
      <c r="V198" s="10"/>
      <c r="W198" s="10"/>
      <c r="X198" s="17"/>
    </row>
    <row r="199" spans="1:24" x14ac:dyDescent="0.25">
      <c r="A199" s="4" t="s">
        <v>172</v>
      </c>
      <c r="B199" s="10"/>
      <c r="C199" s="10"/>
      <c r="D199" s="10"/>
      <c r="E199" s="10"/>
      <c r="F199" s="10"/>
      <c r="G199" s="10"/>
      <c r="H199" s="10"/>
      <c r="I199" s="10"/>
      <c r="J199" s="10"/>
      <c r="K199" s="10"/>
      <c r="L199" s="10"/>
      <c r="M199" s="10"/>
      <c r="N199" s="10"/>
      <c r="O199" s="10"/>
      <c r="P199" s="10"/>
      <c r="Q199" s="10"/>
      <c r="R199" s="10"/>
      <c r="S199" s="10"/>
      <c r="T199" s="10"/>
      <c r="U199" s="10"/>
      <c r="V199" s="10"/>
      <c r="W199" s="10"/>
      <c r="X199" s="17"/>
    </row>
    <row r="200" spans="1:24" x14ac:dyDescent="0.25">
      <c r="A200" s="4" t="s">
        <v>213</v>
      </c>
      <c r="B200" s="10"/>
      <c r="C200" s="10"/>
      <c r="D200" s="10"/>
      <c r="E200" s="10"/>
      <c r="F200" s="10"/>
      <c r="G200" s="10"/>
      <c r="H200" s="10"/>
      <c r="I200" s="10"/>
      <c r="J200" s="10"/>
      <c r="K200" s="10"/>
      <c r="L200" s="10"/>
      <c r="M200" s="10"/>
      <c r="N200" s="10"/>
      <c r="O200" s="10"/>
      <c r="P200" s="10"/>
      <c r="Q200" s="10"/>
      <c r="R200" s="10"/>
      <c r="S200" s="10"/>
      <c r="T200" s="10"/>
      <c r="U200" s="10"/>
      <c r="V200" s="10"/>
      <c r="W200" s="10"/>
      <c r="X200" s="17"/>
    </row>
    <row r="201" spans="1:24" x14ac:dyDescent="0.25">
      <c r="A201" s="4" t="s">
        <v>173</v>
      </c>
      <c r="B201" s="10"/>
      <c r="C201" s="10"/>
      <c r="D201" s="10"/>
      <c r="E201" s="10"/>
      <c r="F201" s="10"/>
      <c r="G201" s="10"/>
      <c r="H201" s="10"/>
      <c r="I201" s="10"/>
      <c r="J201" s="10"/>
      <c r="K201" s="10"/>
      <c r="L201" s="10"/>
      <c r="M201" s="10"/>
      <c r="N201" s="10"/>
      <c r="O201" s="10"/>
      <c r="P201" s="10"/>
      <c r="Q201" s="10"/>
      <c r="R201" s="10"/>
      <c r="S201" s="10"/>
      <c r="T201" s="10"/>
      <c r="U201" s="10"/>
      <c r="V201" s="10"/>
      <c r="W201" s="10"/>
      <c r="X201" s="17"/>
    </row>
    <row r="202" spans="1:24" x14ac:dyDescent="0.25">
      <c r="A202" s="4" t="s">
        <v>174</v>
      </c>
      <c r="B202" s="10"/>
      <c r="C202" s="10"/>
      <c r="D202" s="10"/>
      <c r="E202" s="10"/>
      <c r="F202" s="10"/>
      <c r="G202" s="10"/>
      <c r="H202" s="10"/>
      <c r="I202" s="10"/>
      <c r="J202" s="10"/>
      <c r="K202" s="10"/>
      <c r="L202" s="10"/>
      <c r="M202" s="10"/>
      <c r="N202" s="10"/>
      <c r="O202" s="10"/>
      <c r="P202" s="10"/>
      <c r="Q202" s="10"/>
      <c r="R202" s="10"/>
      <c r="S202" s="10"/>
      <c r="T202" s="10"/>
      <c r="U202" s="10"/>
      <c r="V202" s="10"/>
      <c r="W202" s="10"/>
      <c r="X202" s="17"/>
    </row>
    <row r="203" spans="1:24" x14ac:dyDescent="0.25">
      <c r="A203" s="4" t="s">
        <v>214</v>
      </c>
      <c r="B203" s="10"/>
      <c r="C203" s="10"/>
      <c r="D203" s="10"/>
      <c r="E203" s="10"/>
      <c r="F203" s="10"/>
      <c r="G203" s="10"/>
      <c r="H203" s="10"/>
      <c r="I203" s="10"/>
      <c r="J203" s="10"/>
      <c r="K203" s="10"/>
      <c r="L203" s="10"/>
      <c r="M203" s="10"/>
      <c r="N203" s="10"/>
      <c r="O203" s="10"/>
      <c r="P203" s="10"/>
      <c r="Q203" s="10"/>
      <c r="R203" s="10"/>
      <c r="S203" s="10"/>
      <c r="T203" s="10"/>
      <c r="U203" s="10"/>
      <c r="V203" s="10"/>
      <c r="W203" s="10"/>
      <c r="X203" s="17"/>
    </row>
    <row r="204" spans="1:24" x14ac:dyDescent="0.25">
      <c r="A204" s="4" t="s">
        <v>175</v>
      </c>
      <c r="B204" s="10"/>
      <c r="C204" s="10"/>
      <c r="D204" s="10"/>
      <c r="E204" s="10"/>
      <c r="F204" s="10"/>
      <c r="G204" s="10"/>
      <c r="H204" s="10"/>
      <c r="I204" s="10"/>
      <c r="J204" s="10"/>
      <c r="K204" s="10"/>
      <c r="L204" s="10"/>
      <c r="M204" s="10"/>
      <c r="N204" s="10"/>
      <c r="O204" s="10"/>
      <c r="P204" s="10"/>
      <c r="Q204" s="10"/>
      <c r="R204" s="10"/>
      <c r="S204" s="10"/>
      <c r="T204" s="10"/>
      <c r="U204" s="10"/>
      <c r="V204" s="10"/>
      <c r="W204" s="10"/>
      <c r="X204" s="17"/>
    </row>
    <row r="205" spans="1:24" x14ac:dyDescent="0.25">
      <c r="A205" s="4" t="s">
        <v>176</v>
      </c>
      <c r="B205" s="10"/>
      <c r="C205" s="10"/>
      <c r="D205" s="10"/>
      <c r="E205" s="10"/>
      <c r="F205" s="10"/>
      <c r="G205" s="10"/>
      <c r="H205" s="10"/>
      <c r="I205" s="10"/>
      <c r="J205" s="10"/>
      <c r="K205" s="10"/>
      <c r="L205" s="10"/>
      <c r="M205" s="10"/>
      <c r="N205" s="10"/>
      <c r="O205" s="10"/>
      <c r="P205" s="10"/>
      <c r="Q205" s="10"/>
      <c r="R205" s="10"/>
      <c r="S205" s="10"/>
      <c r="T205" s="10"/>
      <c r="U205" s="10"/>
      <c r="V205" s="10"/>
      <c r="W205" s="10"/>
      <c r="X205" s="17"/>
    </row>
    <row r="206" spans="1:24" x14ac:dyDescent="0.25">
      <c r="A206" s="4" t="s">
        <v>192</v>
      </c>
      <c r="B206" s="10"/>
      <c r="C206" s="10"/>
      <c r="D206" s="10"/>
      <c r="E206" s="10"/>
      <c r="F206" s="10"/>
      <c r="G206" s="10"/>
      <c r="H206" s="10"/>
      <c r="I206" s="10"/>
      <c r="J206" s="10"/>
      <c r="K206" s="10"/>
      <c r="L206" s="10"/>
      <c r="M206" s="10"/>
      <c r="N206" s="10"/>
      <c r="O206" s="10"/>
      <c r="P206" s="10"/>
      <c r="Q206" s="10"/>
      <c r="R206" s="10"/>
      <c r="S206" s="10"/>
      <c r="T206" s="10"/>
      <c r="U206" s="10"/>
      <c r="V206" s="10"/>
      <c r="W206" s="10"/>
      <c r="X206" s="17"/>
    </row>
    <row r="207" spans="1:24" x14ac:dyDescent="0.25">
      <c r="A207" s="4" t="s">
        <v>177</v>
      </c>
      <c r="B207" s="10"/>
      <c r="C207" s="10"/>
      <c r="D207" s="10"/>
      <c r="E207" s="10"/>
      <c r="F207" s="10"/>
      <c r="G207" s="10"/>
      <c r="H207" s="10"/>
      <c r="I207" s="10"/>
      <c r="J207" s="10"/>
      <c r="K207" s="10"/>
      <c r="L207" s="10"/>
      <c r="M207" s="10"/>
      <c r="N207" s="10"/>
      <c r="O207" s="10"/>
      <c r="P207" s="10"/>
      <c r="Q207" s="10"/>
      <c r="R207" s="10"/>
      <c r="S207" s="10"/>
      <c r="T207" s="10"/>
      <c r="U207" s="10"/>
      <c r="V207" s="10"/>
      <c r="W207" s="10"/>
      <c r="X207" s="17"/>
    </row>
    <row r="208" spans="1:24" x14ac:dyDescent="0.25">
      <c r="A208" s="4" t="s">
        <v>178</v>
      </c>
      <c r="B208" s="10"/>
      <c r="C208" s="10"/>
      <c r="D208" s="10"/>
      <c r="E208" s="10"/>
      <c r="F208" s="10"/>
      <c r="G208" s="10"/>
      <c r="H208" s="10"/>
      <c r="I208" s="10"/>
      <c r="J208" s="10"/>
      <c r="K208" s="10"/>
      <c r="L208" s="10"/>
      <c r="M208" s="10"/>
      <c r="N208" s="10"/>
      <c r="O208" s="10"/>
      <c r="P208" s="10"/>
      <c r="Q208" s="10"/>
      <c r="R208" s="10"/>
      <c r="S208" s="10"/>
      <c r="T208" s="10"/>
      <c r="U208" s="10"/>
      <c r="V208" s="10"/>
      <c r="W208" s="10"/>
      <c r="X208" s="17"/>
    </row>
    <row r="209" spans="1:24" x14ac:dyDescent="0.25">
      <c r="A209" s="4" t="s">
        <v>179</v>
      </c>
      <c r="B209" s="38">
        <f>Reactive!$B$33</f>
        <v>0</v>
      </c>
      <c r="C209" s="38">
        <f>Reactive!$C$33</f>
        <v>3.3843257185408246E-2</v>
      </c>
      <c r="D209" s="38">
        <f>Reactive!$D$33</f>
        <v>1.457458679431268E-2</v>
      </c>
      <c r="E209" s="38">
        <f>Reactive!$E$33</f>
        <v>3.6801817022761175E-2</v>
      </c>
      <c r="F209" s="38">
        <f>Reactive!$F$33</f>
        <v>2.3737899011359566E-2</v>
      </c>
      <c r="G209" s="38">
        <f>Reactive!$G$33</f>
        <v>0</v>
      </c>
      <c r="H209" s="38">
        <f>Reactive!$H$33</f>
        <v>2.4133590234233691E-2</v>
      </c>
      <c r="I209" s="38">
        <f>Reactive!$I$33</f>
        <v>0</v>
      </c>
      <c r="J209" s="38">
        <f>Reactive!$J$33</f>
        <v>0</v>
      </c>
      <c r="K209" s="10"/>
      <c r="L209" s="10"/>
      <c r="M209" s="38">
        <f>Reactive!$K$33</f>
        <v>1.6219918557324877E-2</v>
      </c>
      <c r="N209" s="38">
        <f>Reactive!$L$33</f>
        <v>1.2338377246621172E-2</v>
      </c>
      <c r="O209" s="38">
        <f>Reactive!$M$33</f>
        <v>5.3135178182372629E-3</v>
      </c>
      <c r="P209" s="38">
        <f>Reactive!$N$33</f>
        <v>1.341699173044519E-2</v>
      </c>
      <c r="Q209" s="38">
        <f>Reactive!$O$33</f>
        <v>8.6542247231046789E-3</v>
      </c>
      <c r="R209" s="38">
        <f>Reactive!$P$33</f>
        <v>0</v>
      </c>
      <c r="S209" s="38">
        <f>Reactive!$Q$33</f>
        <v>1.2569262172121339E-2</v>
      </c>
      <c r="T209" s="38">
        <f>Reactive!$R$33</f>
        <v>0</v>
      </c>
      <c r="U209" s="38">
        <f>Reactive!$S$33</f>
        <v>0</v>
      </c>
      <c r="V209" s="10"/>
      <c r="W209" s="10"/>
      <c r="X209" s="17"/>
    </row>
    <row r="210" spans="1:24" x14ac:dyDescent="0.25">
      <c r="A210" s="4" t="s">
        <v>180</v>
      </c>
      <c r="B210" s="38">
        <f>Reactive!$B$34</f>
        <v>0</v>
      </c>
      <c r="C210" s="38">
        <f>Reactive!$C$34</f>
        <v>3.0906597744702797E-2</v>
      </c>
      <c r="D210" s="38">
        <f>Reactive!$D$34</f>
        <v>1.3309915439855907E-2</v>
      </c>
      <c r="E210" s="38">
        <f>Reactive!$E$34</f>
        <v>3.3608436350123005E-2</v>
      </c>
      <c r="F210" s="38">
        <f>Reactive!$F$34</f>
        <v>2.1678105391250289E-2</v>
      </c>
      <c r="G210" s="38">
        <f>Reactive!$G$34</f>
        <v>0</v>
      </c>
      <c r="H210" s="38">
        <f>Reactive!$H$34</f>
        <v>0</v>
      </c>
      <c r="I210" s="38">
        <f>Reactive!$I$34</f>
        <v>0</v>
      </c>
      <c r="J210" s="38">
        <f>Reactive!$J$34</f>
        <v>0</v>
      </c>
      <c r="K210" s="10"/>
      <c r="L210" s="10"/>
      <c r="M210" s="38">
        <f>Reactive!$K$34</f>
        <v>1.4812477875776688E-2</v>
      </c>
      <c r="N210" s="38">
        <f>Reactive!$L$34</f>
        <v>1.1267747081629321E-2</v>
      </c>
      <c r="O210" s="38">
        <f>Reactive!$M$34</f>
        <v>4.8524513145376492E-3</v>
      </c>
      <c r="P210" s="38">
        <f>Reactive!$N$34</f>
        <v>1.225276763655192E-2</v>
      </c>
      <c r="Q210" s="38">
        <f>Reactive!$O$34</f>
        <v>7.9032771829237822E-3</v>
      </c>
      <c r="R210" s="38">
        <f>Reactive!$P$34</f>
        <v>0</v>
      </c>
      <c r="S210" s="38">
        <f>Reactive!$Q$34</f>
        <v>0</v>
      </c>
      <c r="T210" s="38">
        <f>Reactive!$R$34</f>
        <v>0</v>
      </c>
      <c r="U210" s="38">
        <f>Reactive!$S$34</f>
        <v>0</v>
      </c>
      <c r="V210" s="10"/>
      <c r="W210" s="10"/>
      <c r="X210" s="17"/>
    </row>
    <row r="211" spans="1:24" x14ac:dyDescent="0.25">
      <c r="A211" s="4" t="s">
        <v>193</v>
      </c>
      <c r="B211" s="38">
        <f>Reactive!$B$35</f>
        <v>0</v>
      </c>
      <c r="C211" s="38">
        <f>Reactive!$C$35</f>
        <v>2.612345176110252E-2</v>
      </c>
      <c r="D211" s="38">
        <f>Reactive!$D$35</f>
        <v>1.125005530565147E-2</v>
      </c>
      <c r="E211" s="38">
        <f>Reactive!$E$35</f>
        <v>2.2725720197629997E-2</v>
      </c>
      <c r="F211" s="38">
        <f>Reactive!$F$35</f>
        <v>0</v>
      </c>
      <c r="G211" s="38">
        <f>Reactive!$G$35</f>
        <v>0</v>
      </c>
      <c r="H211" s="38">
        <f>Reactive!$H$35</f>
        <v>0</v>
      </c>
      <c r="I211" s="38">
        <f>Reactive!$I$35</f>
        <v>0</v>
      </c>
      <c r="J211" s="38">
        <f>Reactive!$J$35</f>
        <v>0</v>
      </c>
      <c r="K211" s="10"/>
      <c r="L211" s="10"/>
      <c r="M211" s="38">
        <f>Reactive!$K$35</f>
        <v>1.2520079189776623E-2</v>
      </c>
      <c r="N211" s="38">
        <f>Reactive!$L$35</f>
        <v>9.5239356261301034E-3</v>
      </c>
      <c r="O211" s="38">
        <f>Reactive!$M$35</f>
        <v>4.1014795250360146E-3</v>
      </c>
      <c r="P211" s="38">
        <f>Reactive!$N$35</f>
        <v>8.2852104767390071E-3</v>
      </c>
      <c r="Q211" s="38">
        <f>Reactive!$O$35</f>
        <v>0</v>
      </c>
      <c r="R211" s="38">
        <f>Reactive!$P$35</f>
        <v>0</v>
      </c>
      <c r="S211" s="38">
        <f>Reactive!$Q$35</f>
        <v>0</v>
      </c>
      <c r="T211" s="38">
        <f>Reactive!$R$35</f>
        <v>0</v>
      </c>
      <c r="U211" s="38">
        <f>Reactive!$S$35</f>
        <v>0</v>
      </c>
      <c r="V211" s="10"/>
      <c r="W211" s="10"/>
      <c r="X211" s="17"/>
    </row>
    <row r="212" spans="1:24" x14ac:dyDescent="0.25">
      <c r="A212" s="4" t="s">
        <v>215</v>
      </c>
      <c r="B212" s="10"/>
      <c r="C212" s="10"/>
      <c r="D212" s="10"/>
      <c r="E212" s="10"/>
      <c r="F212" s="10"/>
      <c r="G212" s="10"/>
      <c r="H212" s="10"/>
      <c r="I212" s="10"/>
      <c r="J212" s="10"/>
      <c r="K212" s="10"/>
      <c r="L212" s="10"/>
      <c r="M212" s="10"/>
      <c r="N212" s="10"/>
      <c r="O212" s="10"/>
      <c r="P212" s="10"/>
      <c r="Q212" s="10"/>
      <c r="R212" s="10"/>
      <c r="S212" s="10"/>
      <c r="T212" s="10"/>
      <c r="U212" s="10"/>
      <c r="V212" s="10"/>
      <c r="W212" s="10"/>
      <c r="X212" s="17"/>
    </row>
    <row r="213" spans="1:24" x14ac:dyDescent="0.25">
      <c r="A213" s="4" t="s">
        <v>216</v>
      </c>
      <c r="B213" s="10"/>
      <c r="C213" s="10"/>
      <c r="D213" s="10"/>
      <c r="E213" s="10"/>
      <c r="F213" s="10"/>
      <c r="G213" s="10"/>
      <c r="H213" s="10"/>
      <c r="I213" s="10"/>
      <c r="J213" s="10"/>
      <c r="K213" s="10"/>
      <c r="L213" s="10"/>
      <c r="M213" s="10"/>
      <c r="N213" s="10"/>
      <c r="O213" s="10"/>
      <c r="P213" s="10"/>
      <c r="Q213" s="10"/>
      <c r="R213" s="10"/>
      <c r="S213" s="10"/>
      <c r="T213" s="10"/>
      <c r="U213" s="10"/>
      <c r="V213" s="10"/>
      <c r="W213" s="10"/>
      <c r="X213" s="17"/>
    </row>
    <row r="214" spans="1:24" x14ac:dyDescent="0.25">
      <c r="A214" s="4" t="s">
        <v>217</v>
      </c>
      <c r="B214" s="10"/>
      <c r="C214" s="10"/>
      <c r="D214" s="10"/>
      <c r="E214" s="10"/>
      <c r="F214" s="10"/>
      <c r="G214" s="10"/>
      <c r="H214" s="10"/>
      <c r="I214" s="10"/>
      <c r="J214" s="10"/>
      <c r="K214" s="10"/>
      <c r="L214" s="10"/>
      <c r="M214" s="10"/>
      <c r="N214" s="10"/>
      <c r="O214" s="10"/>
      <c r="P214" s="10"/>
      <c r="Q214" s="10"/>
      <c r="R214" s="10"/>
      <c r="S214" s="10"/>
      <c r="T214" s="10"/>
      <c r="U214" s="10"/>
      <c r="V214" s="10"/>
      <c r="W214" s="10"/>
      <c r="X214" s="17"/>
    </row>
    <row r="215" spans="1:24" x14ac:dyDescent="0.25">
      <c r="A215" s="4" t="s">
        <v>218</v>
      </c>
      <c r="B215" s="10"/>
      <c r="C215" s="10"/>
      <c r="D215" s="10"/>
      <c r="E215" s="10"/>
      <c r="F215" s="10"/>
      <c r="G215" s="10"/>
      <c r="H215" s="10"/>
      <c r="I215" s="10"/>
      <c r="J215" s="10"/>
      <c r="K215" s="10"/>
      <c r="L215" s="10"/>
      <c r="M215" s="10"/>
      <c r="N215" s="10"/>
      <c r="O215" s="10"/>
      <c r="P215" s="10"/>
      <c r="Q215" s="10"/>
      <c r="R215" s="10"/>
      <c r="S215" s="10"/>
      <c r="T215" s="10"/>
      <c r="U215" s="10"/>
      <c r="V215" s="10"/>
      <c r="W215" s="10"/>
      <c r="X215" s="17"/>
    </row>
    <row r="216" spans="1:24" x14ac:dyDescent="0.25">
      <c r="A216" s="4" t="s">
        <v>219</v>
      </c>
      <c r="B216" s="10"/>
      <c r="C216" s="10"/>
      <c r="D216" s="10"/>
      <c r="E216" s="10"/>
      <c r="F216" s="10"/>
      <c r="G216" s="10"/>
      <c r="H216" s="10"/>
      <c r="I216" s="10"/>
      <c r="J216" s="10"/>
      <c r="K216" s="10"/>
      <c r="L216" s="10"/>
      <c r="M216" s="10"/>
      <c r="N216" s="10"/>
      <c r="O216" s="10"/>
      <c r="P216" s="10"/>
      <c r="Q216" s="10"/>
      <c r="R216" s="10"/>
      <c r="S216" s="10"/>
      <c r="T216" s="10"/>
      <c r="U216" s="10"/>
      <c r="V216" s="10"/>
      <c r="W216" s="10"/>
      <c r="X216" s="17"/>
    </row>
    <row r="217" spans="1:24" x14ac:dyDescent="0.25">
      <c r="A217" s="4" t="s">
        <v>181</v>
      </c>
      <c r="B217" s="10"/>
      <c r="C217" s="10"/>
      <c r="D217" s="10"/>
      <c r="E217" s="10"/>
      <c r="F217" s="10"/>
      <c r="G217" s="10"/>
      <c r="H217" s="10"/>
      <c r="I217" s="10"/>
      <c r="J217" s="10"/>
      <c r="K217" s="10"/>
      <c r="L217" s="10"/>
      <c r="M217" s="10"/>
      <c r="N217" s="10"/>
      <c r="O217" s="10"/>
      <c r="P217" s="10"/>
      <c r="Q217" s="10"/>
      <c r="R217" s="10"/>
      <c r="S217" s="10"/>
      <c r="T217" s="10"/>
      <c r="U217" s="10"/>
      <c r="V217" s="10"/>
      <c r="W217" s="10"/>
      <c r="X217" s="17"/>
    </row>
    <row r="218" spans="1:24" x14ac:dyDescent="0.25">
      <c r="A218" s="4" t="s">
        <v>182</v>
      </c>
      <c r="B218" s="10"/>
      <c r="C218" s="10"/>
      <c r="D218" s="10"/>
      <c r="E218" s="10"/>
      <c r="F218" s="10"/>
      <c r="G218" s="10"/>
      <c r="H218" s="10"/>
      <c r="I218" s="10"/>
      <c r="J218" s="10"/>
      <c r="K218" s="10"/>
      <c r="L218" s="10"/>
      <c r="M218" s="10"/>
      <c r="N218" s="10"/>
      <c r="O218" s="10"/>
      <c r="P218" s="10"/>
      <c r="Q218" s="10"/>
      <c r="R218" s="10"/>
      <c r="S218" s="10"/>
      <c r="T218" s="10"/>
      <c r="U218" s="10"/>
      <c r="V218" s="10"/>
      <c r="W218" s="10"/>
      <c r="X218" s="17"/>
    </row>
    <row r="219" spans="1:24" x14ac:dyDescent="0.25">
      <c r="A219" s="4" t="s">
        <v>183</v>
      </c>
      <c r="B219" s="38">
        <f>Reactive!$B$77</f>
        <v>0</v>
      </c>
      <c r="C219" s="38">
        <f>Reactive!$C$77</f>
        <v>2.3064959008224972E-2</v>
      </c>
      <c r="D219" s="38">
        <f>Reactive!$D$77</f>
        <v>9.9329164781922288E-3</v>
      </c>
      <c r="E219" s="38">
        <f>Reactive!$E$77</f>
        <v>2.5081285657816726E-2</v>
      </c>
      <c r="F219" s="38">
        <f>Reactive!$F$77</f>
        <v>1.6177924738120564E-2</v>
      </c>
      <c r="G219" s="38">
        <f>Reactive!$G$77</f>
        <v>0</v>
      </c>
      <c r="H219" s="38">
        <f>Reactive!$H$77</f>
        <v>2.0559496771556978E-2</v>
      </c>
      <c r="I219" s="38">
        <f>Reactive!$I$77</f>
        <v>1.8666386578656591E-2</v>
      </c>
      <c r="J219" s="38">
        <f>Reactive!$J$77</f>
        <v>4.4348271277989449E-4</v>
      </c>
      <c r="K219" s="10"/>
      <c r="L219" s="10"/>
      <c r="M219" s="38">
        <f>Reactive!$K$77</f>
        <v>1.1054247958223911E-2</v>
      </c>
      <c r="N219" s="38">
        <f>Reactive!$L$77</f>
        <v>8.408888183021386E-3</v>
      </c>
      <c r="O219" s="38">
        <f>Reactive!$M$77</f>
        <v>3.6212847361499355E-3</v>
      </c>
      <c r="P219" s="38">
        <f>Reactive!$N$77</f>
        <v>9.1439887886984646E-3</v>
      </c>
      <c r="Q219" s="38">
        <f>Reactive!$O$77</f>
        <v>5.8980534111367838E-3</v>
      </c>
      <c r="R219" s="38">
        <f>Reactive!$P$77</f>
        <v>0</v>
      </c>
      <c r="S219" s="38">
        <f>Reactive!$Q$77</f>
        <v>1.0707801969804488E-2</v>
      </c>
      <c r="T219" s="38">
        <f>Reactive!$R$77</f>
        <v>9.7218318715168919E-3</v>
      </c>
      <c r="U219" s="38">
        <f>Reactive!$S$77</f>
        <v>5.38941133104303E-3</v>
      </c>
      <c r="V219" s="10"/>
      <c r="W219" s="10"/>
      <c r="X219" s="17"/>
    </row>
    <row r="220" spans="1:24" x14ac:dyDescent="0.25">
      <c r="A220" s="4" t="s">
        <v>184</v>
      </c>
      <c r="B220" s="38">
        <f>Reactive!$B$78</f>
        <v>0</v>
      </c>
      <c r="C220" s="38">
        <f>Reactive!$C$78</f>
        <v>2.3064959008224972E-2</v>
      </c>
      <c r="D220" s="38">
        <f>Reactive!$D$78</f>
        <v>9.9329164781922288E-3</v>
      </c>
      <c r="E220" s="38">
        <f>Reactive!$E$78</f>
        <v>2.5081285657816726E-2</v>
      </c>
      <c r="F220" s="38">
        <f>Reactive!$F$78</f>
        <v>1.6177924738120564E-2</v>
      </c>
      <c r="G220" s="38">
        <f>Reactive!$G$78</f>
        <v>0</v>
      </c>
      <c r="H220" s="38">
        <f>Reactive!$H$78</f>
        <v>2.0559496771556978E-2</v>
      </c>
      <c r="I220" s="38">
        <f>Reactive!$I$78</f>
        <v>1.8666386578656591E-2</v>
      </c>
      <c r="J220" s="38">
        <f>Reactive!$J$78</f>
        <v>4.4348271277989449E-4</v>
      </c>
      <c r="K220" s="10"/>
      <c r="L220" s="10"/>
      <c r="M220" s="38">
        <f>Reactive!$K$78</f>
        <v>1.1054247958223911E-2</v>
      </c>
      <c r="N220" s="38">
        <f>Reactive!$L$78</f>
        <v>8.408888183021386E-3</v>
      </c>
      <c r="O220" s="38">
        <f>Reactive!$M$78</f>
        <v>3.6212847361499355E-3</v>
      </c>
      <c r="P220" s="38">
        <f>Reactive!$N$78</f>
        <v>9.1439887886984646E-3</v>
      </c>
      <c r="Q220" s="38">
        <f>Reactive!$O$78</f>
        <v>5.8980534111367838E-3</v>
      </c>
      <c r="R220" s="38">
        <f>Reactive!$P$78</f>
        <v>0</v>
      </c>
      <c r="S220" s="38">
        <f>Reactive!$Q$78</f>
        <v>1.0707801969804488E-2</v>
      </c>
      <c r="T220" s="38">
        <f>Reactive!$R$78</f>
        <v>9.7218318715168919E-3</v>
      </c>
      <c r="U220" s="38">
        <f>Reactive!$S$78</f>
        <v>5.38941133104303E-3</v>
      </c>
      <c r="V220" s="10"/>
      <c r="W220" s="10"/>
      <c r="X220" s="17"/>
    </row>
    <row r="221" spans="1:24" x14ac:dyDescent="0.25">
      <c r="A221" s="4" t="s">
        <v>185</v>
      </c>
      <c r="B221" s="38">
        <f>Reactive!$B$79</f>
        <v>0</v>
      </c>
      <c r="C221" s="38">
        <f>Reactive!$C$79</f>
        <v>2.1971506264677143E-2</v>
      </c>
      <c r="D221" s="38">
        <f>Reactive!$D$79</f>
        <v>9.462021439070864E-3</v>
      </c>
      <c r="E221" s="38">
        <f>Reactive!$E$79</f>
        <v>2.3892243847490217E-2</v>
      </c>
      <c r="F221" s="38">
        <f>Reactive!$F$79</f>
        <v>1.5410969280558294E-2</v>
      </c>
      <c r="G221" s="38">
        <f>Reactive!$G$79</f>
        <v>0</v>
      </c>
      <c r="H221" s="38">
        <f>Reactive!$H$79</f>
        <v>1.958482180496349E-2</v>
      </c>
      <c r="I221" s="38">
        <f>Reactive!$I$79</f>
        <v>7.6206254104007568E-4</v>
      </c>
      <c r="J221" s="38">
        <f>Reactive!$J$79</f>
        <v>0</v>
      </c>
      <c r="K221" s="10"/>
      <c r="L221" s="10"/>
      <c r="M221" s="38">
        <f>Reactive!$K$79</f>
        <v>1.0530193362962431E-2</v>
      </c>
      <c r="N221" s="38">
        <f>Reactive!$L$79</f>
        <v>8.0102435615142433E-3</v>
      </c>
      <c r="O221" s="38">
        <f>Reactive!$M$79</f>
        <v>3.4496085702179252E-3</v>
      </c>
      <c r="P221" s="38">
        <f>Reactive!$N$79</f>
        <v>8.7104948629382912E-3</v>
      </c>
      <c r="Q221" s="38">
        <f>Reactive!$O$79</f>
        <v>5.6184412652101699E-3</v>
      </c>
      <c r="R221" s="38">
        <f>Reactive!$P$79</f>
        <v>0</v>
      </c>
      <c r="S221" s="38">
        <f>Reactive!$Q$79</f>
        <v>1.0200171523243784E-2</v>
      </c>
      <c r="T221" s="38">
        <f>Reactive!$R$79</f>
        <v>9.2609438322869015E-3</v>
      </c>
      <c r="U221" s="38">
        <f>Reactive!$S$79</f>
        <v>0</v>
      </c>
      <c r="V221" s="10"/>
      <c r="W221" s="10"/>
      <c r="X221" s="17"/>
    </row>
    <row r="222" spans="1:24" x14ac:dyDescent="0.25">
      <c r="A222" s="4" t="s">
        <v>186</v>
      </c>
      <c r="B222" s="38">
        <f>Reactive!$B$80</f>
        <v>0</v>
      </c>
      <c r="C222" s="38">
        <f>Reactive!$C$80</f>
        <v>2.1971506264677143E-2</v>
      </c>
      <c r="D222" s="38">
        <f>Reactive!$D$80</f>
        <v>9.462021439070864E-3</v>
      </c>
      <c r="E222" s="38">
        <f>Reactive!$E$80</f>
        <v>2.3892243847490217E-2</v>
      </c>
      <c r="F222" s="38">
        <f>Reactive!$F$80</f>
        <v>1.5410969280558294E-2</v>
      </c>
      <c r="G222" s="38">
        <f>Reactive!$G$80</f>
        <v>0</v>
      </c>
      <c r="H222" s="38">
        <f>Reactive!$H$80</f>
        <v>1.958482180496349E-2</v>
      </c>
      <c r="I222" s="38">
        <f>Reactive!$I$80</f>
        <v>7.6206254104007568E-4</v>
      </c>
      <c r="J222" s="38">
        <f>Reactive!$J$80</f>
        <v>0</v>
      </c>
      <c r="K222" s="10"/>
      <c r="L222" s="10"/>
      <c r="M222" s="38">
        <f>Reactive!$K$80</f>
        <v>1.0530193362962431E-2</v>
      </c>
      <c r="N222" s="38">
        <f>Reactive!$L$80</f>
        <v>8.0102435615142433E-3</v>
      </c>
      <c r="O222" s="38">
        <f>Reactive!$M$80</f>
        <v>3.4496085702179252E-3</v>
      </c>
      <c r="P222" s="38">
        <f>Reactive!$N$80</f>
        <v>8.7104948629382912E-3</v>
      </c>
      <c r="Q222" s="38">
        <f>Reactive!$O$80</f>
        <v>5.6184412652101699E-3</v>
      </c>
      <c r="R222" s="38">
        <f>Reactive!$P$80</f>
        <v>0</v>
      </c>
      <c r="S222" s="38">
        <f>Reactive!$Q$80</f>
        <v>1.0200171523243784E-2</v>
      </c>
      <c r="T222" s="38">
        <f>Reactive!$R$80</f>
        <v>9.2609438322869015E-3</v>
      </c>
      <c r="U222" s="38">
        <f>Reactive!$S$80</f>
        <v>0</v>
      </c>
      <c r="V222" s="10"/>
      <c r="W222" s="10"/>
      <c r="X222" s="17"/>
    </row>
    <row r="223" spans="1:24" x14ac:dyDescent="0.25">
      <c r="A223" s="4" t="s">
        <v>194</v>
      </c>
      <c r="B223" s="38">
        <f>Reactive!$B$81</f>
        <v>0</v>
      </c>
      <c r="C223" s="38">
        <f>Reactive!$C$81</f>
        <v>2.1687120210766766E-2</v>
      </c>
      <c r="D223" s="38">
        <f>Reactive!$D$81</f>
        <v>9.3395506850562065E-3</v>
      </c>
      <c r="E223" s="38">
        <f>Reactive!$E$81</f>
        <v>2.3582996913529403E-2</v>
      </c>
      <c r="F223" s="38">
        <f>Reactive!$F$81</f>
        <v>6.5409445265189915E-3</v>
      </c>
      <c r="G223" s="38">
        <f>Reactive!$G$81</f>
        <v>0</v>
      </c>
      <c r="H223" s="38">
        <f>Reactive!$H$81</f>
        <v>2.4854564017512751E-3</v>
      </c>
      <c r="I223" s="38">
        <f>Reactive!$I$81</f>
        <v>0</v>
      </c>
      <c r="J223" s="38">
        <f>Reactive!$J$81</f>
        <v>0</v>
      </c>
      <c r="K223" s="10"/>
      <c r="L223" s="10"/>
      <c r="M223" s="38">
        <f>Reactive!$K$81</f>
        <v>1.0393896829564514E-2</v>
      </c>
      <c r="N223" s="38">
        <f>Reactive!$L$81</f>
        <v>7.9065637532262541E-3</v>
      </c>
      <c r="O223" s="38">
        <f>Reactive!$M$81</f>
        <v>3.4049588972732514E-3</v>
      </c>
      <c r="P223" s="38">
        <f>Reactive!$N$81</f>
        <v>8.5977514200519922E-3</v>
      </c>
      <c r="Q223" s="38">
        <f>Reactive!$O$81</f>
        <v>5.5457195172656931E-3</v>
      </c>
      <c r="R223" s="38">
        <f>Reactive!$P$81</f>
        <v>0</v>
      </c>
      <c r="S223" s="38">
        <f>Reactive!$Q$81</f>
        <v>1.0068146595423164E-2</v>
      </c>
      <c r="T223" s="38">
        <f>Reactive!$R$81</f>
        <v>0</v>
      </c>
      <c r="U223" s="38">
        <f>Reactive!$S$81</f>
        <v>0</v>
      </c>
      <c r="V223" s="10"/>
      <c r="W223" s="10"/>
      <c r="X223" s="17"/>
    </row>
    <row r="224" spans="1:24" x14ac:dyDescent="0.25">
      <c r="A224" s="4" t="s">
        <v>195</v>
      </c>
      <c r="B224" s="38">
        <f>Reactive!$B$82</f>
        <v>0</v>
      </c>
      <c r="C224" s="38">
        <f>Reactive!$C$82</f>
        <v>2.1687120210766766E-2</v>
      </c>
      <c r="D224" s="38">
        <f>Reactive!$D$82</f>
        <v>9.3395506850562065E-3</v>
      </c>
      <c r="E224" s="38">
        <f>Reactive!$E$82</f>
        <v>2.3582996913529403E-2</v>
      </c>
      <c r="F224" s="38">
        <f>Reactive!$F$82</f>
        <v>6.5409445265189915E-3</v>
      </c>
      <c r="G224" s="38">
        <f>Reactive!$G$82</f>
        <v>0</v>
      </c>
      <c r="H224" s="38">
        <f>Reactive!$H$82</f>
        <v>2.4854564017512751E-3</v>
      </c>
      <c r="I224" s="38">
        <f>Reactive!$I$82</f>
        <v>0</v>
      </c>
      <c r="J224" s="38">
        <f>Reactive!$J$82</f>
        <v>0</v>
      </c>
      <c r="K224" s="10"/>
      <c r="L224" s="10"/>
      <c r="M224" s="38">
        <f>Reactive!$K$82</f>
        <v>1.0393896829564514E-2</v>
      </c>
      <c r="N224" s="38">
        <f>Reactive!$L$82</f>
        <v>7.9065637532262541E-3</v>
      </c>
      <c r="O224" s="38">
        <f>Reactive!$M$82</f>
        <v>3.4049588972732514E-3</v>
      </c>
      <c r="P224" s="38">
        <f>Reactive!$N$82</f>
        <v>8.5977514200519922E-3</v>
      </c>
      <c r="Q224" s="38">
        <f>Reactive!$O$82</f>
        <v>5.5457195172656931E-3</v>
      </c>
      <c r="R224" s="38">
        <f>Reactive!$P$82</f>
        <v>0</v>
      </c>
      <c r="S224" s="38">
        <f>Reactive!$Q$82</f>
        <v>1.0068146595423164E-2</v>
      </c>
      <c r="T224" s="38">
        <f>Reactive!$R$82</f>
        <v>0</v>
      </c>
      <c r="U224" s="38">
        <f>Reactive!$S$82</f>
        <v>0</v>
      </c>
      <c r="V224" s="10"/>
      <c r="W224" s="10"/>
      <c r="X224" s="17"/>
    </row>
    <row r="226" spans="1:8" ht="21" customHeight="1" x14ac:dyDescent="0.3">
      <c r="A226" s="1" t="s">
        <v>1086</v>
      </c>
    </row>
    <row r="227" spans="1:8" x14ac:dyDescent="0.25">
      <c r="A227" s="2" t="s">
        <v>350</v>
      </c>
    </row>
    <row r="228" spans="1:8" x14ac:dyDescent="0.25">
      <c r="A228" s="32" t="s">
        <v>1087</v>
      </c>
    </row>
    <row r="229" spans="1:8" x14ac:dyDescent="0.25">
      <c r="A229" s="32" t="s">
        <v>1088</v>
      </c>
    </row>
    <row r="230" spans="1:8" x14ac:dyDescent="0.25">
      <c r="A230" s="32" t="s">
        <v>1089</v>
      </c>
    </row>
    <row r="231" spans="1:8" x14ac:dyDescent="0.25">
      <c r="A231" s="32" t="s">
        <v>1090</v>
      </c>
    </row>
    <row r="232" spans="1:8" x14ac:dyDescent="0.25">
      <c r="A232" s="32" t="s">
        <v>1091</v>
      </c>
    </row>
    <row r="233" spans="1:8" x14ac:dyDescent="0.25">
      <c r="A233" s="32" t="s">
        <v>1092</v>
      </c>
    </row>
    <row r="234" spans="1:8" x14ac:dyDescent="0.25">
      <c r="A234" s="33" t="s">
        <v>353</v>
      </c>
      <c r="B234" s="33" t="s">
        <v>484</v>
      </c>
      <c r="C234" s="33" t="s">
        <v>484</v>
      </c>
      <c r="D234" s="33" t="s">
        <v>484</v>
      </c>
      <c r="E234" s="33" t="s">
        <v>484</v>
      </c>
      <c r="F234" s="33" t="s">
        <v>484</v>
      </c>
      <c r="G234" s="33" t="s">
        <v>484</v>
      </c>
    </row>
    <row r="235" spans="1:8" x14ac:dyDescent="0.25">
      <c r="A235" s="33" t="s">
        <v>356</v>
      </c>
      <c r="B235" s="33" t="s">
        <v>534</v>
      </c>
      <c r="C235" s="33" t="s">
        <v>535</v>
      </c>
      <c r="D235" s="33" t="s">
        <v>536</v>
      </c>
      <c r="E235" s="33" t="s">
        <v>537</v>
      </c>
      <c r="F235" s="33" t="s">
        <v>486</v>
      </c>
      <c r="G235" s="33" t="s">
        <v>538</v>
      </c>
    </row>
    <row r="237" spans="1:8" ht="45" x14ac:dyDescent="0.25">
      <c r="B237" s="15" t="s">
        <v>1093</v>
      </c>
      <c r="C237" s="15" t="s">
        <v>1094</v>
      </c>
      <c r="D237" s="15" t="s">
        <v>1095</v>
      </c>
      <c r="E237" s="15" t="s">
        <v>1096</v>
      </c>
      <c r="F237" s="15" t="s">
        <v>1097</v>
      </c>
      <c r="G237" s="15" t="s">
        <v>1098</v>
      </c>
    </row>
    <row r="238" spans="1:8" x14ac:dyDescent="0.25">
      <c r="A238" s="4" t="s">
        <v>171</v>
      </c>
      <c r="B238" s="37">
        <f t="shared" ref="B238:B264" si="0">SUM($B15:$W15)</f>
        <v>1.6703204815113575</v>
      </c>
      <c r="C238" s="37">
        <f t="shared" ref="C238:C264" si="1">SUM($B53:$W53)</f>
        <v>0</v>
      </c>
      <c r="D238" s="37">
        <f t="shared" ref="D238:D264" si="2">SUM($B91:$W91)</f>
        <v>0</v>
      </c>
      <c r="E238" s="37">
        <f t="shared" ref="E238:E264" si="3">SUM($B129:$W129)</f>
        <v>3.1299417691628326</v>
      </c>
      <c r="F238" s="37">
        <f t="shared" ref="F238:F264" si="4">SUM($B163:$W163)</f>
        <v>0</v>
      </c>
      <c r="G238" s="37">
        <f t="shared" ref="G238:G264" si="5">SUM($B198:$W198)</f>
        <v>0</v>
      </c>
      <c r="H238" s="17"/>
    </row>
    <row r="239" spans="1:8" x14ac:dyDescent="0.25">
      <c r="A239" s="4" t="s">
        <v>172</v>
      </c>
      <c r="B239" s="37">
        <f t="shared" si="0"/>
        <v>1.9838911661593512</v>
      </c>
      <c r="C239" s="37">
        <f t="shared" si="1"/>
        <v>0.18186473707458245</v>
      </c>
      <c r="D239" s="37">
        <f t="shared" si="2"/>
        <v>0</v>
      </c>
      <c r="E239" s="37">
        <f t="shared" si="3"/>
        <v>3.1299417691628326</v>
      </c>
      <c r="F239" s="37">
        <f t="shared" si="4"/>
        <v>0</v>
      </c>
      <c r="G239" s="37">
        <f t="shared" si="5"/>
        <v>0</v>
      </c>
      <c r="H239" s="17"/>
    </row>
    <row r="240" spans="1:8" x14ac:dyDescent="0.25">
      <c r="A240" s="4" t="s">
        <v>213</v>
      </c>
      <c r="B240" s="37">
        <f t="shared" si="0"/>
        <v>0.22084528491904437</v>
      </c>
      <c r="C240" s="37">
        <f t="shared" si="1"/>
        <v>0</v>
      </c>
      <c r="D240" s="37">
        <f t="shared" si="2"/>
        <v>0</v>
      </c>
      <c r="E240" s="37">
        <f t="shared" si="3"/>
        <v>0</v>
      </c>
      <c r="F240" s="37">
        <f t="shared" si="4"/>
        <v>0</v>
      </c>
      <c r="G240" s="37">
        <f t="shared" si="5"/>
        <v>0</v>
      </c>
      <c r="H240" s="17"/>
    </row>
    <row r="241" spans="1:8" x14ac:dyDescent="0.25">
      <c r="A241" s="4" t="s">
        <v>173</v>
      </c>
      <c r="B241" s="37">
        <f t="shared" si="0"/>
        <v>1.6302499441921212</v>
      </c>
      <c r="C241" s="37">
        <f t="shared" si="1"/>
        <v>0</v>
      </c>
      <c r="D241" s="37">
        <f t="shared" si="2"/>
        <v>0</v>
      </c>
      <c r="E241" s="37">
        <f t="shared" si="3"/>
        <v>3.129941769162822</v>
      </c>
      <c r="F241" s="37">
        <f t="shared" si="4"/>
        <v>0</v>
      </c>
      <c r="G241" s="37">
        <f t="shared" si="5"/>
        <v>0</v>
      </c>
      <c r="H241" s="17"/>
    </row>
    <row r="242" spans="1:8" x14ac:dyDescent="0.25">
      <c r="A242" s="4" t="s">
        <v>174</v>
      </c>
      <c r="B242" s="37">
        <f t="shared" si="0"/>
        <v>1.6639501274788746</v>
      </c>
      <c r="C242" s="37">
        <f t="shared" si="1"/>
        <v>0.15251996710174545</v>
      </c>
      <c r="D242" s="37">
        <f t="shared" si="2"/>
        <v>0</v>
      </c>
      <c r="E242" s="37">
        <f t="shared" si="3"/>
        <v>3.129941769162822</v>
      </c>
      <c r="F242" s="37">
        <f t="shared" si="4"/>
        <v>0</v>
      </c>
      <c r="G242" s="37">
        <f t="shared" si="5"/>
        <v>0</v>
      </c>
      <c r="H242" s="17"/>
    </row>
    <row r="243" spans="1:8" x14ac:dyDescent="0.25">
      <c r="A243" s="4" t="s">
        <v>214</v>
      </c>
      <c r="B243" s="37">
        <f t="shared" si="0"/>
        <v>0.16447349082928511</v>
      </c>
      <c r="C243" s="37">
        <f t="shared" si="1"/>
        <v>0</v>
      </c>
      <c r="D243" s="37">
        <f t="shared" si="2"/>
        <v>0</v>
      </c>
      <c r="E243" s="37">
        <f t="shared" si="3"/>
        <v>0</v>
      </c>
      <c r="F243" s="37">
        <f t="shared" si="4"/>
        <v>0</v>
      </c>
      <c r="G243" s="37">
        <f t="shared" si="5"/>
        <v>0</v>
      </c>
      <c r="H243" s="17"/>
    </row>
    <row r="244" spans="1:8" x14ac:dyDescent="0.25">
      <c r="A244" s="4" t="s">
        <v>175</v>
      </c>
      <c r="B244" s="37">
        <f t="shared" si="0"/>
        <v>1.3658789875029909</v>
      </c>
      <c r="C244" s="37">
        <f t="shared" si="1"/>
        <v>0.11543574249781113</v>
      </c>
      <c r="D244" s="37">
        <f t="shared" si="2"/>
        <v>0</v>
      </c>
      <c r="E244" s="37">
        <f t="shared" si="3"/>
        <v>10.575137064552598</v>
      </c>
      <c r="F244" s="37">
        <f t="shared" si="4"/>
        <v>0</v>
      </c>
      <c r="G244" s="37">
        <f t="shared" si="5"/>
        <v>0</v>
      </c>
      <c r="H244" s="17"/>
    </row>
    <row r="245" spans="1:8" x14ac:dyDescent="0.25">
      <c r="A245" s="4" t="s">
        <v>176</v>
      </c>
      <c r="B245" s="37">
        <f t="shared" si="0"/>
        <v>1.080330892411155</v>
      </c>
      <c r="C245" s="37">
        <f t="shared" si="1"/>
        <v>8.9726086719258802E-2</v>
      </c>
      <c r="D245" s="37">
        <f t="shared" si="2"/>
        <v>0</v>
      </c>
      <c r="E245" s="37">
        <f t="shared" si="3"/>
        <v>39.987232179652239</v>
      </c>
      <c r="F245" s="37">
        <f t="shared" si="4"/>
        <v>0</v>
      </c>
      <c r="G245" s="37">
        <f t="shared" si="5"/>
        <v>0</v>
      </c>
      <c r="H245" s="17"/>
    </row>
    <row r="246" spans="1:8" x14ac:dyDescent="0.25">
      <c r="A246" s="4" t="s">
        <v>192</v>
      </c>
      <c r="B246" s="37">
        <f t="shared" si="0"/>
        <v>0.7968171506233408</v>
      </c>
      <c r="C246" s="37">
        <f t="shared" si="1"/>
        <v>5.8253015581315307E-2</v>
      </c>
      <c r="D246" s="37">
        <f t="shared" si="2"/>
        <v>0</v>
      </c>
      <c r="E246" s="37">
        <f t="shared" si="3"/>
        <v>163.21455050581739</v>
      </c>
      <c r="F246" s="37">
        <f t="shared" si="4"/>
        <v>0</v>
      </c>
      <c r="G246" s="37">
        <f t="shared" si="5"/>
        <v>0</v>
      </c>
      <c r="H246" s="17"/>
    </row>
    <row r="247" spans="1:8" x14ac:dyDescent="0.25">
      <c r="A247" s="4" t="s">
        <v>177</v>
      </c>
      <c r="B247" s="37">
        <f t="shared" si="0"/>
        <v>9.3809577573297709</v>
      </c>
      <c r="C247" s="37">
        <f t="shared" si="1"/>
        <v>1.2310670761179359</v>
      </c>
      <c r="D247" s="37">
        <f t="shared" si="2"/>
        <v>0.16352164393124979</v>
      </c>
      <c r="E247" s="37">
        <f t="shared" si="3"/>
        <v>3.1299417691628326</v>
      </c>
      <c r="F247" s="37">
        <f t="shared" si="4"/>
        <v>0</v>
      </c>
      <c r="G247" s="37">
        <f t="shared" si="5"/>
        <v>0</v>
      </c>
      <c r="H247" s="17"/>
    </row>
    <row r="248" spans="1:8" x14ac:dyDescent="0.25">
      <c r="A248" s="4" t="s">
        <v>178</v>
      </c>
      <c r="B248" s="37">
        <f t="shared" si="0"/>
        <v>9.1214172080949378</v>
      </c>
      <c r="C248" s="37">
        <f t="shared" si="1"/>
        <v>1.1969074789035006</v>
      </c>
      <c r="D248" s="37">
        <f t="shared" si="2"/>
        <v>0.15898316063441759</v>
      </c>
      <c r="E248" s="37">
        <f t="shared" si="3"/>
        <v>3.129941769162822</v>
      </c>
      <c r="F248" s="37">
        <f t="shared" si="4"/>
        <v>0</v>
      </c>
      <c r="G248" s="37">
        <f t="shared" si="5"/>
        <v>0</v>
      </c>
      <c r="H248" s="17"/>
    </row>
    <row r="249" spans="1:8" x14ac:dyDescent="0.25">
      <c r="A249" s="4" t="s">
        <v>179</v>
      </c>
      <c r="B249" s="37">
        <f t="shared" si="0"/>
        <v>6.5138745212046931</v>
      </c>
      <c r="C249" s="37">
        <f t="shared" si="1"/>
        <v>0.810356654875791</v>
      </c>
      <c r="D249" s="37">
        <f t="shared" si="2"/>
        <v>0.10729057378001673</v>
      </c>
      <c r="E249" s="37">
        <f t="shared" si="3"/>
        <v>12.456619612572952</v>
      </c>
      <c r="F249" s="37">
        <f t="shared" si="4"/>
        <v>2.9098771356691326</v>
      </c>
      <c r="G249" s="37">
        <f t="shared" si="5"/>
        <v>0.2016034424959299</v>
      </c>
      <c r="H249" s="17"/>
    </row>
    <row r="250" spans="1:8" x14ac:dyDescent="0.25">
      <c r="A250" s="4" t="s">
        <v>180</v>
      </c>
      <c r="B250" s="37">
        <f t="shared" si="0"/>
        <v>5.182908849264126</v>
      </c>
      <c r="C250" s="37">
        <f t="shared" si="1"/>
        <v>0.60784883493529474</v>
      </c>
      <c r="D250" s="37">
        <f t="shared" si="2"/>
        <v>8.0173518720821832E-2</v>
      </c>
      <c r="E250" s="37">
        <f t="shared" si="3"/>
        <v>39.987232179652239</v>
      </c>
      <c r="F250" s="37">
        <f t="shared" si="4"/>
        <v>2.9156483795719286</v>
      </c>
      <c r="G250" s="37">
        <f t="shared" si="5"/>
        <v>0.15059177601735135</v>
      </c>
      <c r="H250" s="17"/>
    </row>
    <row r="251" spans="1:8" x14ac:dyDescent="0.25">
      <c r="A251" s="4" t="s">
        <v>193</v>
      </c>
      <c r="B251" s="37">
        <f t="shared" si="0"/>
        <v>3.6157682598339886</v>
      </c>
      <c r="C251" s="37">
        <f t="shared" si="1"/>
        <v>0.37858586289250051</v>
      </c>
      <c r="D251" s="37">
        <f t="shared" si="2"/>
        <v>4.9535804912052922E-2</v>
      </c>
      <c r="E251" s="37">
        <f t="shared" si="3"/>
        <v>87.92659195212633</v>
      </c>
      <c r="F251" s="37">
        <f t="shared" si="4"/>
        <v>2.7046105884987828</v>
      </c>
      <c r="G251" s="37">
        <f t="shared" si="5"/>
        <v>9.4529932082065754E-2</v>
      </c>
      <c r="H251" s="17"/>
    </row>
    <row r="252" spans="1:8" x14ac:dyDescent="0.25">
      <c r="A252" s="4" t="s">
        <v>215</v>
      </c>
      <c r="B252" s="37">
        <f t="shared" si="0"/>
        <v>2.5629653575192286</v>
      </c>
      <c r="C252" s="37">
        <f t="shared" si="1"/>
        <v>0</v>
      </c>
      <c r="D252" s="37">
        <f t="shared" si="2"/>
        <v>0</v>
      </c>
      <c r="E252" s="37">
        <f t="shared" si="3"/>
        <v>0</v>
      </c>
      <c r="F252" s="37">
        <f t="shared" si="4"/>
        <v>0</v>
      </c>
      <c r="G252" s="37">
        <f t="shared" si="5"/>
        <v>0</v>
      </c>
      <c r="H252" s="17"/>
    </row>
    <row r="253" spans="1:8" x14ac:dyDescent="0.25">
      <c r="A253" s="4" t="s">
        <v>216</v>
      </c>
      <c r="B253" s="37">
        <f t="shared" si="0"/>
        <v>2.7741281743633182</v>
      </c>
      <c r="C253" s="37">
        <f t="shared" si="1"/>
        <v>0</v>
      </c>
      <c r="D253" s="37">
        <f t="shared" si="2"/>
        <v>0</v>
      </c>
      <c r="E253" s="37">
        <f t="shared" si="3"/>
        <v>0</v>
      </c>
      <c r="F253" s="37">
        <f t="shared" si="4"/>
        <v>0</v>
      </c>
      <c r="G253" s="37">
        <f t="shared" si="5"/>
        <v>0</v>
      </c>
      <c r="H253" s="17"/>
    </row>
    <row r="254" spans="1:8" x14ac:dyDescent="0.25">
      <c r="A254" s="4" t="s">
        <v>217</v>
      </c>
      <c r="B254" s="37">
        <f t="shared" si="0"/>
        <v>3.7985090759878726</v>
      </c>
      <c r="C254" s="37">
        <f t="shared" si="1"/>
        <v>0</v>
      </c>
      <c r="D254" s="37">
        <f t="shared" si="2"/>
        <v>0</v>
      </c>
      <c r="E254" s="37">
        <f t="shared" si="3"/>
        <v>0</v>
      </c>
      <c r="F254" s="37">
        <f t="shared" si="4"/>
        <v>0</v>
      </c>
      <c r="G254" s="37">
        <f t="shared" si="5"/>
        <v>0</v>
      </c>
      <c r="H254" s="17"/>
    </row>
    <row r="255" spans="1:8" x14ac:dyDescent="0.25">
      <c r="A255" s="4" t="s">
        <v>218</v>
      </c>
      <c r="B255" s="37">
        <f t="shared" si="0"/>
        <v>2.4778329118870293</v>
      </c>
      <c r="C255" s="37">
        <f t="shared" si="1"/>
        <v>0</v>
      </c>
      <c r="D255" s="37">
        <f t="shared" si="2"/>
        <v>0</v>
      </c>
      <c r="E255" s="37">
        <f t="shared" si="3"/>
        <v>0</v>
      </c>
      <c r="F255" s="37">
        <f t="shared" si="4"/>
        <v>0</v>
      </c>
      <c r="G255" s="37">
        <f t="shared" si="5"/>
        <v>0</v>
      </c>
      <c r="H255" s="17"/>
    </row>
    <row r="256" spans="1:8" x14ac:dyDescent="0.25">
      <c r="A256" s="4" t="s">
        <v>219</v>
      </c>
      <c r="B256" s="37">
        <f t="shared" si="0"/>
        <v>22.555218073466722</v>
      </c>
      <c r="C256" s="37">
        <f t="shared" si="1"/>
        <v>2.4867638705232573</v>
      </c>
      <c r="D256" s="37">
        <f t="shared" si="2"/>
        <v>1.6586841572625031</v>
      </c>
      <c r="E256" s="37">
        <f t="shared" si="3"/>
        <v>0</v>
      </c>
      <c r="F256" s="37">
        <f t="shared" si="4"/>
        <v>0</v>
      </c>
      <c r="G256" s="37">
        <f t="shared" si="5"/>
        <v>0</v>
      </c>
      <c r="H256" s="17"/>
    </row>
    <row r="257" spans="1:8" x14ac:dyDescent="0.25">
      <c r="A257" s="4" t="s">
        <v>181</v>
      </c>
      <c r="B257" s="37">
        <f t="shared" si="0"/>
        <v>-0.91207752926023555</v>
      </c>
      <c r="C257" s="37">
        <f t="shared" si="1"/>
        <v>0</v>
      </c>
      <c r="D257" s="37">
        <f t="shared" si="2"/>
        <v>0</v>
      </c>
      <c r="E257" s="37">
        <f t="shared" si="3"/>
        <v>0</v>
      </c>
      <c r="F257" s="37">
        <f t="shared" si="4"/>
        <v>0</v>
      </c>
      <c r="G257" s="37">
        <f t="shared" si="5"/>
        <v>0</v>
      </c>
      <c r="H257" s="17"/>
    </row>
    <row r="258" spans="1:8" x14ac:dyDescent="0.25">
      <c r="A258" s="4" t="s">
        <v>182</v>
      </c>
      <c r="B258" s="37">
        <f t="shared" si="0"/>
        <v>-0.73021951515260097</v>
      </c>
      <c r="C258" s="37">
        <f t="shared" si="1"/>
        <v>0</v>
      </c>
      <c r="D258" s="37">
        <f t="shared" si="2"/>
        <v>0</v>
      </c>
      <c r="E258" s="37">
        <f t="shared" si="3"/>
        <v>0</v>
      </c>
      <c r="F258" s="37">
        <f t="shared" si="4"/>
        <v>0</v>
      </c>
      <c r="G258" s="37">
        <f t="shared" si="5"/>
        <v>0</v>
      </c>
      <c r="H258" s="17"/>
    </row>
    <row r="259" spans="1:8" x14ac:dyDescent="0.25">
      <c r="A259" s="4" t="s">
        <v>183</v>
      </c>
      <c r="B259" s="37">
        <f t="shared" si="0"/>
        <v>-0.91207752926023555</v>
      </c>
      <c r="C259" s="37">
        <f t="shared" si="1"/>
        <v>0</v>
      </c>
      <c r="D259" s="37">
        <f t="shared" si="2"/>
        <v>0</v>
      </c>
      <c r="E259" s="37">
        <f t="shared" si="3"/>
        <v>0</v>
      </c>
      <c r="F259" s="37">
        <f t="shared" si="4"/>
        <v>0</v>
      </c>
      <c r="G259" s="37">
        <f t="shared" si="5"/>
        <v>0.17787196019494286</v>
      </c>
      <c r="H259" s="17"/>
    </row>
    <row r="260" spans="1:8" x14ac:dyDescent="0.25">
      <c r="A260" s="4" t="s">
        <v>184</v>
      </c>
      <c r="B260" s="37">
        <f t="shared" si="0"/>
        <v>-6.6227261730581528</v>
      </c>
      <c r="C260" s="37">
        <f t="shared" si="1"/>
        <v>-0.86905772911237422</v>
      </c>
      <c r="D260" s="37">
        <f t="shared" si="2"/>
        <v>-0.11543574249781113</v>
      </c>
      <c r="E260" s="37">
        <f t="shared" si="3"/>
        <v>0</v>
      </c>
      <c r="F260" s="37">
        <f t="shared" si="4"/>
        <v>0</v>
      </c>
      <c r="G260" s="37">
        <f t="shared" si="5"/>
        <v>0.17787196019494286</v>
      </c>
      <c r="H260" s="17"/>
    </row>
    <row r="261" spans="1:8" x14ac:dyDescent="0.25">
      <c r="A261" s="4" t="s">
        <v>185</v>
      </c>
      <c r="B261" s="37">
        <f t="shared" si="0"/>
        <v>-0.73021951515260097</v>
      </c>
      <c r="C261" s="37">
        <f t="shared" si="1"/>
        <v>0</v>
      </c>
      <c r="D261" s="37">
        <f t="shared" si="2"/>
        <v>0</v>
      </c>
      <c r="E261" s="37">
        <f t="shared" si="3"/>
        <v>0</v>
      </c>
      <c r="F261" s="37">
        <f t="shared" si="4"/>
        <v>0</v>
      </c>
      <c r="G261" s="37">
        <f t="shared" si="5"/>
        <v>0.14686372215617383</v>
      </c>
      <c r="H261" s="17"/>
    </row>
    <row r="262" spans="1:8" x14ac:dyDescent="0.25">
      <c r="A262" s="4" t="s">
        <v>186</v>
      </c>
      <c r="B262" s="37">
        <f t="shared" si="0"/>
        <v>-5.3811727896659756</v>
      </c>
      <c r="C262" s="37">
        <f t="shared" si="1"/>
        <v>-0.67720886088862087</v>
      </c>
      <c r="D262" s="37">
        <f t="shared" si="2"/>
        <v>-8.9726086719258802E-2</v>
      </c>
      <c r="E262" s="37">
        <f t="shared" si="3"/>
        <v>0</v>
      </c>
      <c r="F262" s="37">
        <f t="shared" si="4"/>
        <v>0</v>
      </c>
      <c r="G262" s="37">
        <f t="shared" si="5"/>
        <v>0.14686372215617383</v>
      </c>
      <c r="H262" s="17"/>
    </row>
    <row r="263" spans="1:8" x14ac:dyDescent="0.25">
      <c r="A263" s="4" t="s">
        <v>194</v>
      </c>
      <c r="B263" s="37">
        <f t="shared" si="0"/>
        <v>-0.52562199136635046</v>
      </c>
      <c r="C263" s="37">
        <f t="shared" si="1"/>
        <v>0</v>
      </c>
      <c r="D263" s="37">
        <f t="shared" si="2"/>
        <v>0</v>
      </c>
      <c r="E263" s="37">
        <f t="shared" si="3"/>
        <v>5.9206889028113041</v>
      </c>
      <c r="F263" s="37">
        <f t="shared" si="4"/>
        <v>0</v>
      </c>
      <c r="G263" s="37">
        <f t="shared" si="5"/>
        <v>0.10955310575042752</v>
      </c>
      <c r="H263" s="17"/>
    </row>
    <row r="264" spans="1:8" x14ac:dyDescent="0.25">
      <c r="A264" s="4" t="s">
        <v>195</v>
      </c>
      <c r="B264" s="37">
        <f t="shared" si="0"/>
        <v>-4.0056752659396864</v>
      </c>
      <c r="C264" s="37">
        <f t="shared" si="1"/>
        <v>-0.4563613142379766</v>
      </c>
      <c r="D264" s="37">
        <f t="shared" si="2"/>
        <v>-6.0075090464781655E-2</v>
      </c>
      <c r="E264" s="37">
        <f t="shared" si="3"/>
        <v>5.9206889028113041</v>
      </c>
      <c r="F264" s="37">
        <f t="shared" si="4"/>
        <v>0</v>
      </c>
      <c r="G264" s="37">
        <f t="shared" si="5"/>
        <v>0.10955310575042752</v>
      </c>
      <c r="H264" s="17"/>
    </row>
  </sheetData>
  <sheetProtection sheet="1" objects="1" scenarios="1"/>
  <hyperlinks>
    <hyperlink ref="A6" location="'Standing'!B78" display="x1 = 3004. Unit rate 1 total p/kWh (taking account of standing charges) — for Tariffs with Unit rate 1 p/kWh from Standard 1 kWh"/>
    <hyperlink ref="A7" location="'Yard'!B60" display="x2 = 2903. Pay-as-you-go unit rate 1 (p/kWh) — for Tariffs with Unit rate 1 p/kWh from PAYG 1 kWh"/>
    <hyperlink ref="A8" location="'Yard'!B60" display="x3 = 2903. Pay-as-you-go unit rate 1 (p/kWh) — for Tariffs with Unit rate 1 p/kWh from PAYG 1 kWh &amp; customer"/>
    <hyperlink ref="A9" location="'Yard'!B22" display="x4 = 2902. Pay-as-you-go yardstick unit rate (p/kWh) — for Tariffs with Unit rate 1 p/kWh from PAYG yardstick kWh"/>
    <hyperlink ref="A10" location="'SM'!B44" display="x5 = 2203. LV unmetered service model asset charge (p/kWh) — for Tariffs with Unit rate 1 p/kWh from PAYG 1 kWh &amp; customer"/>
    <hyperlink ref="A11" location="'Otex'!B155" display="x6 = 2712. Operating expenditure for unmetered customer assets (p/kWh) — for Tariffs with Unit rate 1 p/kWh from PAYG 1 kWh &amp; customer"/>
    <hyperlink ref="A45" location="'Standing'!B105" display="x1 = 3005. Unit rate 2 total p/kWh (taking account of standing charges) — for Tariffs with Unit rate 2 p/kWh from Standard 2 kWh"/>
    <hyperlink ref="A46" location="'Yard'!B93" display="x2 = 2904. Pay-as-you-go unit rate 2 (p/kWh) — for Tariffs with Unit rate 2 p/kWh from PAYG 2 kWh"/>
    <hyperlink ref="A47" location="'Yard'!B93" display="x3 = 2904. Pay-as-you-go unit rate 2 (p/kWh) — for Tariffs with Unit rate 2 p/kWh from PAYG 2 kWh &amp; customer"/>
    <hyperlink ref="A48" location="'SM'!B44" display="x4 = 2203. LV unmetered service model asset charge (p/kWh) — for Tariffs with Unit rate 2 p/kWh from PAYG 2 kWh &amp; customer"/>
    <hyperlink ref="A49" location="'Otex'!B155" display="x5 = 2712. Operating expenditure for unmetered customer assets (p/kWh) — for Tariffs with Unit rate 2 p/kWh from PAYG 2 kWh &amp; customer"/>
    <hyperlink ref="A83" location="'Standing'!B124" display="x1 = 3006. Unit rate 3 total p/kWh (taking account of standing charges) — for Tariffs with Unit rate 3 p/kWh from Standard 3 kWh"/>
    <hyperlink ref="A84" location="'Yard'!B118" display="x2 = 2905. Pay-as-you-go unit rate 3 (p/kWh) — for Tariffs with Unit rate 3 p/kWh from PAYG 3 kWh"/>
    <hyperlink ref="A85" location="'Yard'!B118" display="x3 = 2905. Pay-as-you-go unit rate 3 (p/kWh) — for Tariffs with Unit rate 3 p/kWh from PAYG 3 kWh &amp; customer"/>
    <hyperlink ref="A86" location="'SM'!B44" display="x4 = 2203. LV unmetered service model asset charge (p/kWh) — for Tariffs with Unit rate 3 p/kWh from PAYG 3 kWh &amp; customer"/>
    <hyperlink ref="A87" location="'Otex'!B155" display="x5 = 2712. Operating expenditure for unmetered customer assets (p/kWh) — for Tariffs with Unit rate 3 p/kWh from PAYG 3 kWh &amp; customer"/>
    <hyperlink ref="A121" location="'AggCap'!B88" display="x1 = 3107. Fixed charge from standing charges factors p/MPAN/day — for Tariffs with Fixed charge p/MPAN/day from Fixed from network &amp; customer"/>
    <hyperlink ref="A122" location="'SM'!B105" display="x2 = 2206. Service model p/MPAN/day (in Replacement annuities for service models) — for Tariffs with Fixed charge p/MPAN/day from Customer"/>
    <hyperlink ref="A123" location="'SM'!B105" display="x3 = 2206. Service model p/MPAN/day (in Replacement annuities for service models) — for Tariffs with Fixed charge p/MPAN/day from Fixed from network &amp; customer"/>
    <hyperlink ref="A124" location="'Otex'!B120" display="x4 = 2711. Operating expenditure for customer assets p/MPAN/day total (in Operating expenditure for customer assets p/MPAN/day) — for Tariffs with Fixed charge p/MPAN/day from Customer"/>
    <hyperlink ref="A125" location="'Otex'!B120" display="x5 = 2711. Operating expenditure for customer assets p/MPAN/day total (in Operating expenditure for customer assets p/MPAN/day) — for Tariffs with Fixed charge p/MPAN/day from Fixed from network &amp; customer"/>
    <hyperlink ref="A159" location="'Standing'!B24" display="x1 = 3002. Capacity charge p/kVA/day — for Tariffs with Capacity charge p/kVA/day from Capacity"/>
    <hyperlink ref="A193" location="'Reactive'!B76" display="x1 = 3206. Pay-as-you-go reactive p/kVArh"/>
    <hyperlink ref="A194" location="'Reactive'!B32" display="x2 = 3203. Standard reactive p/kVArh"/>
    <hyperlink ref="A228" location="'Aggreg'!B14" display="x1 = 3301. Unit rate 1 p/kWh (elements)"/>
    <hyperlink ref="A229" location="'Aggreg'!B52" display="x2 = 3302. Unit rate 2 p/kWh (elements)"/>
    <hyperlink ref="A230" location="'Aggreg'!B90" display="x3 = 3303. Unit rate 3 p/kWh (elements)"/>
    <hyperlink ref="A231" location="'Aggreg'!B128" display="x4 = 3304. Fixed charge p/MPAN/day (elements)"/>
    <hyperlink ref="A232" location="'Aggreg'!B162" display="x5 = 3305. Capacity charge p/kVA/day (elements)"/>
    <hyperlink ref="A233" location="'Aggreg'!B197" display="x6 = 3306. Reactive power charge p/kVArh (elements)"/>
  </hyperlinks>
  <pageMargins left="0.7" right="0.7" top="0.75" bottom="0.75" header="0.3" footer="0.3"/>
  <pageSetup paperSize="9" fitToHeight="0" orientation="landscape"/>
  <headerFooter>
    <oddHeader>&amp;L&amp;A&amp;C&amp;R&amp;P of &amp;N</oddHeader>
    <oddFooter>&amp;F</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69"/>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x14ac:dyDescent="0.25"/>
  <cols>
    <col min="1" max="1" width="50.7109375" customWidth="1"/>
    <col min="2" max="251" width="21.7109375" customWidth="1"/>
  </cols>
  <sheetData>
    <row r="1" spans="1:1" ht="21" customHeight="1" x14ac:dyDescent="0.3">
      <c r="A1" s="1" t="str">
        <f>"Revenue shortfall or surplus for "&amp;Input!B7&amp;" in "&amp;Input!C7&amp;" ("&amp;Input!D7&amp;")"</f>
        <v>Revenue shortfall or surplus for Electricity North West in 2017/2018 (December 2015)</v>
      </c>
    </row>
    <row r="3" spans="1:1" ht="21" customHeight="1" x14ac:dyDescent="0.3">
      <c r="A3" s="1" t="s">
        <v>1099</v>
      </c>
    </row>
    <row r="4" spans="1:1" x14ac:dyDescent="0.25">
      <c r="A4" s="2" t="s">
        <v>350</v>
      </c>
    </row>
    <row r="5" spans="1:1" x14ac:dyDescent="0.25">
      <c r="A5" s="32" t="s">
        <v>479</v>
      </c>
    </row>
    <row r="6" spans="1:1" x14ac:dyDescent="0.25">
      <c r="A6" s="32" t="s">
        <v>1100</v>
      </c>
    </row>
    <row r="7" spans="1:1" x14ac:dyDescent="0.25">
      <c r="A7" s="32" t="s">
        <v>1101</v>
      </c>
    </row>
    <row r="8" spans="1:1" x14ac:dyDescent="0.25">
      <c r="A8" s="32" t="s">
        <v>1102</v>
      </c>
    </row>
    <row r="9" spans="1:1" x14ac:dyDescent="0.25">
      <c r="A9" s="32" t="s">
        <v>1103</v>
      </c>
    </row>
    <row r="10" spans="1:1" x14ac:dyDescent="0.25">
      <c r="A10" s="32" t="s">
        <v>1104</v>
      </c>
    </row>
    <row r="11" spans="1:1" x14ac:dyDescent="0.25">
      <c r="A11" s="32" t="s">
        <v>1105</v>
      </c>
    </row>
    <row r="12" spans="1:1" x14ac:dyDescent="0.25">
      <c r="A12" s="32" t="s">
        <v>1106</v>
      </c>
    </row>
    <row r="13" spans="1:1" x14ac:dyDescent="0.25">
      <c r="A13" s="32" t="s">
        <v>1107</v>
      </c>
    </row>
    <row r="14" spans="1:1" x14ac:dyDescent="0.25">
      <c r="A14" s="32" t="s">
        <v>1108</v>
      </c>
    </row>
    <row r="15" spans="1:1" x14ac:dyDescent="0.25">
      <c r="A15" s="32" t="s">
        <v>1109</v>
      </c>
    </row>
    <row r="16" spans="1:1" x14ac:dyDescent="0.25">
      <c r="A16" s="32" t="s">
        <v>1110</v>
      </c>
    </row>
    <row r="17" spans="1:3" x14ac:dyDescent="0.25">
      <c r="A17" s="32" t="s">
        <v>1111</v>
      </c>
    </row>
    <row r="18" spans="1:3" x14ac:dyDescent="0.25">
      <c r="A18" s="2" t="s">
        <v>1112</v>
      </c>
    </row>
    <row r="20" spans="1:3" x14ac:dyDescent="0.25">
      <c r="B20" s="15" t="s">
        <v>1113</v>
      </c>
    </row>
    <row r="21" spans="1:3" x14ac:dyDescent="0.25">
      <c r="A21" s="4" t="s">
        <v>171</v>
      </c>
      <c r="B21" s="21">
        <f>0.01*Input!F$58*(Aggreg!E238*Loads!E302+Aggreg!F238*Loads!F302)+10*(Aggreg!B238*Loads!B302+Aggreg!C238*Loads!C302+Aggreg!D238*Loads!D302+Aggreg!G238*Loads!G302)</f>
        <v>134216588.10460529</v>
      </c>
      <c r="C21" s="17"/>
    </row>
    <row r="22" spans="1:3" x14ac:dyDescent="0.25">
      <c r="A22" s="4" t="s">
        <v>172</v>
      </c>
      <c r="B22" s="21">
        <f>0.01*Input!F$58*(Aggreg!E239*Loads!E303+Aggreg!F239*Loads!F303)+10*(Aggreg!B239*Loads!B303+Aggreg!C239*Loads!C303+Aggreg!D239*Loads!D303+Aggreg!G239*Loads!G303)</f>
        <v>12348800.614570104</v>
      </c>
      <c r="C22" s="17"/>
    </row>
    <row r="23" spans="1:3" x14ac:dyDescent="0.25">
      <c r="A23" s="4" t="s">
        <v>213</v>
      </c>
      <c r="B23" s="21">
        <f>0.01*Input!F$58*(Aggreg!E240*Loads!E304+Aggreg!F240*Loads!F304)+10*(Aggreg!B240*Loads!B304+Aggreg!C240*Loads!C304+Aggreg!D240*Loads!D304+Aggreg!G240*Loads!G304)</f>
        <v>36788.32823630752</v>
      </c>
      <c r="C23" s="17"/>
    </row>
    <row r="24" spans="1:3" x14ac:dyDescent="0.25">
      <c r="A24" s="4" t="s">
        <v>173</v>
      </c>
      <c r="B24" s="21">
        <f>0.01*Input!F$58*(Aggreg!E241*Loads!E305+Aggreg!F241*Loads!F305)+10*(Aggreg!B241*Loads!B305+Aggreg!C241*Loads!C305+Aggreg!D241*Loads!D305+Aggreg!G241*Loads!G305)</f>
        <v>27104436.454689164</v>
      </c>
      <c r="C24" s="17"/>
    </row>
    <row r="25" spans="1:3" x14ac:dyDescent="0.25">
      <c r="A25" s="4" t="s">
        <v>174</v>
      </c>
      <c r="B25" s="21">
        <f>0.01*Input!F$58*(Aggreg!E242*Loads!E306+Aggreg!F242*Loads!F306)+10*(Aggreg!B242*Loads!B306+Aggreg!C242*Loads!C306+Aggreg!D242*Loads!D306+Aggreg!G242*Loads!G306)</f>
        <v>10188817.052957052</v>
      </c>
      <c r="C25" s="17"/>
    </row>
    <row r="26" spans="1:3" x14ac:dyDescent="0.25">
      <c r="A26" s="4" t="s">
        <v>214</v>
      </c>
      <c r="B26" s="21">
        <f>0.01*Input!F$58*(Aggreg!E243*Loads!E307+Aggreg!F243*Loads!F307)+10*(Aggreg!B243*Loads!B307+Aggreg!C243*Loads!C307+Aggreg!D243*Loads!D307+Aggreg!G243*Loads!G307)</f>
        <v>29973.75691462947</v>
      </c>
      <c r="C26" s="17"/>
    </row>
    <row r="27" spans="1:3" x14ac:dyDescent="0.25">
      <c r="A27" s="4" t="s">
        <v>175</v>
      </c>
      <c r="B27" s="21">
        <f>0.01*Input!F$58*(Aggreg!E244*Loads!E308+Aggreg!F244*Loads!F308)+10*(Aggreg!B244*Loads!B308+Aggreg!C244*Loads!C308+Aggreg!D244*Loads!D308+Aggreg!G244*Loads!G308)</f>
        <v>0</v>
      </c>
      <c r="C27" s="17"/>
    </row>
    <row r="28" spans="1:3" x14ac:dyDescent="0.25">
      <c r="A28" s="4" t="s">
        <v>176</v>
      </c>
      <c r="B28" s="21">
        <f>0.01*Input!F$58*(Aggreg!E245*Loads!E309+Aggreg!F245*Loads!F309)+10*(Aggreg!B245*Loads!B309+Aggreg!C245*Loads!C309+Aggreg!D245*Loads!D309+Aggreg!G245*Loads!G309)</f>
        <v>0</v>
      </c>
      <c r="C28" s="17"/>
    </row>
    <row r="29" spans="1:3" x14ac:dyDescent="0.25">
      <c r="A29" s="4" t="s">
        <v>192</v>
      </c>
      <c r="B29" s="21">
        <f>0.01*Input!F$58*(Aggreg!E246*Loads!E310+Aggreg!F246*Loads!F310)+10*(Aggreg!B246*Loads!B310+Aggreg!C246*Loads!C310+Aggreg!D246*Loads!D310+Aggreg!G246*Loads!G310)</f>
        <v>82241.292360405525</v>
      </c>
      <c r="C29" s="17"/>
    </row>
    <row r="30" spans="1:3" x14ac:dyDescent="0.25">
      <c r="A30" s="4" t="s">
        <v>177</v>
      </c>
      <c r="B30" s="21">
        <f>0.01*Input!F$58*(Aggreg!E247*Loads!E311+Aggreg!F247*Loads!F311)+10*(Aggreg!B247*Loads!B311+Aggreg!C247*Loads!C311+Aggreg!D247*Loads!D311+Aggreg!G247*Loads!G311)</f>
        <v>0</v>
      </c>
      <c r="C30" s="17"/>
    </row>
    <row r="31" spans="1:3" x14ac:dyDescent="0.25">
      <c r="A31" s="4" t="s">
        <v>178</v>
      </c>
      <c r="B31" s="21">
        <f>0.01*Input!F$58*(Aggreg!E248*Loads!E312+Aggreg!F248*Loads!F312)+10*(Aggreg!B248*Loads!B312+Aggreg!C248*Loads!C312+Aggreg!D248*Loads!D312+Aggreg!G248*Loads!G312)</f>
        <v>7951704.7987707695</v>
      </c>
      <c r="C31" s="17"/>
    </row>
    <row r="32" spans="1:3" x14ac:dyDescent="0.25">
      <c r="A32" s="4" t="s">
        <v>179</v>
      </c>
      <c r="B32" s="21">
        <f>0.01*Input!F$58*(Aggreg!E249*Loads!E313+Aggreg!F249*Loads!F313)+10*(Aggreg!B249*Loads!B313+Aggreg!C249*Loads!C313+Aggreg!D249*Loads!D313+Aggreg!G249*Loads!G313)</f>
        <v>42451466.234700836</v>
      </c>
      <c r="C32" s="17"/>
    </row>
    <row r="33" spans="1:3" x14ac:dyDescent="0.25">
      <c r="A33" s="4" t="s">
        <v>180</v>
      </c>
      <c r="B33" s="21">
        <f>0.01*Input!F$58*(Aggreg!E250*Loads!E314+Aggreg!F250*Loads!F314)+10*(Aggreg!B250*Loads!B314+Aggreg!C250*Loads!C314+Aggreg!D250*Loads!D314+Aggreg!G250*Loads!G314)</f>
        <v>19247507.247769877</v>
      </c>
      <c r="C33" s="17"/>
    </row>
    <row r="34" spans="1:3" x14ac:dyDescent="0.25">
      <c r="A34" s="4" t="s">
        <v>193</v>
      </c>
      <c r="B34" s="21">
        <f>0.01*Input!F$58*(Aggreg!E251*Loads!E315+Aggreg!F251*Loads!F315)+10*(Aggreg!B251*Loads!B315+Aggreg!C251*Loads!C315+Aggreg!D251*Loads!D315+Aggreg!G251*Loads!G315)</f>
        <v>45666974.95278503</v>
      </c>
      <c r="C34" s="17"/>
    </row>
    <row r="35" spans="1:3" x14ac:dyDescent="0.25">
      <c r="A35" s="4" t="s">
        <v>215</v>
      </c>
      <c r="B35" s="21">
        <f>0.01*Input!F$58*(Aggreg!E252*Loads!E316+Aggreg!F252*Loads!F316)+10*(Aggreg!B252*Loads!B316+Aggreg!C252*Loads!C316+Aggreg!D252*Loads!D316+Aggreg!G252*Loads!G316)</f>
        <v>939870.99053910305</v>
      </c>
      <c r="C35" s="17"/>
    </row>
    <row r="36" spans="1:3" x14ac:dyDescent="0.25">
      <c r="A36" s="4" t="s">
        <v>216</v>
      </c>
      <c r="B36" s="21">
        <f>0.01*Input!F$58*(Aggreg!E253*Loads!E317+Aggreg!F253*Loads!F317)+10*(Aggreg!B253*Loads!B317+Aggreg!C253*Loads!C317+Aggreg!D253*Loads!D317+Aggreg!G253*Loads!G317)</f>
        <v>281548.28748256323</v>
      </c>
      <c r="C36" s="17"/>
    </row>
    <row r="37" spans="1:3" x14ac:dyDescent="0.25">
      <c r="A37" s="4" t="s">
        <v>217</v>
      </c>
      <c r="B37" s="21">
        <f>0.01*Input!F$58*(Aggreg!E254*Loads!E318+Aggreg!F254*Loads!F318)+10*(Aggreg!B254*Loads!B318+Aggreg!C254*Loads!C318+Aggreg!D254*Loads!D318+Aggreg!G254*Loads!G318)</f>
        <v>10096.748122470879</v>
      </c>
      <c r="C37" s="17"/>
    </row>
    <row r="38" spans="1:3" x14ac:dyDescent="0.25">
      <c r="A38" s="4" t="s">
        <v>218</v>
      </c>
      <c r="B38" s="21">
        <f>0.01*Input!F$58*(Aggreg!E255*Loads!E319+Aggreg!F255*Loads!F319)+10*(Aggreg!B255*Loads!B319+Aggreg!C255*Loads!C319+Aggreg!D255*Loads!D319+Aggreg!G255*Loads!G319)</f>
        <v>1.9485151516849852</v>
      </c>
      <c r="C38" s="17"/>
    </row>
    <row r="39" spans="1:3" x14ac:dyDescent="0.25">
      <c r="A39" s="4" t="s">
        <v>219</v>
      </c>
      <c r="B39" s="21">
        <f>0.01*Input!F$58*(Aggreg!E256*Loads!E320+Aggreg!F256*Loads!F320)+10*(Aggreg!B256*Loads!B320+Aggreg!C256*Loads!C320+Aggreg!D256*Loads!D320+Aggreg!G256*Loads!G320)</f>
        <v>7583272.5275015039</v>
      </c>
      <c r="C39" s="17"/>
    </row>
    <row r="40" spans="1:3" x14ac:dyDescent="0.25">
      <c r="A40" s="4" t="s">
        <v>181</v>
      </c>
      <c r="B40" s="21">
        <f>0.01*Input!F$58*(Aggreg!E257*Loads!E321+Aggreg!F257*Loads!F321)+10*(Aggreg!B257*Loads!B321+Aggreg!C257*Loads!C321+Aggreg!D257*Loads!D321+Aggreg!G257*Loads!G321)</f>
        <v>-6955.0977549324116</v>
      </c>
      <c r="C40" s="17"/>
    </row>
    <row r="41" spans="1:3" x14ac:dyDescent="0.25">
      <c r="A41" s="4" t="s">
        <v>182</v>
      </c>
      <c r="B41" s="21">
        <f>0.01*Input!F$58*(Aggreg!E258*Loads!E322+Aggreg!F258*Loads!F322)+10*(Aggreg!B258*Loads!B322+Aggreg!C258*Loads!C322+Aggreg!D258*Loads!D322+Aggreg!G258*Loads!G322)</f>
        <v>0</v>
      </c>
      <c r="C41" s="17"/>
    </row>
    <row r="42" spans="1:3" x14ac:dyDescent="0.25">
      <c r="A42" s="4" t="s">
        <v>183</v>
      </c>
      <c r="B42" s="21">
        <f>0.01*Input!F$58*(Aggreg!E259*Loads!E323+Aggreg!F259*Loads!F323)+10*(Aggreg!B259*Loads!B323+Aggreg!C259*Loads!C323+Aggreg!D259*Loads!D323+Aggreg!G259*Loads!G323)</f>
        <v>-263279.50211157172</v>
      </c>
      <c r="C42" s="17"/>
    </row>
    <row r="43" spans="1:3" x14ac:dyDescent="0.25">
      <c r="A43" s="4" t="s">
        <v>184</v>
      </c>
      <c r="B43" s="21">
        <f>0.01*Input!F$58*(Aggreg!E260*Loads!E324+Aggreg!F260*Loads!F324)+10*(Aggreg!B260*Loads!B324+Aggreg!C260*Loads!C324+Aggreg!D260*Loads!D324+Aggreg!G260*Loads!G324)</f>
        <v>-20806.266477911813</v>
      </c>
      <c r="C43" s="17"/>
    </row>
    <row r="44" spans="1:3" x14ac:dyDescent="0.25">
      <c r="A44" s="4" t="s">
        <v>185</v>
      </c>
      <c r="B44" s="21">
        <f>0.01*Input!F$58*(Aggreg!E261*Loads!E325+Aggreg!F261*Loads!F325)+10*(Aggreg!B261*Loads!B325+Aggreg!C261*Loads!C325+Aggreg!D261*Loads!D325+Aggreg!G261*Loads!G325)</f>
        <v>-10247.600817076511</v>
      </c>
      <c r="C44" s="17"/>
    </row>
    <row r="45" spans="1:3" x14ac:dyDescent="0.25">
      <c r="A45" s="4" t="s">
        <v>186</v>
      </c>
      <c r="B45" s="21">
        <f>0.01*Input!F$58*(Aggreg!E262*Loads!E326+Aggreg!F262*Loads!F326)+10*(Aggreg!B262*Loads!B326+Aggreg!C262*Loads!C326+Aggreg!D262*Loads!D326+Aggreg!G262*Loads!G326)</f>
        <v>-2215.0171306217203</v>
      </c>
      <c r="C45" s="17"/>
    </row>
    <row r="46" spans="1:3" x14ac:dyDescent="0.25">
      <c r="A46" s="4" t="s">
        <v>194</v>
      </c>
      <c r="B46" s="21">
        <f>0.01*Input!F$58*(Aggreg!E263*Loads!E327+Aggreg!F263*Loads!F327)+10*(Aggreg!B263*Loads!B327+Aggreg!C263*Loads!C327+Aggreg!D263*Loads!D327+Aggreg!G263*Loads!G327)</f>
        <v>-1841575.7539301878</v>
      </c>
      <c r="C46" s="17"/>
    </row>
    <row r="47" spans="1:3" x14ac:dyDescent="0.25">
      <c r="A47" s="4" t="s">
        <v>195</v>
      </c>
      <c r="B47" s="21">
        <f>0.01*Input!F$58*(Aggreg!E264*Loads!E328+Aggreg!F264*Loads!F328)+10*(Aggreg!B264*Loads!B328+Aggreg!C264*Loads!C328+Aggreg!D264*Loads!D328+Aggreg!G264*Loads!G328)</f>
        <v>-2594509.539817194</v>
      </c>
      <c r="C47" s="17"/>
    </row>
    <row r="49" spans="1:4" ht="21" customHeight="1" x14ac:dyDescent="0.3">
      <c r="A49" s="1" t="s">
        <v>1114</v>
      </c>
    </row>
    <row r="50" spans="1:4" x14ac:dyDescent="0.25">
      <c r="A50" s="2" t="s">
        <v>350</v>
      </c>
    </row>
    <row r="51" spans="1:4" x14ac:dyDescent="0.25">
      <c r="A51" s="32" t="s">
        <v>1115</v>
      </c>
    </row>
    <row r="52" spans="1:4" x14ac:dyDescent="0.25">
      <c r="A52" s="32" t="s">
        <v>1116</v>
      </c>
    </row>
    <row r="53" spans="1:4" x14ac:dyDescent="0.25">
      <c r="A53" s="32" t="s">
        <v>1117</v>
      </c>
    </row>
    <row r="54" spans="1:4" x14ac:dyDescent="0.25">
      <c r="A54" s="33" t="s">
        <v>353</v>
      </c>
      <c r="B54" s="33" t="s">
        <v>421</v>
      </c>
      <c r="C54" s="33" t="s">
        <v>483</v>
      </c>
    </row>
    <row r="55" spans="1:4" x14ac:dyDescent="0.25">
      <c r="A55" s="33" t="s">
        <v>356</v>
      </c>
      <c r="B55" s="33" t="s">
        <v>1118</v>
      </c>
      <c r="C55" s="33" t="s">
        <v>1119</v>
      </c>
    </row>
    <row r="57" spans="1:4" ht="30" x14ac:dyDescent="0.25">
      <c r="B57" s="15" t="s">
        <v>1120</v>
      </c>
      <c r="C57" s="15" t="s">
        <v>1121</v>
      </c>
    </row>
    <row r="58" spans="1:4" x14ac:dyDescent="0.25">
      <c r="A58" s="4" t="s">
        <v>49</v>
      </c>
      <c r="B58" s="21">
        <f>Input!E12*Input!E13-Input!E14+Input!E16+Input!E17+Input!E18+Input!E19+Input!E20+Input!E22+Input!E23+Input!E24+Input!E25+Input!E26+Input!E27+Input!E28+Input!E29+Input!E30+Input!E31+Input!E32+Input!E33+Input!E35+Input!E36+Input!E38+Input!E39+Input!E40+Input!E41+Input!E42-Input!E45-Input!E46-Input!E47-Input!E48</f>
        <v>382984944.81731534</v>
      </c>
      <c r="C58" s="21">
        <f>B58-Input!F$50</f>
        <v>0</v>
      </c>
      <c r="D58" s="17"/>
    </row>
    <row r="60" spans="1:4" ht="21" customHeight="1" x14ac:dyDescent="0.3">
      <c r="A60" s="1" t="s">
        <v>1122</v>
      </c>
    </row>
    <row r="61" spans="1:4" x14ac:dyDescent="0.25">
      <c r="A61" s="2" t="s">
        <v>350</v>
      </c>
    </row>
    <row r="62" spans="1:4" x14ac:dyDescent="0.25">
      <c r="A62" s="32" t="s">
        <v>1123</v>
      </c>
    </row>
    <row r="63" spans="1:4" x14ac:dyDescent="0.25">
      <c r="A63" s="32" t="s">
        <v>1124</v>
      </c>
    </row>
    <row r="64" spans="1:4" x14ac:dyDescent="0.25">
      <c r="A64" s="32" t="s">
        <v>1125</v>
      </c>
    </row>
    <row r="65" spans="1:4" x14ac:dyDescent="0.25">
      <c r="A65" s="33" t="s">
        <v>353</v>
      </c>
      <c r="B65" s="33" t="s">
        <v>484</v>
      </c>
      <c r="C65" s="33" t="s">
        <v>483</v>
      </c>
    </row>
    <row r="66" spans="1:4" x14ac:dyDescent="0.25">
      <c r="A66" s="33" t="s">
        <v>356</v>
      </c>
      <c r="B66" s="33" t="s">
        <v>534</v>
      </c>
      <c r="C66" s="33" t="s">
        <v>1119</v>
      </c>
    </row>
    <row r="68" spans="1:4" ht="30" x14ac:dyDescent="0.25">
      <c r="B68" s="15" t="s">
        <v>1126</v>
      </c>
      <c r="C68" s="15" t="s">
        <v>1127</v>
      </c>
    </row>
    <row r="69" spans="1:4" x14ac:dyDescent="0.25">
      <c r="A69" s="4" t="s">
        <v>1128</v>
      </c>
      <c r="B69" s="21">
        <f>SUM(B$21:B$47)</f>
        <v>303400500.56248069</v>
      </c>
      <c r="C69" s="21">
        <f>B$58-B69</f>
        <v>79584444.254834652</v>
      </c>
      <c r="D69" s="17"/>
    </row>
  </sheetData>
  <sheetProtection sheet="1" objects="1" scenarios="1"/>
  <hyperlinks>
    <hyperlink ref="A5" location="'Input'!F57" display="x1 = 1010. Days in the charging year (in Financial and general assumptions)"/>
    <hyperlink ref="A6" location="'Aggreg'!E237" display="x2 = 3307. Fixed charge p/MPAN/day (total) (in Summary of charges before revenue matching)"/>
    <hyperlink ref="A7" location="'Loads'!E301" display="x3 = 2305. MPANs (in Equivalent volume for each end user)"/>
    <hyperlink ref="A8" location="'Aggreg'!F237" display="x4 = 3307. Capacity charge p/kVA/day (total) (in Summary of charges before revenue matching)"/>
    <hyperlink ref="A9" location="'Loads'!F301" display="x5 = 2305. Import capacity (kVA) (in Equivalent volume for each end user)"/>
    <hyperlink ref="A10" location="'Aggreg'!B237" display="x6 = 3307. Unit rate 1 p/kWh (total) (in Summary of charges before revenue matching)"/>
    <hyperlink ref="A11" location="'Loads'!B301" display="x7 = 2305. Rate 1 units (MWh) (in Equivalent volume for each end user)"/>
    <hyperlink ref="A12" location="'Aggreg'!C237" display="x8 = 3307. Unit rate 2 p/kWh (total) (in Summary of charges before revenue matching)"/>
    <hyperlink ref="A13" location="'Loads'!C301" display="x9 = 2305. Rate 2 units (MWh) (in Equivalent volume for each end user)"/>
    <hyperlink ref="A14" location="'Aggreg'!D237" display="x10 = 3307. Unit rate 3 p/kWh (total) (in Summary of charges before revenue matching)"/>
    <hyperlink ref="A15" location="'Loads'!D301" display="x11 = 2305. Rate 3 units (MWh) (in Equivalent volume for each end user)"/>
    <hyperlink ref="A16" location="'Aggreg'!G237" display="x12 = 3307. Reactive power charge p/kVArh (in Summary of charges before revenue matching)"/>
    <hyperlink ref="A17" location="'Loads'!G301" display="x13 = 2305. Reactive power units (MVArh) (in Equivalent volume for each end user)"/>
    <hyperlink ref="A51" location="'Input'!E11" display="x1 = 1001. Value (in CDCM target revenue (monetary amounts in £))"/>
    <hyperlink ref="A52" location="'Revenue'!B57" display="x2 = Target CDCM revenue (£/year) (in Target CDCM revenue)"/>
    <hyperlink ref="A53" location="'Input'!F11" display="x3 = 1001. Revenue elements and subtotals (£/year) (in CDCM target revenue (monetary amounts in £))"/>
    <hyperlink ref="A62" location="'Revenue'!B20" display="x1 = 3401. Net revenues by tariff before matching (£)"/>
    <hyperlink ref="A63" location="'Revenue'!B57" display="x2 = 3402. Target CDCM revenue (£/year) (in Target CDCM revenue)"/>
    <hyperlink ref="A64" location="'Revenue'!B68" display="x3 = Total net revenues before matching (£) (in Revenue surplus or shortfall)"/>
  </hyperlinks>
  <pageMargins left="0.7" right="0.7" top="0.75" bottom="0.75" header="0.3" footer="0.3"/>
  <pageSetup paperSize="9" fitToHeight="0" orientation="portrait"/>
  <headerFooter>
    <oddHeader>&amp;L&amp;A&amp;C&amp;R&amp;P of &amp;N</oddHeader>
    <oddFooter>&amp;F</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442"/>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x14ac:dyDescent="0.25"/>
  <cols>
    <col min="1" max="1" width="50.7109375" customWidth="1"/>
    <col min="2" max="251" width="21.7109375" customWidth="1"/>
  </cols>
  <sheetData>
    <row r="1" spans="1:3" ht="21" customHeight="1" x14ac:dyDescent="0.3">
      <c r="A1" s="1" t="str">
        <f>"Revenue matching for "&amp;Input!B7&amp;" in "&amp;Input!C7&amp;" ("&amp;Input!D7&amp;")"</f>
        <v>Revenue matching for Electricity North West in 2017/2018 (December 2015)</v>
      </c>
    </row>
    <row r="2" spans="1:3" x14ac:dyDescent="0.25">
      <c r="A2" s="2" t="s">
        <v>1129</v>
      </c>
    </row>
    <row r="4" spans="1:3" ht="21" customHeight="1" x14ac:dyDescent="0.3">
      <c r="A4" s="1" t="s">
        <v>1130</v>
      </c>
    </row>
    <row r="5" spans="1:3" x14ac:dyDescent="0.25">
      <c r="A5" s="2" t="s">
        <v>350</v>
      </c>
    </row>
    <row r="6" spans="1:3" x14ac:dyDescent="0.25">
      <c r="A6" s="32" t="s">
        <v>971</v>
      </c>
    </row>
    <row r="7" spans="1:3" x14ac:dyDescent="0.25">
      <c r="A7" s="2" t="s">
        <v>1131</v>
      </c>
    </row>
    <row r="9" spans="1:3" ht="30" x14ac:dyDescent="0.25">
      <c r="B9" s="15" t="s">
        <v>301</v>
      </c>
    </row>
    <row r="10" spans="1:3" x14ac:dyDescent="0.25">
      <c r="A10" s="4" t="s">
        <v>1132</v>
      </c>
      <c r="B10" s="37">
        <f>IF(Yard!$K11,1/Yard!$K11,0)</f>
        <v>0.20006094899140678</v>
      </c>
      <c r="C10" s="17"/>
    </row>
    <row r="12" spans="1:3" ht="21" customHeight="1" x14ac:dyDescent="0.3">
      <c r="A12" s="1" t="s">
        <v>1133</v>
      </c>
    </row>
    <row r="13" spans="1:3" x14ac:dyDescent="0.25">
      <c r="A13" s="2" t="s">
        <v>350</v>
      </c>
    </row>
    <row r="14" spans="1:3" x14ac:dyDescent="0.25">
      <c r="A14" s="32" t="s">
        <v>1134</v>
      </c>
    </row>
    <row r="15" spans="1:3" x14ac:dyDescent="0.25">
      <c r="A15" s="2" t="s">
        <v>1135</v>
      </c>
    </row>
    <row r="16" spans="1:3" x14ac:dyDescent="0.25">
      <c r="A16" s="2" t="s">
        <v>368</v>
      </c>
    </row>
    <row r="18" spans="1:24" ht="30" x14ac:dyDescent="0.25">
      <c r="B18" s="15" t="s">
        <v>139</v>
      </c>
      <c r="C18" s="15" t="s">
        <v>313</v>
      </c>
      <c r="D18" s="15" t="s">
        <v>314</v>
      </c>
      <c r="E18" s="15" t="s">
        <v>315</v>
      </c>
      <c r="F18" s="15" t="s">
        <v>316</v>
      </c>
      <c r="G18" s="15" t="s">
        <v>317</v>
      </c>
      <c r="H18" s="15" t="s">
        <v>318</v>
      </c>
      <c r="I18" s="15" t="s">
        <v>319</v>
      </c>
      <c r="J18" s="15" t="s">
        <v>320</v>
      </c>
      <c r="K18" s="15" t="s">
        <v>462</v>
      </c>
      <c r="L18" s="15" t="s">
        <v>474</v>
      </c>
      <c r="M18" s="15" t="s">
        <v>301</v>
      </c>
      <c r="N18" s="15" t="s">
        <v>876</v>
      </c>
      <c r="O18" s="15" t="s">
        <v>877</v>
      </c>
      <c r="P18" s="15" t="s">
        <v>878</v>
      </c>
      <c r="Q18" s="15" t="s">
        <v>879</v>
      </c>
      <c r="R18" s="15" t="s">
        <v>880</v>
      </c>
      <c r="S18" s="15" t="s">
        <v>881</v>
      </c>
      <c r="T18" s="15" t="s">
        <v>882</v>
      </c>
      <c r="U18" s="15" t="s">
        <v>883</v>
      </c>
      <c r="V18" s="15" t="s">
        <v>884</v>
      </c>
      <c r="W18" s="15" t="s">
        <v>885</v>
      </c>
    </row>
    <row r="19" spans="1:24" x14ac:dyDescent="0.25">
      <c r="A19" s="4" t="s">
        <v>1136</v>
      </c>
      <c r="B19" s="28">
        <v>0</v>
      </c>
      <c r="C19" s="28">
        <v>0</v>
      </c>
      <c r="D19" s="28">
        <v>0</v>
      </c>
      <c r="E19" s="28">
        <v>0</v>
      </c>
      <c r="F19" s="28">
        <v>0</v>
      </c>
      <c r="G19" s="28">
        <v>0</v>
      </c>
      <c r="H19" s="28">
        <v>0</v>
      </c>
      <c r="I19" s="28">
        <v>0</v>
      </c>
      <c r="J19" s="28">
        <v>0</v>
      </c>
      <c r="K19" s="28">
        <v>0</v>
      </c>
      <c r="L19" s="28">
        <v>0</v>
      </c>
      <c r="M19" s="38">
        <f>$B10</f>
        <v>0.20006094899140678</v>
      </c>
      <c r="N19" s="28">
        <v>0</v>
      </c>
      <c r="O19" s="28">
        <v>0</v>
      </c>
      <c r="P19" s="28">
        <v>0</v>
      </c>
      <c r="Q19" s="28">
        <v>0</v>
      </c>
      <c r="R19" s="28">
        <v>0</v>
      </c>
      <c r="S19" s="28">
        <v>0</v>
      </c>
      <c r="T19" s="28">
        <v>0</v>
      </c>
      <c r="U19" s="28">
        <v>0</v>
      </c>
      <c r="V19" s="28">
        <v>0</v>
      </c>
      <c r="W19" s="28">
        <v>0</v>
      </c>
      <c r="X19" s="17"/>
    </row>
    <row r="21" spans="1:24" ht="21" customHeight="1" x14ac:dyDescent="0.3">
      <c r="A21" s="1" t="s">
        <v>1137</v>
      </c>
    </row>
    <row r="22" spans="1:24" x14ac:dyDescent="0.25">
      <c r="A22" s="2" t="s">
        <v>350</v>
      </c>
    </row>
    <row r="23" spans="1:24" x14ac:dyDescent="0.25">
      <c r="A23" s="32" t="s">
        <v>1087</v>
      </c>
    </row>
    <row r="24" spans="1:24" x14ac:dyDescent="0.25">
      <c r="A24" s="32" t="s">
        <v>1138</v>
      </c>
    </row>
    <row r="25" spans="1:24" x14ac:dyDescent="0.25">
      <c r="A25" s="32" t="s">
        <v>1139</v>
      </c>
    </row>
    <row r="26" spans="1:24" x14ac:dyDescent="0.25">
      <c r="A26" s="32" t="s">
        <v>1140</v>
      </c>
    </row>
    <row r="27" spans="1:24" x14ac:dyDescent="0.25">
      <c r="A27" s="32" t="s">
        <v>1141</v>
      </c>
    </row>
    <row r="28" spans="1:24" x14ac:dyDescent="0.25">
      <c r="A28" s="32" t="s">
        <v>1142</v>
      </c>
    </row>
    <row r="29" spans="1:24" x14ac:dyDescent="0.25">
      <c r="A29" s="32" t="s">
        <v>1143</v>
      </c>
    </row>
    <row r="30" spans="1:24" ht="30" x14ac:dyDescent="0.25">
      <c r="A30" s="33" t="s">
        <v>353</v>
      </c>
      <c r="B30" s="33" t="s">
        <v>355</v>
      </c>
      <c r="C30" s="33" t="s">
        <v>355</v>
      </c>
      <c r="D30" s="33" t="s">
        <v>355</v>
      </c>
      <c r="E30" s="33" t="s">
        <v>355</v>
      </c>
      <c r="F30" s="33" t="s">
        <v>355</v>
      </c>
      <c r="G30" s="33" t="s">
        <v>355</v>
      </c>
    </row>
    <row r="31" spans="1:24" x14ac:dyDescent="0.25">
      <c r="A31" s="33" t="s">
        <v>356</v>
      </c>
      <c r="B31" s="33" t="s">
        <v>358</v>
      </c>
      <c r="C31" s="33" t="s">
        <v>1144</v>
      </c>
      <c r="D31" s="33" t="s">
        <v>1145</v>
      </c>
      <c r="E31" s="33" t="s">
        <v>1146</v>
      </c>
      <c r="F31" s="33" t="s">
        <v>1147</v>
      </c>
      <c r="G31" s="33" t="s">
        <v>1148</v>
      </c>
    </row>
    <row r="33" spans="1:8" ht="45" x14ac:dyDescent="0.25">
      <c r="B33" s="15" t="s">
        <v>1149</v>
      </c>
      <c r="C33" s="15" t="s">
        <v>1150</v>
      </c>
      <c r="D33" s="15" t="s">
        <v>1151</v>
      </c>
      <c r="E33" s="15" t="s">
        <v>1152</v>
      </c>
      <c r="F33" s="15" t="s">
        <v>1153</v>
      </c>
      <c r="G33" s="15" t="s">
        <v>1154</v>
      </c>
    </row>
    <row r="34" spans="1:8" x14ac:dyDescent="0.25">
      <c r="A34" s="4" t="s">
        <v>171</v>
      </c>
      <c r="B34" s="37">
        <f>SUMPRODUCT(Aggreg!$B15:$W15,$B$19:$W$19)</f>
        <v>2.459293746042699E-2</v>
      </c>
      <c r="C34" s="37">
        <f>SUMPRODUCT(Aggreg!$B53:$W53,$B$19:$W$19)</f>
        <v>0</v>
      </c>
      <c r="D34" s="37">
        <f>SUMPRODUCT(Aggreg!$B91:$W91,$B$19:$W$19)</f>
        <v>0</v>
      </c>
      <c r="E34" s="37">
        <f>SUMPRODUCT(Aggreg!$B129:$W129,$B$19:$W$19)</f>
        <v>0</v>
      </c>
      <c r="F34" s="37">
        <f>SUMPRODUCT(Aggreg!$B163:$W163,$B$19:$W$19)</f>
        <v>0</v>
      </c>
      <c r="G34" s="37">
        <f>SUMPRODUCT(Aggreg!$B198:$W198,$B$19:$W$19)</f>
        <v>0</v>
      </c>
      <c r="H34" s="17"/>
    </row>
    <row r="35" spans="1:8" x14ac:dyDescent="0.25">
      <c r="A35" s="4" t="s">
        <v>172</v>
      </c>
      <c r="B35" s="37">
        <f>SUMPRODUCT(Aggreg!$B16:$W16,$B$19:$W$19)</f>
        <v>2.9428015462595478E-2</v>
      </c>
      <c r="C35" s="37">
        <f>SUMPRODUCT(Aggreg!$B54:$W54,$B$19:$W$19)</f>
        <v>5.6015273403943705E-4</v>
      </c>
      <c r="D35" s="37">
        <f>SUMPRODUCT(Aggreg!$B92:$W92,$B$19:$W$19)</f>
        <v>0</v>
      </c>
      <c r="E35" s="37">
        <f>SUMPRODUCT(Aggreg!$B130:$W130,$B$19:$W$19)</f>
        <v>0</v>
      </c>
      <c r="F35" s="37">
        <f>SUMPRODUCT(Aggreg!$B164:$W164,$B$19:$W$19)</f>
        <v>0</v>
      </c>
      <c r="G35" s="37">
        <f>SUMPRODUCT(Aggreg!$B199:$W199,$B$19:$W$19)</f>
        <v>0</v>
      </c>
      <c r="H35" s="17"/>
    </row>
    <row r="36" spans="1:8" x14ac:dyDescent="0.25">
      <c r="A36" s="4" t="s">
        <v>213</v>
      </c>
      <c r="B36" s="37">
        <f>SUMPRODUCT(Aggreg!$B17:$W17,$B$19:$W$19)</f>
        <v>1.3672733604008259E-3</v>
      </c>
      <c r="C36" s="37">
        <f>SUMPRODUCT(Aggreg!$B55:$W55,$B$19:$W$19)</f>
        <v>0</v>
      </c>
      <c r="D36" s="37">
        <f>SUMPRODUCT(Aggreg!$B93:$W93,$B$19:$W$19)</f>
        <v>0</v>
      </c>
      <c r="E36" s="37">
        <f>SUMPRODUCT(Aggreg!$B131:$W131,$B$19:$W$19)</f>
        <v>0</v>
      </c>
      <c r="F36" s="37">
        <f>SUMPRODUCT(Aggreg!$B165:$W165,$B$19:$W$19)</f>
        <v>0</v>
      </c>
      <c r="G36" s="37">
        <f>SUMPRODUCT(Aggreg!$B200:$W200,$B$19:$W$19)</f>
        <v>0</v>
      </c>
      <c r="H36" s="17"/>
    </row>
    <row r="37" spans="1:8" x14ac:dyDescent="0.25">
      <c r="A37" s="4" t="s">
        <v>173</v>
      </c>
      <c r="B37" s="37">
        <f>SUMPRODUCT(Aggreg!$B18:$W18,$B$19:$W$19)</f>
        <v>2.2061923895000734E-2</v>
      </c>
      <c r="C37" s="37">
        <f>SUMPRODUCT(Aggreg!$B56:$W56,$B$19:$W$19)</f>
        <v>0</v>
      </c>
      <c r="D37" s="37">
        <f>SUMPRODUCT(Aggreg!$B94:$W94,$B$19:$W$19)</f>
        <v>0</v>
      </c>
      <c r="E37" s="37">
        <f>SUMPRODUCT(Aggreg!$B132:$W132,$B$19:$W$19)</f>
        <v>0</v>
      </c>
      <c r="F37" s="37">
        <f>SUMPRODUCT(Aggreg!$B166:$W166,$B$19:$W$19)</f>
        <v>0</v>
      </c>
      <c r="G37" s="37">
        <f>SUMPRODUCT(Aggreg!$B201:$W201,$B$19:$W$19)</f>
        <v>0</v>
      </c>
      <c r="H37" s="17"/>
    </row>
    <row r="38" spans="1:8" x14ac:dyDescent="0.25">
      <c r="A38" s="4" t="s">
        <v>174</v>
      </c>
      <c r="B38" s="37">
        <f>SUMPRODUCT(Aggreg!$B19:$W19,$B$19:$W$19)</f>
        <v>2.3061771777952707E-2</v>
      </c>
      <c r="C38" s="37">
        <f>SUMPRODUCT(Aggreg!$B57:$W57,$B$19:$W$19)</f>
        <v>4.6978159745570411E-4</v>
      </c>
      <c r="D38" s="37">
        <f>SUMPRODUCT(Aggreg!$B95:$W95,$B$19:$W$19)</f>
        <v>0</v>
      </c>
      <c r="E38" s="37">
        <f>SUMPRODUCT(Aggreg!$B133:$W133,$B$19:$W$19)</f>
        <v>0</v>
      </c>
      <c r="F38" s="37">
        <f>SUMPRODUCT(Aggreg!$B167:$W167,$B$19:$W$19)</f>
        <v>0</v>
      </c>
      <c r="G38" s="37">
        <f>SUMPRODUCT(Aggreg!$B202:$W202,$B$19:$W$19)</f>
        <v>0</v>
      </c>
      <c r="H38" s="17"/>
    </row>
    <row r="39" spans="1:8" x14ac:dyDescent="0.25">
      <c r="A39" s="4" t="s">
        <v>214</v>
      </c>
      <c r="B39" s="37">
        <f>SUMPRODUCT(Aggreg!$B20:$W20,$B$19:$W$19)</f>
        <v>7.4236819795437553E-4</v>
      </c>
      <c r="C39" s="37">
        <f>SUMPRODUCT(Aggreg!$B58:$W58,$B$19:$W$19)</f>
        <v>0</v>
      </c>
      <c r="D39" s="37">
        <f>SUMPRODUCT(Aggreg!$B96:$W96,$B$19:$W$19)</f>
        <v>0</v>
      </c>
      <c r="E39" s="37">
        <f>SUMPRODUCT(Aggreg!$B134:$W134,$B$19:$W$19)</f>
        <v>0</v>
      </c>
      <c r="F39" s="37">
        <f>SUMPRODUCT(Aggreg!$B168:$W168,$B$19:$W$19)</f>
        <v>0</v>
      </c>
      <c r="G39" s="37">
        <f>SUMPRODUCT(Aggreg!$B203:$W203,$B$19:$W$19)</f>
        <v>0</v>
      </c>
      <c r="H39" s="17"/>
    </row>
    <row r="40" spans="1:8" x14ac:dyDescent="0.25">
      <c r="A40" s="4" t="s">
        <v>175</v>
      </c>
      <c r="B40" s="37">
        <f>SUMPRODUCT(Aggreg!$B21:$W21,$B$19:$W$19)</f>
        <v>1.9251198674773241E-2</v>
      </c>
      <c r="C40" s="37">
        <f>SUMPRODUCT(Aggreg!$B59:$W59,$B$19:$W$19)</f>
        <v>3.5554801775290642E-4</v>
      </c>
      <c r="D40" s="37">
        <f>SUMPRODUCT(Aggreg!$B97:$W97,$B$19:$W$19)</f>
        <v>0</v>
      </c>
      <c r="E40" s="37">
        <f>SUMPRODUCT(Aggreg!$B135:$W135,$B$19:$W$19)</f>
        <v>0</v>
      </c>
      <c r="F40" s="37">
        <f>SUMPRODUCT(Aggreg!$B169:$W169,$B$19:$W$19)</f>
        <v>0</v>
      </c>
      <c r="G40" s="37">
        <f>SUMPRODUCT(Aggreg!$B204:$W204,$B$19:$W$19)</f>
        <v>0</v>
      </c>
      <c r="H40" s="17"/>
    </row>
    <row r="41" spans="1:8" x14ac:dyDescent="0.25">
      <c r="A41" s="4" t="s">
        <v>176</v>
      </c>
      <c r="B41" s="37">
        <f>SUMPRODUCT(Aggreg!$B22:$W22,$B$19:$W$19)</f>
        <v>1.8058248114174648E-2</v>
      </c>
      <c r="C41" s="37">
        <f>SUMPRODUCT(Aggreg!$B60:$W60,$B$19:$W$19)</f>
        <v>3.3869236432051703E-4</v>
      </c>
      <c r="D41" s="37">
        <f>SUMPRODUCT(Aggreg!$B98:$W98,$B$19:$W$19)</f>
        <v>0</v>
      </c>
      <c r="E41" s="37">
        <f>SUMPRODUCT(Aggreg!$B136:$W136,$B$19:$W$19)</f>
        <v>0</v>
      </c>
      <c r="F41" s="37">
        <f>SUMPRODUCT(Aggreg!$B170:$W170,$B$19:$W$19)</f>
        <v>0</v>
      </c>
      <c r="G41" s="37">
        <f>SUMPRODUCT(Aggreg!$B205:$W205,$B$19:$W$19)</f>
        <v>0</v>
      </c>
      <c r="H41" s="17"/>
    </row>
    <row r="42" spans="1:8" x14ac:dyDescent="0.25">
      <c r="A42" s="4" t="s">
        <v>192</v>
      </c>
      <c r="B42" s="37">
        <f>SUMPRODUCT(Aggreg!$B23:$W23,$B$19:$W$19)</f>
        <v>2.2136750929647488E-2</v>
      </c>
      <c r="C42" s="37">
        <f>SUMPRODUCT(Aggreg!$B61:$W61,$B$19:$W$19)</f>
        <v>4.2239384254552821E-4</v>
      </c>
      <c r="D42" s="37">
        <f>SUMPRODUCT(Aggreg!$B99:$W99,$B$19:$W$19)</f>
        <v>0</v>
      </c>
      <c r="E42" s="37">
        <f>SUMPRODUCT(Aggreg!$B137:$W137,$B$19:$W$19)</f>
        <v>0</v>
      </c>
      <c r="F42" s="37">
        <f>SUMPRODUCT(Aggreg!$B171:$W171,$B$19:$W$19)</f>
        <v>0</v>
      </c>
      <c r="G42" s="37">
        <f>SUMPRODUCT(Aggreg!$B206:$W206,$B$19:$W$19)</f>
        <v>0</v>
      </c>
      <c r="H42" s="17"/>
    </row>
    <row r="43" spans="1:8" x14ac:dyDescent="0.25">
      <c r="A43" s="4" t="s">
        <v>177</v>
      </c>
      <c r="B43" s="37">
        <f>SUMPRODUCT(Aggreg!$B24:$W24,$B$19:$W$19)</f>
        <v>0.1787253671895106</v>
      </c>
      <c r="C43" s="37">
        <f>SUMPRODUCT(Aggreg!$B62:$W62,$B$19:$W$19)</f>
        <v>5.6937530788503474E-3</v>
      </c>
      <c r="D43" s="37">
        <f>SUMPRODUCT(Aggreg!$B100:$W100,$B$19:$W$19)</f>
        <v>5.0341270437316793E-4</v>
      </c>
      <c r="E43" s="37">
        <f>SUMPRODUCT(Aggreg!$B138:$W138,$B$19:$W$19)</f>
        <v>0</v>
      </c>
      <c r="F43" s="37">
        <f>SUMPRODUCT(Aggreg!$B172:$W172,$B$19:$W$19)</f>
        <v>0</v>
      </c>
      <c r="G43" s="37">
        <f>SUMPRODUCT(Aggreg!$B207:$W207,$B$19:$W$19)</f>
        <v>0</v>
      </c>
      <c r="H43" s="17"/>
    </row>
    <row r="44" spans="1:8" x14ac:dyDescent="0.25">
      <c r="A44" s="4" t="s">
        <v>178</v>
      </c>
      <c r="B44" s="37">
        <f>SUMPRODUCT(Aggreg!$B25:$W25,$B$19:$W$19)</f>
        <v>0.17390000248438861</v>
      </c>
      <c r="C44" s="37">
        <f>SUMPRODUCT(Aggreg!$B63:$W63,$B$19:$W$19)</f>
        <v>5.5400287610413868E-3</v>
      </c>
      <c r="D44" s="37">
        <f>SUMPRODUCT(Aggreg!$B101:$W101,$B$19:$W$19)</f>
        <v>4.8982118161402589E-4</v>
      </c>
      <c r="E44" s="37">
        <f>SUMPRODUCT(Aggreg!$B139:$W139,$B$19:$W$19)</f>
        <v>0</v>
      </c>
      <c r="F44" s="37">
        <f>SUMPRODUCT(Aggreg!$B173:$W173,$B$19:$W$19)</f>
        <v>0</v>
      </c>
      <c r="G44" s="37">
        <f>SUMPRODUCT(Aggreg!$B208:$W208,$B$19:$W$19)</f>
        <v>0</v>
      </c>
      <c r="H44" s="17"/>
    </row>
    <row r="45" spans="1:8" x14ac:dyDescent="0.25">
      <c r="A45" s="4" t="s">
        <v>179</v>
      </c>
      <c r="B45" s="37">
        <f>SUMPRODUCT(Aggreg!$B26:$W26,$B$19:$W$19)</f>
        <v>0.15130107653186692</v>
      </c>
      <c r="C45" s="37">
        <f>SUMPRODUCT(Aggreg!$B64:$W64,$B$19:$W$19)</f>
        <v>4.8200822518005091E-3</v>
      </c>
      <c r="D45" s="37">
        <f>SUMPRODUCT(Aggreg!$B102:$W102,$B$19:$W$19)</f>
        <v>4.2616717094622384E-4</v>
      </c>
      <c r="E45" s="37">
        <f>SUMPRODUCT(Aggreg!$B140:$W140,$B$19:$W$19)</f>
        <v>0</v>
      </c>
      <c r="F45" s="37">
        <f>SUMPRODUCT(Aggreg!$B174:$W174,$B$19:$W$19)</f>
        <v>0</v>
      </c>
      <c r="G45" s="37">
        <f>SUMPRODUCT(Aggreg!$B209:$W209,$B$19:$W$19)</f>
        <v>3.2449722991417444E-3</v>
      </c>
      <c r="H45" s="17"/>
    </row>
    <row r="46" spans="1:8" x14ac:dyDescent="0.25">
      <c r="A46" s="4" t="s">
        <v>180</v>
      </c>
      <c r="B46" s="37">
        <f>SUMPRODUCT(Aggreg!$B27:$W27,$B$19:$W$19)</f>
        <v>0.14295622911366221</v>
      </c>
      <c r="C46" s="37">
        <f>SUMPRODUCT(Aggreg!$B65:$W65,$B$19:$W$19)</f>
        <v>4.5542358225716994E-3</v>
      </c>
      <c r="D46" s="37">
        <f>SUMPRODUCT(Aggreg!$B103:$W103,$B$19:$W$19)</f>
        <v>4.0266238104180317E-4</v>
      </c>
      <c r="E46" s="37">
        <f>SUMPRODUCT(Aggreg!$B141:$W141,$B$19:$W$19)</f>
        <v>0</v>
      </c>
      <c r="F46" s="37">
        <f>SUMPRODUCT(Aggreg!$B175:$W175,$B$19:$W$19)</f>
        <v>0</v>
      </c>
      <c r="G46" s="37">
        <f>SUMPRODUCT(Aggreg!$B210:$W210,$B$19:$W$19)</f>
        <v>2.9633983807421014E-3</v>
      </c>
      <c r="H46" s="17"/>
    </row>
    <row r="47" spans="1:8" x14ac:dyDescent="0.25">
      <c r="A47" s="4" t="s">
        <v>193</v>
      </c>
      <c r="B47" s="37">
        <f>SUMPRODUCT(Aggreg!$B28:$W28,$B$19:$W$19)</f>
        <v>0.12752062044706972</v>
      </c>
      <c r="C47" s="37">
        <f>SUMPRODUCT(Aggreg!$B66:$W66,$B$19:$W$19)</f>
        <v>4.062495082287473E-3</v>
      </c>
      <c r="D47" s="37">
        <f>SUMPRODUCT(Aggreg!$B104:$W104,$B$19:$W$19)</f>
        <v>3.5918516443462812E-4</v>
      </c>
      <c r="E47" s="37">
        <f>SUMPRODUCT(Aggreg!$B142:$W142,$B$19:$W$19)</f>
        <v>0</v>
      </c>
      <c r="F47" s="37">
        <f>SUMPRODUCT(Aggreg!$B176:$W176,$B$19:$W$19)</f>
        <v>0</v>
      </c>
      <c r="G47" s="37">
        <f>SUMPRODUCT(Aggreg!$B211:$W211,$B$19:$W$19)</f>
        <v>2.5047789241542744E-3</v>
      </c>
      <c r="H47" s="17"/>
    </row>
    <row r="48" spans="1:8" x14ac:dyDescent="0.25">
      <c r="A48" s="4" t="s">
        <v>215</v>
      </c>
      <c r="B48" s="37">
        <f>SUMPRODUCT(Aggreg!$B29:$W29,$B$19:$W$19)</f>
        <v>1.3871249293999967E-2</v>
      </c>
      <c r="C48" s="37">
        <f>SUMPRODUCT(Aggreg!$B67:$W67,$B$19:$W$19)</f>
        <v>0</v>
      </c>
      <c r="D48" s="37">
        <f>SUMPRODUCT(Aggreg!$B105:$W105,$B$19:$W$19)</f>
        <v>0</v>
      </c>
      <c r="E48" s="37">
        <f>SUMPRODUCT(Aggreg!$B143:$W143,$B$19:$W$19)</f>
        <v>0</v>
      </c>
      <c r="F48" s="37">
        <f>SUMPRODUCT(Aggreg!$B177:$W177,$B$19:$W$19)</f>
        <v>0</v>
      </c>
      <c r="G48" s="37">
        <f>SUMPRODUCT(Aggreg!$B212:$W212,$B$19:$W$19)</f>
        <v>0</v>
      </c>
      <c r="H48" s="17"/>
    </row>
    <row r="49" spans="1:8" x14ac:dyDescent="0.25">
      <c r="A49" s="4" t="s">
        <v>216</v>
      </c>
      <c r="B49" s="37">
        <f>SUMPRODUCT(Aggreg!$B30:$W30,$B$19:$W$19)</f>
        <v>2.1641196204259978E-2</v>
      </c>
      <c r="C49" s="37">
        <f>SUMPRODUCT(Aggreg!$B68:$W68,$B$19:$W$19)</f>
        <v>0</v>
      </c>
      <c r="D49" s="37">
        <f>SUMPRODUCT(Aggreg!$B106:$W106,$B$19:$W$19)</f>
        <v>0</v>
      </c>
      <c r="E49" s="37">
        <f>SUMPRODUCT(Aggreg!$B144:$W144,$B$19:$W$19)</f>
        <v>0</v>
      </c>
      <c r="F49" s="37">
        <f>SUMPRODUCT(Aggreg!$B178:$W178,$B$19:$W$19)</f>
        <v>0</v>
      </c>
      <c r="G49" s="37">
        <f>SUMPRODUCT(Aggreg!$B213:$W213,$B$19:$W$19)</f>
        <v>0</v>
      </c>
      <c r="H49" s="17"/>
    </row>
    <row r="50" spans="1:8" x14ac:dyDescent="0.25">
      <c r="A50" s="4" t="s">
        <v>217</v>
      </c>
      <c r="B50" s="37">
        <f>SUMPRODUCT(Aggreg!$B31:$W31,$B$19:$W$19)</f>
        <v>4.1106172735652702E-2</v>
      </c>
      <c r="C50" s="37">
        <f>SUMPRODUCT(Aggreg!$B69:$W69,$B$19:$W$19)</f>
        <v>0</v>
      </c>
      <c r="D50" s="37">
        <f>SUMPRODUCT(Aggreg!$B107:$W107,$B$19:$W$19)</f>
        <v>0</v>
      </c>
      <c r="E50" s="37">
        <f>SUMPRODUCT(Aggreg!$B145:$W145,$B$19:$W$19)</f>
        <v>0</v>
      </c>
      <c r="F50" s="37">
        <f>SUMPRODUCT(Aggreg!$B179:$W179,$B$19:$W$19)</f>
        <v>0</v>
      </c>
      <c r="G50" s="37">
        <f>SUMPRODUCT(Aggreg!$B214:$W214,$B$19:$W$19)</f>
        <v>0</v>
      </c>
      <c r="H50" s="17"/>
    </row>
    <row r="51" spans="1:8" x14ac:dyDescent="0.25">
      <c r="A51" s="4" t="s">
        <v>218</v>
      </c>
      <c r="B51" s="37">
        <f>SUMPRODUCT(Aggreg!$B32:$W32,$B$19:$W$19)</f>
        <v>9.2465086266832405E-3</v>
      </c>
      <c r="C51" s="37">
        <f>SUMPRODUCT(Aggreg!$B70:$W70,$B$19:$W$19)</f>
        <v>0</v>
      </c>
      <c r="D51" s="37">
        <f>SUMPRODUCT(Aggreg!$B108:$W108,$B$19:$W$19)</f>
        <v>0</v>
      </c>
      <c r="E51" s="37">
        <f>SUMPRODUCT(Aggreg!$B146:$W146,$B$19:$W$19)</f>
        <v>0</v>
      </c>
      <c r="F51" s="37">
        <f>SUMPRODUCT(Aggreg!$B180:$W180,$B$19:$W$19)</f>
        <v>0</v>
      </c>
      <c r="G51" s="37">
        <f>SUMPRODUCT(Aggreg!$B215:$W215,$B$19:$W$19)</f>
        <v>0</v>
      </c>
      <c r="H51" s="17"/>
    </row>
    <row r="52" spans="1:8" x14ac:dyDescent="0.25">
      <c r="A52" s="4" t="s">
        <v>219</v>
      </c>
      <c r="B52" s="37">
        <f>SUMPRODUCT(Aggreg!$B33:$W33,$B$19:$W$19)</f>
        <v>0.41944339425197774</v>
      </c>
      <c r="C52" s="37">
        <f>SUMPRODUCT(Aggreg!$B71:$W71,$B$19:$W$19)</f>
        <v>3.6549709982444502E-3</v>
      </c>
      <c r="D52" s="37">
        <f>SUMPRODUCT(Aggreg!$B109:$W109,$B$19:$W$19)</f>
        <v>3.9070673153286976E-4</v>
      </c>
      <c r="E52" s="37">
        <f>SUMPRODUCT(Aggreg!$B147:$W147,$B$19:$W$19)</f>
        <v>0</v>
      </c>
      <c r="F52" s="37">
        <f>SUMPRODUCT(Aggreg!$B181:$W181,$B$19:$W$19)</f>
        <v>0</v>
      </c>
      <c r="G52" s="37">
        <f>SUMPRODUCT(Aggreg!$B216:$W216,$B$19:$W$19)</f>
        <v>0</v>
      </c>
      <c r="H52" s="17"/>
    </row>
    <row r="53" spans="1:8" x14ac:dyDescent="0.25">
      <c r="A53" s="4" t="s">
        <v>181</v>
      </c>
      <c r="B53" s="37">
        <f>SUMPRODUCT(Aggreg!$B34:$W34,$B$19:$W$19)</f>
        <v>-1.2620128184931507E-2</v>
      </c>
      <c r="C53" s="37">
        <f>SUMPRODUCT(Aggreg!$B72:$W72,$B$19:$W$19)</f>
        <v>0</v>
      </c>
      <c r="D53" s="37">
        <f>SUMPRODUCT(Aggreg!$B110:$W110,$B$19:$W$19)</f>
        <v>0</v>
      </c>
      <c r="E53" s="37">
        <f>SUMPRODUCT(Aggreg!$B148:$W148,$B$19:$W$19)</f>
        <v>0</v>
      </c>
      <c r="F53" s="37">
        <f>SUMPRODUCT(Aggreg!$B182:$W182,$B$19:$W$19)</f>
        <v>0</v>
      </c>
      <c r="G53" s="37">
        <f>SUMPRODUCT(Aggreg!$B217:$W217,$B$19:$W$19)</f>
        <v>0</v>
      </c>
      <c r="H53" s="17"/>
    </row>
    <row r="54" spans="1:8" x14ac:dyDescent="0.25">
      <c r="A54" s="4" t="s">
        <v>182</v>
      </c>
      <c r="B54" s="37">
        <f>SUMPRODUCT(Aggreg!$B35:$W35,$B$19:$W$19)</f>
        <v>-1.2021839075342466E-2</v>
      </c>
      <c r="C54" s="37">
        <f>SUMPRODUCT(Aggreg!$B73:$W73,$B$19:$W$19)</f>
        <v>0</v>
      </c>
      <c r="D54" s="37">
        <f>SUMPRODUCT(Aggreg!$B111:$W111,$B$19:$W$19)</f>
        <v>0</v>
      </c>
      <c r="E54" s="37">
        <f>SUMPRODUCT(Aggreg!$B149:$W149,$B$19:$W$19)</f>
        <v>0</v>
      </c>
      <c r="F54" s="37">
        <f>SUMPRODUCT(Aggreg!$B183:$W183,$B$19:$W$19)</f>
        <v>0</v>
      </c>
      <c r="G54" s="37">
        <f>SUMPRODUCT(Aggreg!$B218:$W218,$B$19:$W$19)</f>
        <v>0</v>
      </c>
      <c r="H54" s="17"/>
    </row>
    <row r="55" spans="1:8" x14ac:dyDescent="0.25">
      <c r="A55" s="4" t="s">
        <v>183</v>
      </c>
      <c r="B55" s="37">
        <f>SUMPRODUCT(Aggreg!$B36:$W36,$B$19:$W$19)</f>
        <v>-1.2620128184931507E-2</v>
      </c>
      <c r="C55" s="37">
        <f>SUMPRODUCT(Aggreg!$B74:$W74,$B$19:$W$19)</f>
        <v>0</v>
      </c>
      <c r="D55" s="37">
        <f>SUMPRODUCT(Aggreg!$B112:$W112,$B$19:$W$19)</f>
        <v>0</v>
      </c>
      <c r="E55" s="37">
        <f>SUMPRODUCT(Aggreg!$B150:$W150,$B$19:$W$19)</f>
        <v>0</v>
      </c>
      <c r="F55" s="37">
        <f>SUMPRODUCT(Aggreg!$B184:$W184,$B$19:$W$19)</f>
        <v>0</v>
      </c>
      <c r="G55" s="37">
        <f>SUMPRODUCT(Aggreg!$B219:$W219,$B$19:$W$19)</f>
        <v>2.2115233369085965E-3</v>
      </c>
      <c r="H55" s="17"/>
    </row>
    <row r="56" spans="1:8" x14ac:dyDescent="0.25">
      <c r="A56" s="4" t="s">
        <v>184</v>
      </c>
      <c r="B56" s="37">
        <f>SUMPRODUCT(Aggreg!$B37:$W37,$B$19:$W$19)</f>
        <v>-0.12622933325752167</v>
      </c>
      <c r="C56" s="37">
        <f>SUMPRODUCT(Aggreg!$B75:$W75,$B$19:$W$19)</f>
        <v>-4.0213578306103051E-3</v>
      </c>
      <c r="D56" s="37">
        <f>SUMPRODUCT(Aggreg!$B113:$W113,$B$19:$W$19)</f>
        <v>-3.5554801775290642E-4</v>
      </c>
      <c r="E56" s="37">
        <f>SUMPRODUCT(Aggreg!$B151:$W151,$B$19:$W$19)</f>
        <v>0</v>
      </c>
      <c r="F56" s="37">
        <f>SUMPRODUCT(Aggreg!$B185:$W185,$B$19:$W$19)</f>
        <v>0</v>
      </c>
      <c r="G56" s="37">
        <f>SUMPRODUCT(Aggreg!$B220:$W220,$B$19:$W$19)</f>
        <v>2.2115233369085965E-3</v>
      </c>
      <c r="H56" s="17"/>
    </row>
    <row r="57" spans="1:8" x14ac:dyDescent="0.25">
      <c r="A57" s="4" t="s">
        <v>185</v>
      </c>
      <c r="B57" s="37">
        <f>SUMPRODUCT(Aggreg!$B38:$W38,$B$19:$W$19)</f>
        <v>-1.2021839075342466E-2</v>
      </c>
      <c r="C57" s="37">
        <f>SUMPRODUCT(Aggreg!$B76:$W76,$B$19:$W$19)</f>
        <v>0</v>
      </c>
      <c r="D57" s="37">
        <f>SUMPRODUCT(Aggreg!$B114:$W114,$B$19:$W$19)</f>
        <v>0</v>
      </c>
      <c r="E57" s="37">
        <f>SUMPRODUCT(Aggreg!$B152:$W152,$B$19:$W$19)</f>
        <v>0</v>
      </c>
      <c r="F57" s="37">
        <f>SUMPRODUCT(Aggreg!$B186:$W186,$B$19:$W$19)</f>
        <v>0</v>
      </c>
      <c r="G57" s="37">
        <f>SUMPRODUCT(Aggreg!$B221:$W221,$B$19:$W$19)</f>
        <v>2.1066804772572772E-3</v>
      </c>
      <c r="H57" s="17"/>
    </row>
    <row r="58" spans="1:8" x14ac:dyDescent="0.25">
      <c r="A58" s="4" t="s">
        <v>186</v>
      </c>
      <c r="B58" s="37">
        <f>SUMPRODUCT(Aggreg!$B39:$W39,$B$19:$W$19)</f>
        <v>-0.12024511231364615</v>
      </c>
      <c r="C58" s="37">
        <f>SUMPRODUCT(Aggreg!$B77:$W77,$B$19:$W$19)</f>
        <v>-3.830715187321827E-3</v>
      </c>
      <c r="D58" s="37">
        <f>SUMPRODUCT(Aggreg!$B115:$W115,$B$19:$W$19)</f>
        <v>-3.3869236432051703E-4</v>
      </c>
      <c r="E58" s="37">
        <f>SUMPRODUCT(Aggreg!$B153:$W153,$B$19:$W$19)</f>
        <v>0</v>
      </c>
      <c r="F58" s="37">
        <f>SUMPRODUCT(Aggreg!$B187:$W187,$B$19:$W$19)</f>
        <v>0</v>
      </c>
      <c r="G58" s="37">
        <f>SUMPRODUCT(Aggreg!$B222:$W222,$B$19:$W$19)</f>
        <v>2.1066804772572772E-3</v>
      </c>
      <c r="H58" s="17"/>
    </row>
    <row r="59" spans="1:8" x14ac:dyDescent="0.25">
      <c r="A59" s="4" t="s">
        <v>194</v>
      </c>
      <c r="B59" s="37">
        <f>SUMPRODUCT(Aggreg!$B40:$W40,$B$19:$W$19)</f>
        <v>-1.1866235570776255E-2</v>
      </c>
      <c r="C59" s="37">
        <f>SUMPRODUCT(Aggreg!$B78:$W78,$B$19:$W$19)</f>
        <v>0</v>
      </c>
      <c r="D59" s="37">
        <f>SUMPRODUCT(Aggreg!$B116:$W116,$B$19:$W$19)</f>
        <v>0</v>
      </c>
      <c r="E59" s="37">
        <f>SUMPRODUCT(Aggreg!$B154:$W154,$B$19:$W$19)</f>
        <v>0</v>
      </c>
      <c r="F59" s="37">
        <f>SUMPRODUCT(Aggreg!$B188:$W188,$B$19:$W$19)</f>
        <v>0</v>
      </c>
      <c r="G59" s="37">
        <f>SUMPRODUCT(Aggreg!$B223:$W223,$B$19:$W$19)</f>
        <v>2.0794128634414508E-3</v>
      </c>
      <c r="H59" s="17"/>
    </row>
    <row r="60" spans="1:8" x14ac:dyDescent="0.25">
      <c r="A60" s="4" t="s">
        <v>195</v>
      </c>
      <c r="B60" s="37">
        <f>SUMPRODUCT(Aggreg!$B41:$W41,$B$19:$W$19)</f>
        <v>-0.11868873140006883</v>
      </c>
      <c r="C60" s="37">
        <f>SUMPRODUCT(Aggreg!$B79:$W79,$B$19:$W$19)</f>
        <v>-3.7811326979533856E-3</v>
      </c>
      <c r="D60" s="37">
        <f>SUMPRODUCT(Aggreg!$B117:$W117,$B$19:$W$19)</f>
        <v>-3.3430853265151872E-4</v>
      </c>
      <c r="E60" s="37">
        <f>SUMPRODUCT(Aggreg!$B155:$W155,$B$19:$W$19)</f>
        <v>0</v>
      </c>
      <c r="F60" s="37">
        <f>SUMPRODUCT(Aggreg!$B189:$W189,$B$19:$W$19)</f>
        <v>0</v>
      </c>
      <c r="G60" s="37">
        <f>SUMPRODUCT(Aggreg!$B224:$W224,$B$19:$W$19)</f>
        <v>2.0794128634414508E-3</v>
      </c>
      <c r="H60" s="17"/>
    </row>
    <row r="62" spans="1:8" ht="21" customHeight="1" x14ac:dyDescent="0.3">
      <c r="A62" s="1" t="s">
        <v>1155</v>
      </c>
    </row>
    <row r="63" spans="1:8" x14ac:dyDescent="0.25">
      <c r="A63" s="2" t="s">
        <v>350</v>
      </c>
    </row>
    <row r="64" spans="1:8" x14ac:dyDescent="0.25">
      <c r="A64" s="32" t="s">
        <v>1044</v>
      </c>
    </row>
    <row r="65" spans="1:7" x14ac:dyDescent="0.25">
      <c r="A65" s="32" t="s">
        <v>1156</v>
      </c>
    </row>
    <row r="66" spans="1:7" x14ac:dyDescent="0.25">
      <c r="A66" s="32" t="s">
        <v>1157</v>
      </c>
    </row>
    <row r="67" spans="1:7" x14ac:dyDescent="0.25">
      <c r="A67" s="32" t="s">
        <v>1158</v>
      </c>
    </row>
    <row r="68" spans="1:7" x14ac:dyDescent="0.25">
      <c r="A68" s="32" t="s">
        <v>1159</v>
      </c>
    </row>
    <row r="69" spans="1:7" x14ac:dyDescent="0.25">
      <c r="A69" s="32" t="s">
        <v>1160</v>
      </c>
    </row>
    <row r="70" spans="1:7" x14ac:dyDescent="0.25">
      <c r="A70" s="32" t="s">
        <v>1161</v>
      </c>
    </row>
    <row r="71" spans="1:7" x14ac:dyDescent="0.25">
      <c r="A71" s="32" t="s">
        <v>1162</v>
      </c>
    </row>
    <row r="72" spans="1:7" x14ac:dyDescent="0.25">
      <c r="A72" s="32" t="s">
        <v>1163</v>
      </c>
    </row>
    <row r="73" spans="1:7" x14ac:dyDescent="0.25">
      <c r="A73" s="32" t="s">
        <v>1164</v>
      </c>
    </row>
    <row r="74" spans="1:7" x14ac:dyDescent="0.25">
      <c r="A74" s="32" t="s">
        <v>1165</v>
      </c>
    </row>
    <row r="75" spans="1:7" x14ac:dyDescent="0.25">
      <c r="A75" s="32" t="s">
        <v>1166</v>
      </c>
    </row>
    <row r="76" spans="1:7" x14ac:dyDescent="0.25">
      <c r="A76" s="32" t="s">
        <v>1167</v>
      </c>
    </row>
    <row r="77" spans="1:7" x14ac:dyDescent="0.25">
      <c r="A77" s="32" t="s">
        <v>1168</v>
      </c>
    </row>
    <row r="78" spans="1:7" x14ac:dyDescent="0.25">
      <c r="A78" s="33" t="s">
        <v>353</v>
      </c>
      <c r="B78" s="33" t="s">
        <v>483</v>
      </c>
      <c r="C78" s="33" t="s">
        <v>483</v>
      </c>
      <c r="D78" s="33" t="s">
        <v>483</v>
      </c>
      <c r="E78" s="33" t="s">
        <v>483</v>
      </c>
      <c r="F78" s="33" t="s">
        <v>483</v>
      </c>
      <c r="G78" s="33" t="s">
        <v>483</v>
      </c>
    </row>
    <row r="79" spans="1:7" x14ac:dyDescent="0.25">
      <c r="A79" s="33" t="s">
        <v>356</v>
      </c>
      <c r="B79" s="33" t="s">
        <v>1169</v>
      </c>
      <c r="C79" s="33" t="s">
        <v>1170</v>
      </c>
      <c r="D79" s="33" t="s">
        <v>1171</v>
      </c>
      <c r="E79" s="33" t="s">
        <v>1172</v>
      </c>
      <c r="F79" s="33" t="s">
        <v>1173</v>
      </c>
      <c r="G79" s="33" t="s">
        <v>1174</v>
      </c>
    </row>
    <row r="81" spans="1:8" ht="45" x14ac:dyDescent="0.25">
      <c r="B81" s="15" t="s">
        <v>1175</v>
      </c>
      <c r="C81" s="15" t="s">
        <v>1176</v>
      </c>
      <c r="D81" s="15" t="s">
        <v>1177</v>
      </c>
      <c r="E81" s="15" t="s">
        <v>1178</v>
      </c>
      <c r="F81" s="15" t="s">
        <v>1179</v>
      </c>
      <c r="G81" s="15" t="s">
        <v>1180</v>
      </c>
    </row>
    <row r="82" spans="1:8" x14ac:dyDescent="0.25">
      <c r="A82" s="4" t="s">
        <v>171</v>
      </c>
      <c r="B82" s="21">
        <f>IF(Loads!B46&lt;0,0,B34*Loads!B302*10)</f>
        <v>1633817.0374850566</v>
      </c>
      <c r="C82" s="21">
        <f>IF(Loads!B46&lt;0,0,C34*Loads!C302*10)</f>
        <v>0</v>
      </c>
      <c r="D82" s="21">
        <f>IF(Loads!B46&lt;0,0,D34*Loads!D302*10)</f>
        <v>0</v>
      </c>
      <c r="E82" s="21">
        <f>E34*Input!F$58*Loads!E302/100</f>
        <v>0</v>
      </c>
      <c r="F82" s="21">
        <f>F34*Input!F$58*Loads!F302/100</f>
        <v>0</v>
      </c>
      <c r="G82" s="21">
        <f>IF(Loads!B46&lt;0,0,G34*Loads!G302*10)</f>
        <v>0</v>
      </c>
      <c r="H82" s="17"/>
    </row>
    <row r="83" spans="1:8" x14ac:dyDescent="0.25">
      <c r="A83" s="4" t="s">
        <v>172</v>
      </c>
      <c r="B83" s="21">
        <f>IF(Loads!B47&lt;0,0,B35*Loads!B303*10)</f>
        <v>139745.81982661848</v>
      </c>
      <c r="C83" s="21">
        <f>IF(Loads!B47&lt;0,0,C35*Loads!C303*10)</f>
        <v>2669.6722467933305</v>
      </c>
      <c r="D83" s="21">
        <f>IF(Loads!B47&lt;0,0,D35*Loads!D303*10)</f>
        <v>0</v>
      </c>
      <c r="E83" s="21">
        <f>E35*Input!F$58*Loads!E303/100</f>
        <v>0</v>
      </c>
      <c r="F83" s="21">
        <f>F35*Input!F$58*Loads!F303/100</f>
        <v>0</v>
      </c>
      <c r="G83" s="21">
        <f>IF(Loads!B47&lt;0,0,G35*Loads!G303*10)</f>
        <v>0</v>
      </c>
      <c r="H83" s="17"/>
    </row>
    <row r="84" spans="1:8" x14ac:dyDescent="0.25">
      <c r="A84" s="4" t="s">
        <v>213</v>
      </c>
      <c r="B84" s="21">
        <f>IF(Loads!B48&lt;0,0,B36*Loads!B304*10)</f>
        <v>227.75990526410027</v>
      </c>
      <c r="C84" s="21">
        <f>IF(Loads!B48&lt;0,0,C36*Loads!C304*10)</f>
        <v>0</v>
      </c>
      <c r="D84" s="21">
        <f>IF(Loads!B48&lt;0,0,D36*Loads!D304*10)</f>
        <v>0</v>
      </c>
      <c r="E84" s="21">
        <f>E36*Input!F$58*Loads!E304/100</f>
        <v>0</v>
      </c>
      <c r="F84" s="21">
        <f>F36*Input!F$58*Loads!F304/100</f>
        <v>0</v>
      </c>
      <c r="G84" s="21">
        <f>IF(Loads!B48&lt;0,0,G36*Loads!G304*10)</f>
        <v>0</v>
      </c>
      <c r="H84" s="17"/>
    </row>
    <row r="85" spans="1:8" x14ac:dyDescent="0.25">
      <c r="A85" s="4" t="s">
        <v>173</v>
      </c>
      <c r="B85" s="21">
        <f>IF(Loads!B49&lt;0,0,B37*Loads!B305*10)</f>
        <v>347685.63322733651</v>
      </c>
      <c r="C85" s="21">
        <f>IF(Loads!B49&lt;0,0,C37*Loads!C305*10)</f>
        <v>0</v>
      </c>
      <c r="D85" s="21">
        <f>IF(Loads!B49&lt;0,0,D37*Loads!D305*10)</f>
        <v>0</v>
      </c>
      <c r="E85" s="21">
        <f>E37*Input!F$58*Loads!E305/100</f>
        <v>0</v>
      </c>
      <c r="F85" s="21">
        <f>F37*Input!F$58*Loads!F305/100</f>
        <v>0</v>
      </c>
      <c r="G85" s="21">
        <f>IF(Loads!B49&lt;0,0,G37*Loads!G305*10)</f>
        <v>0</v>
      </c>
      <c r="H85" s="17"/>
    </row>
    <row r="86" spans="1:8" x14ac:dyDescent="0.25">
      <c r="A86" s="4" t="s">
        <v>174</v>
      </c>
      <c r="B86" s="21">
        <f>IF(Loads!B50&lt;0,0,B38*Loads!B306*10)</f>
        <v>131214.80424889136</v>
      </c>
      <c r="C86" s="21">
        <f>IF(Loads!B50&lt;0,0,C38*Loads!C306*10)</f>
        <v>1045.3081017182822</v>
      </c>
      <c r="D86" s="21">
        <f>IF(Loads!B50&lt;0,0,D38*Loads!D306*10)</f>
        <v>0</v>
      </c>
      <c r="E86" s="21">
        <f>E38*Input!F$58*Loads!E306/100</f>
        <v>0</v>
      </c>
      <c r="F86" s="21">
        <f>F38*Input!F$58*Loads!F306/100</f>
        <v>0</v>
      </c>
      <c r="G86" s="21">
        <f>IF(Loads!B50&lt;0,0,G38*Loads!G306*10)</f>
        <v>0</v>
      </c>
      <c r="H86" s="17"/>
    </row>
    <row r="87" spans="1:8" x14ac:dyDescent="0.25">
      <c r="A87" s="4" t="s">
        <v>214</v>
      </c>
      <c r="B87" s="21">
        <f>IF(Loads!B51&lt;0,0,B39*Loads!B307*10)</f>
        <v>135.28966762024857</v>
      </c>
      <c r="C87" s="21">
        <f>IF(Loads!B51&lt;0,0,C39*Loads!C307*10)</f>
        <v>0</v>
      </c>
      <c r="D87" s="21">
        <f>IF(Loads!B51&lt;0,0,D39*Loads!D307*10)</f>
        <v>0</v>
      </c>
      <c r="E87" s="21">
        <f>E39*Input!F$58*Loads!E307/100</f>
        <v>0</v>
      </c>
      <c r="F87" s="21">
        <f>F39*Input!F$58*Loads!F307/100</f>
        <v>0</v>
      </c>
      <c r="G87" s="21">
        <f>IF(Loads!B51&lt;0,0,G39*Loads!G307*10)</f>
        <v>0</v>
      </c>
      <c r="H87" s="17"/>
    </row>
    <row r="88" spans="1:8" x14ac:dyDescent="0.25">
      <c r="A88" s="4" t="s">
        <v>175</v>
      </c>
      <c r="B88" s="21">
        <f>IF(Loads!B52&lt;0,0,B40*Loads!B308*10)</f>
        <v>0</v>
      </c>
      <c r="C88" s="21">
        <f>IF(Loads!B52&lt;0,0,C40*Loads!C308*10)</f>
        <v>0</v>
      </c>
      <c r="D88" s="21">
        <f>IF(Loads!B52&lt;0,0,D40*Loads!D308*10)</f>
        <v>0</v>
      </c>
      <c r="E88" s="21">
        <f>E40*Input!F$58*Loads!E308/100</f>
        <v>0</v>
      </c>
      <c r="F88" s="21">
        <f>F40*Input!F$58*Loads!F308/100</f>
        <v>0</v>
      </c>
      <c r="G88" s="21">
        <f>IF(Loads!B52&lt;0,0,G40*Loads!G308*10)</f>
        <v>0</v>
      </c>
      <c r="H88" s="17"/>
    </row>
    <row r="89" spans="1:8" x14ac:dyDescent="0.25">
      <c r="A89" s="4" t="s">
        <v>176</v>
      </c>
      <c r="B89" s="21">
        <f>IF(Loads!B53&lt;0,0,B41*Loads!B309*10)</f>
        <v>0</v>
      </c>
      <c r="C89" s="21">
        <f>IF(Loads!B53&lt;0,0,C41*Loads!C309*10)</f>
        <v>0</v>
      </c>
      <c r="D89" s="21">
        <f>IF(Loads!B53&lt;0,0,D41*Loads!D309*10)</f>
        <v>0</v>
      </c>
      <c r="E89" s="21">
        <f>E41*Input!F$58*Loads!E309/100</f>
        <v>0</v>
      </c>
      <c r="F89" s="21">
        <f>F41*Input!F$58*Loads!F309/100</f>
        <v>0</v>
      </c>
      <c r="G89" s="21">
        <f>IF(Loads!B53&lt;0,0,G41*Loads!G309*10)</f>
        <v>0</v>
      </c>
      <c r="H89" s="17"/>
    </row>
    <row r="90" spans="1:8" x14ac:dyDescent="0.25">
      <c r="A90" s="4" t="s">
        <v>192</v>
      </c>
      <c r="B90" s="21">
        <f>IF(Loads!B54&lt;0,0,B42*Loads!B310*10)</f>
        <v>1266.3031833757771</v>
      </c>
      <c r="C90" s="21">
        <f>IF(Loads!B54&lt;0,0,C42*Loads!C310*10)</f>
        <v>6.6451843562384951</v>
      </c>
      <c r="D90" s="21">
        <f>IF(Loads!B54&lt;0,0,D42*Loads!D310*10)</f>
        <v>0</v>
      </c>
      <c r="E90" s="21">
        <f>E42*Input!F$58*Loads!E310/100</f>
        <v>0</v>
      </c>
      <c r="F90" s="21">
        <f>F42*Input!F$58*Loads!F310/100</f>
        <v>0</v>
      </c>
      <c r="G90" s="21">
        <f>IF(Loads!B54&lt;0,0,G42*Loads!G310*10)</f>
        <v>0</v>
      </c>
      <c r="H90" s="17"/>
    </row>
    <row r="91" spans="1:8" x14ac:dyDescent="0.25">
      <c r="A91" s="4" t="s">
        <v>177</v>
      </c>
      <c r="B91" s="21">
        <f>IF(Loads!B55&lt;0,0,B43*Loads!B311*10)</f>
        <v>0</v>
      </c>
      <c r="C91" s="21">
        <f>IF(Loads!B55&lt;0,0,C43*Loads!C311*10)</f>
        <v>0</v>
      </c>
      <c r="D91" s="21">
        <f>IF(Loads!B55&lt;0,0,D43*Loads!D311*10)</f>
        <v>0</v>
      </c>
      <c r="E91" s="21">
        <f>E43*Input!F$58*Loads!E311/100</f>
        <v>0</v>
      </c>
      <c r="F91" s="21">
        <f>F43*Input!F$58*Loads!F311/100</f>
        <v>0</v>
      </c>
      <c r="G91" s="21">
        <f>IF(Loads!B55&lt;0,0,G43*Loads!G311*10)</f>
        <v>0</v>
      </c>
      <c r="H91" s="17"/>
    </row>
    <row r="92" spans="1:8" x14ac:dyDescent="0.25">
      <c r="A92" s="4" t="s">
        <v>178</v>
      </c>
      <c r="B92" s="21">
        <f>IF(Loads!B56&lt;0,0,B44*Loads!B312*10)</f>
        <v>97297.231047896217</v>
      </c>
      <c r="C92" s="21">
        <f>IF(Loads!B56&lt;0,0,C44*Loads!C312*10)</f>
        <v>11000.32255136895</v>
      </c>
      <c r="D92" s="21">
        <f>IF(Loads!B56&lt;0,0,D44*Loads!D312*10)</f>
        <v>1262.4608493141261</v>
      </c>
      <c r="E92" s="21">
        <f>E44*Input!F$58*Loads!E312/100</f>
        <v>0</v>
      </c>
      <c r="F92" s="21">
        <f>F44*Input!F$58*Loads!F312/100</f>
        <v>0</v>
      </c>
      <c r="G92" s="21">
        <f>IF(Loads!B56&lt;0,0,G44*Loads!G312*10)</f>
        <v>0</v>
      </c>
      <c r="H92" s="17"/>
    </row>
    <row r="93" spans="1:8" x14ac:dyDescent="0.25">
      <c r="A93" s="4" t="s">
        <v>179</v>
      </c>
      <c r="B93" s="21">
        <f>IF(Loads!B57&lt;0,0,B45*Loads!B313*10)</f>
        <v>372702.11193309247</v>
      </c>
      <c r="C93" s="21">
        <f>IF(Loads!B57&lt;0,0,C45*Loads!C313*10)</f>
        <v>42217.732769705945</v>
      </c>
      <c r="D93" s="21">
        <f>IF(Loads!B57&lt;0,0,D45*Loads!D313*10)</f>
        <v>4848.5436334800952</v>
      </c>
      <c r="E93" s="21">
        <f>E45*Input!F$58*Loads!E313/100</f>
        <v>0</v>
      </c>
      <c r="F93" s="21">
        <f>F45*Input!F$58*Loads!F313/100</f>
        <v>0</v>
      </c>
      <c r="G93" s="21">
        <f>IF(Loads!B57&lt;0,0,G45*Loads!G313*10)</f>
        <v>8654.4120205424497</v>
      </c>
      <c r="H93" s="17"/>
    </row>
    <row r="94" spans="1:8" x14ac:dyDescent="0.25">
      <c r="A94" s="4" t="s">
        <v>180</v>
      </c>
      <c r="B94" s="21">
        <f>IF(Loads!B58&lt;0,0,B46*Loads!B314*10)</f>
        <v>195543.1831882298</v>
      </c>
      <c r="C94" s="21">
        <f>IF(Loads!B58&lt;0,0,C46*Loads!C314*10)</f>
        <v>22636.609413453138</v>
      </c>
      <c r="D94" s="21">
        <f>IF(Loads!B58&lt;0,0,D46*Loads!D314*10)</f>
        <v>2675.7891985800456</v>
      </c>
      <c r="E94" s="21">
        <f>E46*Input!F$58*Loads!E314/100</f>
        <v>0</v>
      </c>
      <c r="F94" s="21">
        <f>F46*Input!F$58*Loads!F314/100</f>
        <v>0</v>
      </c>
      <c r="G94" s="21">
        <f>IF(Loads!B58&lt;0,0,G46*Loads!G314*10)</f>
        <v>3393.6882974393611</v>
      </c>
      <c r="H94" s="17"/>
    </row>
    <row r="95" spans="1:8" x14ac:dyDescent="0.25">
      <c r="A95" s="4" t="s">
        <v>193</v>
      </c>
      <c r="B95" s="21">
        <f>IF(Loads!B59&lt;0,0,B47*Loads!B315*10)</f>
        <v>650783.14054792444</v>
      </c>
      <c r="C95" s="21">
        <f>IF(Loads!B59&lt;0,0,C47*Loads!C315*10)</f>
        <v>70737.720472310408</v>
      </c>
      <c r="D95" s="21">
        <f>IF(Loads!B59&lt;0,0,D47*Loads!D315*10)</f>
        <v>10274.93599291279</v>
      </c>
      <c r="E95" s="21">
        <f>E47*Input!F$58*Loads!E315/100</f>
        <v>0</v>
      </c>
      <c r="F95" s="21">
        <f>F47*Input!F$58*Loads!F315/100</f>
        <v>0</v>
      </c>
      <c r="G95" s="21">
        <f>IF(Loads!B59&lt;0,0,G47*Loads!G315*10)</f>
        <v>9733.9583121880241</v>
      </c>
      <c r="H95" s="17"/>
    </row>
    <row r="96" spans="1:8" x14ac:dyDescent="0.25">
      <c r="A96" s="4" t="s">
        <v>215</v>
      </c>
      <c r="B96" s="21">
        <f>IF(Loads!B60&lt;0,0,B48*Loads!B316*10)</f>
        <v>5086.7581084223739</v>
      </c>
      <c r="C96" s="21">
        <f>IF(Loads!B60&lt;0,0,C48*Loads!C316*10)</f>
        <v>0</v>
      </c>
      <c r="D96" s="21">
        <f>IF(Loads!B60&lt;0,0,D48*Loads!D316*10)</f>
        <v>0</v>
      </c>
      <c r="E96" s="21">
        <f>E48*Input!F$58*Loads!E316/100</f>
        <v>0</v>
      </c>
      <c r="F96" s="21">
        <f>F48*Input!F$58*Loads!F316/100</f>
        <v>0</v>
      </c>
      <c r="G96" s="21">
        <f>IF(Loads!B60&lt;0,0,G48*Loads!G316*10)</f>
        <v>0</v>
      </c>
      <c r="H96" s="17"/>
    </row>
    <row r="97" spans="1:8" x14ac:dyDescent="0.25">
      <c r="A97" s="4" t="s">
        <v>216</v>
      </c>
      <c r="B97" s="21">
        <f>IF(Loads!B61&lt;0,0,B49*Loads!B317*10)</f>
        <v>2196.3807536693721</v>
      </c>
      <c r="C97" s="21">
        <f>IF(Loads!B61&lt;0,0,C49*Loads!C317*10)</f>
        <v>0</v>
      </c>
      <c r="D97" s="21">
        <f>IF(Loads!B61&lt;0,0,D49*Loads!D317*10)</f>
        <v>0</v>
      </c>
      <c r="E97" s="21">
        <f>E49*Input!F$58*Loads!E317/100</f>
        <v>0</v>
      </c>
      <c r="F97" s="21">
        <f>F49*Input!F$58*Loads!F317/100</f>
        <v>0</v>
      </c>
      <c r="G97" s="21">
        <f>IF(Loads!B61&lt;0,0,G49*Loads!G317*10)</f>
        <v>0</v>
      </c>
      <c r="H97" s="17"/>
    </row>
    <row r="98" spans="1:8" x14ac:dyDescent="0.25">
      <c r="A98" s="4" t="s">
        <v>217</v>
      </c>
      <c r="B98" s="21">
        <f>IF(Loads!B62&lt;0,0,B50*Loads!B318*10)</f>
        <v>109.26357265125833</v>
      </c>
      <c r="C98" s="21">
        <f>IF(Loads!B62&lt;0,0,C50*Loads!C318*10)</f>
        <v>0</v>
      </c>
      <c r="D98" s="21">
        <f>IF(Loads!B62&lt;0,0,D50*Loads!D318*10)</f>
        <v>0</v>
      </c>
      <c r="E98" s="21">
        <f>E50*Input!F$58*Loads!E318/100</f>
        <v>0</v>
      </c>
      <c r="F98" s="21">
        <f>F50*Input!F$58*Loads!F318/100</f>
        <v>0</v>
      </c>
      <c r="G98" s="21">
        <f>IF(Loads!B62&lt;0,0,G50*Loads!G318*10)</f>
        <v>0</v>
      </c>
      <c r="H98" s="17"/>
    </row>
    <row r="99" spans="1:8" x14ac:dyDescent="0.25">
      <c r="A99" s="4" t="s">
        <v>218</v>
      </c>
      <c r="B99" s="21">
        <f>IF(Loads!B63&lt;0,0,B51*Loads!B319*10)</f>
        <v>7.2712579096211715E-3</v>
      </c>
      <c r="C99" s="21">
        <f>IF(Loads!B63&lt;0,0,C51*Loads!C319*10)</f>
        <v>0</v>
      </c>
      <c r="D99" s="21">
        <f>IF(Loads!B63&lt;0,0,D51*Loads!D319*10)</f>
        <v>0</v>
      </c>
      <c r="E99" s="21">
        <f>E51*Input!F$58*Loads!E319/100</f>
        <v>0</v>
      </c>
      <c r="F99" s="21">
        <f>F51*Input!F$58*Loads!F319/100</f>
        <v>0</v>
      </c>
      <c r="G99" s="21">
        <f>IF(Loads!B63&lt;0,0,G51*Loads!G319*10)</f>
        <v>0</v>
      </c>
      <c r="H99" s="17"/>
    </row>
    <row r="100" spans="1:8" x14ac:dyDescent="0.25">
      <c r="A100" s="4" t="s">
        <v>219</v>
      </c>
      <c r="B100" s="21">
        <f>IF(Loads!B64&lt;0,0,B52*Loads!B320*10)</f>
        <v>59957.14712388497</v>
      </c>
      <c r="C100" s="21">
        <f>IF(Loads!B64&lt;0,0,C52*Loads!C320*10)</f>
        <v>1204.0558869975846</v>
      </c>
      <c r="D100" s="21">
        <f>IF(Loads!B64&lt;0,0,D52*Loads!D320*10)</f>
        <v>833.83441303621294</v>
      </c>
      <c r="E100" s="21">
        <f>E52*Input!F$58*Loads!E320/100</f>
        <v>0</v>
      </c>
      <c r="F100" s="21">
        <f>F52*Input!F$58*Loads!F320/100</f>
        <v>0</v>
      </c>
      <c r="G100" s="21">
        <f>IF(Loads!B64&lt;0,0,G52*Loads!G320*10)</f>
        <v>0</v>
      </c>
      <c r="H100" s="17"/>
    </row>
    <row r="101" spans="1:8" x14ac:dyDescent="0.25">
      <c r="A101" s="4" t="s">
        <v>181</v>
      </c>
      <c r="B101" s="21">
        <f>IF(Loads!B65&lt;0,0,B53*Loads!B321*10)</f>
        <v>0</v>
      </c>
      <c r="C101" s="21">
        <f>IF(Loads!B65&lt;0,0,C53*Loads!C321*10)</f>
        <v>0</v>
      </c>
      <c r="D101" s="21">
        <f>IF(Loads!B65&lt;0,0,D53*Loads!D321*10)</f>
        <v>0</v>
      </c>
      <c r="E101" s="21">
        <f>E53*Input!F$58*Loads!E321/100</f>
        <v>0</v>
      </c>
      <c r="F101" s="21">
        <f>F53*Input!F$58*Loads!F321/100</f>
        <v>0</v>
      </c>
      <c r="G101" s="21">
        <f>IF(Loads!B65&lt;0,0,G53*Loads!G321*10)</f>
        <v>0</v>
      </c>
      <c r="H101" s="17"/>
    </row>
    <row r="102" spans="1:8" x14ac:dyDescent="0.25">
      <c r="A102" s="4" t="s">
        <v>182</v>
      </c>
      <c r="B102" s="21">
        <f>IF(Loads!B66&lt;0,0,B54*Loads!B322*10)</f>
        <v>0</v>
      </c>
      <c r="C102" s="21">
        <f>IF(Loads!B66&lt;0,0,C54*Loads!C322*10)</f>
        <v>0</v>
      </c>
      <c r="D102" s="21">
        <f>IF(Loads!B66&lt;0,0,D54*Loads!D322*10)</f>
        <v>0</v>
      </c>
      <c r="E102" s="21">
        <f>E54*Input!F$58*Loads!E322/100</f>
        <v>0</v>
      </c>
      <c r="F102" s="21">
        <f>F54*Input!F$58*Loads!F322/100</f>
        <v>0</v>
      </c>
      <c r="G102" s="21">
        <f>IF(Loads!B66&lt;0,0,G54*Loads!G322*10)</f>
        <v>0</v>
      </c>
      <c r="H102" s="17"/>
    </row>
    <row r="103" spans="1:8" x14ac:dyDescent="0.25">
      <c r="A103" s="4" t="s">
        <v>183</v>
      </c>
      <c r="B103" s="21">
        <f>IF(Loads!B67&lt;0,0,B55*Loads!B323*10)</f>
        <v>0</v>
      </c>
      <c r="C103" s="21">
        <f>IF(Loads!B67&lt;0,0,C55*Loads!C323*10)</f>
        <v>0</v>
      </c>
      <c r="D103" s="21">
        <f>IF(Loads!B67&lt;0,0,D55*Loads!D323*10)</f>
        <v>0</v>
      </c>
      <c r="E103" s="21">
        <f>E55*Input!F$58*Loads!E323/100</f>
        <v>0</v>
      </c>
      <c r="F103" s="21">
        <f>F55*Input!F$58*Loads!F323/100</f>
        <v>0</v>
      </c>
      <c r="G103" s="21">
        <f>IF(Loads!B67&lt;0,0,G55*Loads!G323*10)</f>
        <v>0</v>
      </c>
      <c r="H103" s="17"/>
    </row>
    <row r="104" spans="1:8" x14ac:dyDescent="0.25">
      <c r="A104" s="4" t="s">
        <v>184</v>
      </c>
      <c r="B104" s="21">
        <f>IF(Loads!B68&lt;0,0,B56*Loads!B324*10)</f>
        <v>0</v>
      </c>
      <c r="C104" s="21">
        <f>IF(Loads!B68&lt;0,0,C56*Loads!C324*10)</f>
        <v>0</v>
      </c>
      <c r="D104" s="21">
        <f>IF(Loads!B68&lt;0,0,D56*Loads!D324*10)</f>
        <v>0</v>
      </c>
      <c r="E104" s="21">
        <f>E56*Input!F$58*Loads!E324/100</f>
        <v>0</v>
      </c>
      <c r="F104" s="21">
        <f>F56*Input!F$58*Loads!F324/100</f>
        <v>0</v>
      </c>
      <c r="G104" s="21">
        <f>IF(Loads!B68&lt;0,0,G56*Loads!G324*10)</f>
        <v>0</v>
      </c>
      <c r="H104" s="17"/>
    </row>
    <row r="105" spans="1:8" x14ac:dyDescent="0.25">
      <c r="A105" s="4" t="s">
        <v>185</v>
      </c>
      <c r="B105" s="21">
        <f>IF(Loads!B69&lt;0,0,B57*Loads!B325*10)</f>
        <v>0</v>
      </c>
      <c r="C105" s="21">
        <f>IF(Loads!B69&lt;0,0,C57*Loads!C325*10)</f>
        <v>0</v>
      </c>
      <c r="D105" s="21">
        <f>IF(Loads!B69&lt;0,0,D57*Loads!D325*10)</f>
        <v>0</v>
      </c>
      <c r="E105" s="21">
        <f>E57*Input!F$58*Loads!E325/100</f>
        <v>0</v>
      </c>
      <c r="F105" s="21">
        <f>F57*Input!F$58*Loads!F325/100</f>
        <v>0</v>
      </c>
      <c r="G105" s="21">
        <f>IF(Loads!B69&lt;0,0,G57*Loads!G325*10)</f>
        <v>0</v>
      </c>
      <c r="H105" s="17"/>
    </row>
    <row r="106" spans="1:8" x14ac:dyDescent="0.25">
      <c r="A106" s="4" t="s">
        <v>186</v>
      </c>
      <c r="B106" s="21">
        <f>IF(Loads!B70&lt;0,0,B58*Loads!B326*10)</f>
        <v>0</v>
      </c>
      <c r="C106" s="21">
        <f>IF(Loads!B70&lt;0,0,C58*Loads!C326*10)</f>
        <v>0</v>
      </c>
      <c r="D106" s="21">
        <f>IF(Loads!B70&lt;0,0,D58*Loads!D326*10)</f>
        <v>0</v>
      </c>
      <c r="E106" s="21">
        <f>E58*Input!F$58*Loads!E326/100</f>
        <v>0</v>
      </c>
      <c r="F106" s="21">
        <f>F58*Input!F$58*Loads!F326/100</f>
        <v>0</v>
      </c>
      <c r="G106" s="21">
        <f>IF(Loads!B70&lt;0,0,G58*Loads!G326*10)</f>
        <v>0</v>
      </c>
      <c r="H106" s="17"/>
    </row>
    <row r="107" spans="1:8" x14ac:dyDescent="0.25">
      <c r="A107" s="4" t="s">
        <v>194</v>
      </c>
      <c r="B107" s="21">
        <f>IF(Loads!B71&lt;0,0,B59*Loads!B327*10)</f>
        <v>0</v>
      </c>
      <c r="C107" s="21">
        <f>IF(Loads!B71&lt;0,0,C59*Loads!C327*10)</f>
        <v>0</v>
      </c>
      <c r="D107" s="21">
        <f>IF(Loads!B71&lt;0,0,D59*Loads!D327*10)</f>
        <v>0</v>
      </c>
      <c r="E107" s="21">
        <f>E59*Input!F$58*Loads!E327/100</f>
        <v>0</v>
      </c>
      <c r="F107" s="21">
        <f>F59*Input!F$58*Loads!F327/100</f>
        <v>0</v>
      </c>
      <c r="G107" s="21">
        <f>IF(Loads!B71&lt;0,0,G59*Loads!G327*10)</f>
        <v>0</v>
      </c>
      <c r="H107" s="17"/>
    </row>
    <row r="108" spans="1:8" x14ac:dyDescent="0.25">
      <c r="A108" s="4" t="s">
        <v>195</v>
      </c>
      <c r="B108" s="21">
        <f>IF(Loads!B72&lt;0,0,B60*Loads!B328*10)</f>
        <v>0</v>
      </c>
      <c r="C108" s="21">
        <f>IF(Loads!B72&lt;0,0,C60*Loads!C328*10)</f>
        <v>0</v>
      </c>
      <c r="D108" s="21">
        <f>IF(Loads!B72&lt;0,0,D60*Loads!D328*10)</f>
        <v>0</v>
      </c>
      <c r="E108" s="21">
        <f>E60*Input!F$58*Loads!E328/100</f>
        <v>0</v>
      </c>
      <c r="F108" s="21">
        <f>F60*Input!F$58*Loads!F328/100</f>
        <v>0</v>
      </c>
      <c r="G108" s="21">
        <f>IF(Loads!B72&lt;0,0,G60*Loads!G328*10)</f>
        <v>0</v>
      </c>
      <c r="H108" s="17"/>
    </row>
    <row r="110" spans="1:8" ht="21" customHeight="1" x14ac:dyDescent="0.3">
      <c r="A110" s="1" t="s">
        <v>1181</v>
      </c>
    </row>
    <row r="111" spans="1:8" x14ac:dyDescent="0.25">
      <c r="A111" s="2" t="s">
        <v>350</v>
      </c>
    </row>
    <row r="112" spans="1:8" x14ac:dyDescent="0.25">
      <c r="A112" s="32" t="s">
        <v>1182</v>
      </c>
    </row>
    <row r="113" spans="1:8" x14ac:dyDescent="0.25">
      <c r="A113" s="32" t="s">
        <v>1183</v>
      </c>
    </row>
    <row r="114" spans="1:8" x14ac:dyDescent="0.25">
      <c r="A114" s="32" t="s">
        <v>1184</v>
      </c>
    </row>
    <row r="115" spans="1:8" x14ac:dyDescent="0.25">
      <c r="A115" s="32" t="s">
        <v>1185</v>
      </c>
    </row>
    <row r="116" spans="1:8" x14ac:dyDescent="0.25">
      <c r="A116" s="32" t="s">
        <v>1186</v>
      </c>
    </row>
    <row r="117" spans="1:8" x14ac:dyDescent="0.25">
      <c r="A117" s="32" t="s">
        <v>1187</v>
      </c>
    </row>
    <row r="118" spans="1:8" x14ac:dyDescent="0.25">
      <c r="A118" s="32" t="s">
        <v>1188</v>
      </c>
    </row>
    <row r="119" spans="1:8" x14ac:dyDescent="0.25">
      <c r="A119" s="32" t="s">
        <v>1189</v>
      </c>
    </row>
    <row r="120" spans="1:8" x14ac:dyDescent="0.25">
      <c r="A120" s="32" t="s">
        <v>1190</v>
      </c>
    </row>
    <row r="121" spans="1:8" x14ac:dyDescent="0.25">
      <c r="A121" s="32" t="s">
        <v>1191</v>
      </c>
    </row>
    <row r="122" spans="1:8" x14ac:dyDescent="0.25">
      <c r="A122" s="32" t="s">
        <v>1192</v>
      </c>
    </row>
    <row r="123" spans="1:8" x14ac:dyDescent="0.25">
      <c r="A123" s="32" t="s">
        <v>1110</v>
      </c>
    </row>
    <row r="124" spans="1:8" x14ac:dyDescent="0.25">
      <c r="A124" s="33" t="s">
        <v>353</v>
      </c>
      <c r="B124" s="33" t="s">
        <v>483</v>
      </c>
      <c r="C124" s="33" t="s">
        <v>483</v>
      </c>
      <c r="D124" s="33" t="s">
        <v>483</v>
      </c>
      <c r="E124" s="33" t="s">
        <v>483</v>
      </c>
      <c r="F124" s="33" t="s">
        <v>483</v>
      </c>
      <c r="G124" s="33" t="s">
        <v>483</v>
      </c>
    </row>
    <row r="125" spans="1:8" x14ac:dyDescent="0.25">
      <c r="A125" s="33" t="s">
        <v>356</v>
      </c>
      <c r="B125" s="33" t="s">
        <v>1193</v>
      </c>
      <c r="C125" s="33" t="s">
        <v>1194</v>
      </c>
      <c r="D125" s="33" t="s">
        <v>1195</v>
      </c>
      <c r="E125" s="33" t="s">
        <v>1196</v>
      </c>
      <c r="F125" s="33" t="s">
        <v>1197</v>
      </c>
      <c r="G125" s="33" t="s">
        <v>1198</v>
      </c>
    </row>
    <row r="127" spans="1:8" ht="45" x14ac:dyDescent="0.25">
      <c r="B127" s="15" t="s">
        <v>1199</v>
      </c>
      <c r="C127" s="15" t="s">
        <v>1200</v>
      </c>
      <c r="D127" s="15" t="s">
        <v>1201</v>
      </c>
      <c r="E127" s="15" t="s">
        <v>1202</v>
      </c>
      <c r="F127" s="15" t="s">
        <v>1203</v>
      </c>
      <c r="G127" s="15" t="s">
        <v>1204</v>
      </c>
    </row>
    <row r="128" spans="1:8" x14ac:dyDescent="0.25">
      <c r="A128" s="4" t="s">
        <v>171</v>
      </c>
      <c r="B128" s="37">
        <f>IF(B34,0-Aggreg!B238/B34,0)</f>
        <v>-67.918705693417266</v>
      </c>
      <c r="C128" s="10"/>
      <c r="D128" s="10"/>
      <c r="E128" s="37">
        <f>IF(E34,0-Aggreg!E238/E34,0)</f>
        <v>0</v>
      </c>
      <c r="F128" s="10"/>
      <c r="G128" s="10"/>
      <c r="H128" s="17"/>
    </row>
    <row r="129" spans="1:8" x14ac:dyDescent="0.25">
      <c r="A129" s="4" t="s">
        <v>172</v>
      </c>
      <c r="B129" s="37">
        <f>IF(B35,0-Aggreg!B239/B35,0)</f>
        <v>-67.415051099214594</v>
      </c>
      <c r="C129" s="37">
        <f>IF(C35,0-Aggreg!C239/C35,0)</f>
        <v>-324.66990879987105</v>
      </c>
      <c r="D129" s="10"/>
      <c r="E129" s="37">
        <f>IF(E35,0-Aggreg!E239/E35,0)</f>
        <v>0</v>
      </c>
      <c r="F129" s="10"/>
      <c r="G129" s="10"/>
      <c r="H129" s="17"/>
    </row>
    <row r="130" spans="1:8" x14ac:dyDescent="0.25">
      <c r="A130" s="4" t="s">
        <v>213</v>
      </c>
      <c r="B130" s="37">
        <f>IF(B36,0-Aggreg!B240/B36,0)</f>
        <v>-161.52240752668655</v>
      </c>
      <c r="C130" s="10"/>
      <c r="D130" s="10"/>
      <c r="E130" s="10"/>
      <c r="F130" s="10"/>
      <c r="G130" s="10"/>
      <c r="H130" s="17"/>
    </row>
    <row r="131" spans="1:8" x14ac:dyDescent="0.25">
      <c r="A131" s="4" t="s">
        <v>173</v>
      </c>
      <c r="B131" s="37">
        <f>IF(B37,0-Aggreg!B241/B37,0)</f>
        <v>-73.894278302788379</v>
      </c>
      <c r="C131" s="10"/>
      <c r="D131" s="10"/>
      <c r="E131" s="37">
        <f>IF(E37,0-Aggreg!E241/E37,0)</f>
        <v>0</v>
      </c>
      <c r="F131" s="10"/>
      <c r="G131" s="10"/>
      <c r="H131" s="17"/>
    </row>
    <row r="132" spans="1:8" x14ac:dyDescent="0.25">
      <c r="A132" s="4" t="s">
        <v>174</v>
      </c>
      <c r="B132" s="37">
        <f>IF(B38,0-Aggreg!B242/B38,0)</f>
        <v>-72.151877292863858</v>
      </c>
      <c r="C132" s="37">
        <f>IF(C38,0-Aggreg!C242/C38,0)</f>
        <v>-324.66143401057047</v>
      </c>
      <c r="D132" s="10"/>
      <c r="E132" s="37">
        <f>IF(E38,0-Aggreg!E242/E38,0)</f>
        <v>0</v>
      </c>
      <c r="F132" s="10"/>
      <c r="G132" s="10"/>
      <c r="H132" s="17"/>
    </row>
    <row r="133" spans="1:8" x14ac:dyDescent="0.25">
      <c r="A133" s="4" t="s">
        <v>214</v>
      </c>
      <c r="B133" s="37">
        <f>IF(B39,0-Aggreg!B243/B39,0)</f>
        <v>-221.55244699664968</v>
      </c>
      <c r="C133" s="10"/>
      <c r="D133" s="10"/>
      <c r="E133" s="10"/>
      <c r="F133" s="10"/>
      <c r="G133" s="10"/>
      <c r="H133" s="17"/>
    </row>
    <row r="134" spans="1:8" x14ac:dyDescent="0.25">
      <c r="A134" s="4" t="s">
        <v>175</v>
      </c>
      <c r="B134" s="37">
        <f>IF(B40,0-Aggreg!B244/B40,0)</f>
        <v>-70.950334603986917</v>
      </c>
      <c r="C134" s="37">
        <f>IF(C40,0-Aggreg!C244/C40,0)</f>
        <v>-324.66990879987128</v>
      </c>
      <c r="D134" s="10"/>
      <c r="E134" s="37">
        <f>IF(E40,0-Aggreg!E244/E40,0)</f>
        <v>0</v>
      </c>
      <c r="F134" s="10"/>
      <c r="G134" s="10"/>
      <c r="H134" s="17"/>
    </row>
    <row r="135" spans="1:8" x14ac:dyDescent="0.25">
      <c r="A135" s="4" t="s">
        <v>176</v>
      </c>
      <c r="B135" s="37">
        <f>IF(B41,0-Aggreg!B245/B41,0)</f>
        <v>-59.824789513394691</v>
      </c>
      <c r="C135" s="37">
        <f>IF(C41,0-Aggreg!C245/C41,0)</f>
        <v>-264.91913066675369</v>
      </c>
      <c r="D135" s="10"/>
      <c r="E135" s="37">
        <f>IF(E41,0-Aggreg!E245/E41,0)</f>
        <v>0</v>
      </c>
      <c r="F135" s="10"/>
      <c r="G135" s="10"/>
      <c r="H135" s="17"/>
    </row>
    <row r="136" spans="1:8" x14ac:dyDescent="0.25">
      <c r="A136" s="4" t="s">
        <v>192</v>
      </c>
      <c r="B136" s="37">
        <f>IF(B42,0-Aggreg!B246/B42,0)</f>
        <v>-35.995216875127461</v>
      </c>
      <c r="C136" s="37">
        <f>IF(C42,0-Aggreg!C246/C42,0)</f>
        <v>-137.91161166142339</v>
      </c>
      <c r="D136" s="10"/>
      <c r="E136" s="37">
        <f>IF(E42,0-Aggreg!E246/E42,0)</f>
        <v>0</v>
      </c>
      <c r="F136" s="10"/>
      <c r="G136" s="10"/>
      <c r="H136" s="17"/>
    </row>
    <row r="137" spans="1:8" x14ac:dyDescent="0.25">
      <c r="A137" s="4" t="s">
        <v>177</v>
      </c>
      <c r="B137" s="37">
        <f>IF(B43,0-Aggreg!B247/B43,0)</f>
        <v>-52.488115732238036</v>
      </c>
      <c r="C137" s="37">
        <f>IF(C43,0-Aggreg!C247/C43,0)</f>
        <v>-216.21363959227162</v>
      </c>
      <c r="D137" s="37">
        <f>IF(D43,0-Aggreg!D247/D43,0)</f>
        <v>-324.82621616564342</v>
      </c>
      <c r="E137" s="37">
        <f>IF(E43,0-Aggreg!E247/E43,0)</f>
        <v>0</v>
      </c>
      <c r="F137" s="10"/>
      <c r="G137" s="10"/>
      <c r="H137" s="17"/>
    </row>
    <row r="138" spans="1:8" x14ac:dyDescent="0.25">
      <c r="A138" s="4" t="s">
        <v>178</v>
      </c>
      <c r="B138" s="37">
        <f>IF(B44,0-Aggreg!B248/B44,0)</f>
        <v>-52.452082103413353</v>
      </c>
      <c r="C138" s="37">
        <f>IF(C44,0-Aggreg!C248/C44,0)</f>
        <v>-216.0471597765698</v>
      </c>
      <c r="D138" s="37">
        <f>IF(D44,0-Aggreg!D248/D44,0)</f>
        <v>-324.57387839077711</v>
      </c>
      <c r="E138" s="37">
        <f>IF(E44,0-Aggreg!E248/E44,0)</f>
        <v>0</v>
      </c>
      <c r="F138" s="10"/>
      <c r="G138" s="10"/>
      <c r="H138" s="17"/>
    </row>
    <row r="139" spans="1:8" x14ac:dyDescent="0.25">
      <c r="A139" s="4" t="s">
        <v>179</v>
      </c>
      <c r="B139" s="37">
        <f>IF(B45,0-Aggreg!B249/B45,0)</f>
        <v>-43.05240035640292</v>
      </c>
      <c r="C139" s="37">
        <f>IF(C45,0-Aggreg!C249/C45,0)</f>
        <v>-168.1209183874586</v>
      </c>
      <c r="D139" s="37">
        <f>IF(D45,0-Aggreg!D249/D45,0)</f>
        <v>-251.7570124930042</v>
      </c>
      <c r="E139" s="37">
        <f>IF(E45,0-Aggreg!E249/E45,0)</f>
        <v>0</v>
      </c>
      <c r="F139" s="37">
        <f>IF(F45,0-Aggreg!F249/F45,0)</f>
        <v>0</v>
      </c>
      <c r="G139" s="37">
        <f>IF(G45,0-Aggreg!G249/G45,0)</f>
        <v>-62.127939443196958</v>
      </c>
      <c r="H139" s="17"/>
    </row>
    <row r="140" spans="1:8" x14ac:dyDescent="0.25">
      <c r="A140" s="4" t="s">
        <v>180</v>
      </c>
      <c r="B140" s="37">
        <f>IF(B46,0-Aggreg!B250/B46,0)</f>
        <v>-36.255215189981527</v>
      </c>
      <c r="C140" s="37">
        <f>IF(C46,0-Aggreg!C250/C46,0)</f>
        <v>-133.46889766284716</v>
      </c>
      <c r="D140" s="37">
        <f>IF(D46,0-Aggreg!D250/D46,0)</f>
        <v>-199.10853979800626</v>
      </c>
      <c r="E140" s="37">
        <f>IF(E46,0-Aggreg!E250/E46,0)</f>
        <v>0</v>
      </c>
      <c r="F140" s="37">
        <f>IF(F46,0-Aggreg!F250/F46,0)</f>
        <v>0</v>
      </c>
      <c r="G140" s="37">
        <f>IF(G46,0-Aggreg!G250/G46,0)</f>
        <v>-50.817256632110258</v>
      </c>
      <c r="H140" s="17"/>
    </row>
    <row r="141" spans="1:8" x14ac:dyDescent="0.25">
      <c r="A141" s="4" t="s">
        <v>193</v>
      </c>
      <c r="B141" s="37">
        <f>IF(B47,0-Aggreg!B251/B47,0)</f>
        <v>-28.354381018203988</v>
      </c>
      <c r="C141" s="37">
        <f>IF(C47,0-Aggreg!C251/C47,0)</f>
        <v>-93.19047905882752</v>
      </c>
      <c r="D141" s="37">
        <f>IF(D47,0-Aggreg!D251/D47,0)</f>
        <v>-137.91161166142334</v>
      </c>
      <c r="E141" s="37">
        <f>IF(E47,0-Aggreg!E251/E47,0)</f>
        <v>0</v>
      </c>
      <c r="F141" s="37">
        <f>IF(F47,0-Aggreg!F251/F47,0)</f>
        <v>0</v>
      </c>
      <c r="G141" s="37">
        <f>IF(G47,0-Aggreg!G251/G47,0)</f>
        <v>-37.739830517770464</v>
      </c>
      <c r="H141" s="17"/>
    </row>
    <row r="142" spans="1:8" x14ac:dyDescent="0.25">
      <c r="A142" s="4" t="s">
        <v>215</v>
      </c>
      <c r="B142" s="37">
        <f>IF(B48,0-Aggreg!B252/B48,0)</f>
        <v>-184.76817071032266</v>
      </c>
      <c r="C142" s="10"/>
      <c r="D142" s="10"/>
      <c r="E142" s="10"/>
      <c r="F142" s="10"/>
      <c r="G142" s="10"/>
      <c r="H142" s="17"/>
    </row>
    <row r="143" spans="1:8" x14ac:dyDescent="0.25">
      <c r="A143" s="4" t="s">
        <v>216</v>
      </c>
      <c r="B143" s="37">
        <f>IF(B49,0-Aggreg!B253/B49,0)</f>
        <v>-128.18737689819764</v>
      </c>
      <c r="C143" s="10"/>
      <c r="D143" s="10"/>
      <c r="E143" s="10"/>
      <c r="F143" s="10"/>
      <c r="G143" s="10"/>
      <c r="H143" s="17"/>
    </row>
    <row r="144" spans="1:8" x14ac:dyDescent="0.25">
      <c r="A144" s="4" t="s">
        <v>217</v>
      </c>
      <c r="B144" s="37">
        <f>IF(B50,0-Aggreg!B254/B50,0)</f>
        <v>-92.407266918656816</v>
      </c>
      <c r="C144" s="10"/>
      <c r="D144" s="10"/>
      <c r="E144" s="10"/>
      <c r="F144" s="10"/>
      <c r="G144" s="10"/>
      <c r="H144" s="17"/>
    </row>
    <row r="145" spans="1:8" x14ac:dyDescent="0.25">
      <c r="A145" s="4" t="s">
        <v>218</v>
      </c>
      <c r="B145" s="37">
        <f>IF(B51,0-Aggreg!B255/B51,0)</f>
        <v>-267.97497433102353</v>
      </c>
      <c r="C145" s="10"/>
      <c r="D145" s="10"/>
      <c r="E145" s="10"/>
      <c r="F145" s="10"/>
      <c r="G145" s="10"/>
      <c r="H145" s="17"/>
    </row>
    <row r="146" spans="1:8" x14ac:dyDescent="0.25">
      <c r="A146" s="4" t="s">
        <v>219</v>
      </c>
      <c r="B146" s="37">
        <f>IF(B52,0-Aggreg!B256/B52,0)</f>
        <v>-53.774164482172843</v>
      </c>
      <c r="C146" s="37">
        <f>IF(C52,0-Aggreg!C256/C52,0)</f>
        <v>-680.37855066912857</v>
      </c>
      <c r="D146" s="37">
        <f>IF(D52,0-Aggreg!D256/D52,0)</f>
        <v>-4245.3431778739641</v>
      </c>
      <c r="E146" s="10"/>
      <c r="F146" s="10"/>
      <c r="G146" s="10"/>
      <c r="H146" s="17"/>
    </row>
    <row r="147" spans="1:8" x14ac:dyDescent="0.25">
      <c r="A147" s="4" t="s">
        <v>181</v>
      </c>
      <c r="B147" s="37">
        <f>IF(B53,0-Aggreg!B257/B53,0)</f>
        <v>-72.271653337821121</v>
      </c>
      <c r="C147" s="10"/>
      <c r="D147" s="10"/>
      <c r="E147" s="37">
        <f>IF(E53,0-Aggreg!E257/E53,0)</f>
        <v>0</v>
      </c>
      <c r="F147" s="10"/>
      <c r="G147" s="10"/>
      <c r="H147" s="17"/>
    </row>
    <row r="148" spans="1:8" x14ac:dyDescent="0.25">
      <c r="A148" s="4" t="s">
        <v>182</v>
      </c>
      <c r="B148" s="37">
        <f>IF(B54,0-Aggreg!B258/B54,0)</f>
        <v>-60.741082173552485</v>
      </c>
      <c r="C148" s="10"/>
      <c r="D148" s="10"/>
      <c r="E148" s="37">
        <f>IF(E54,0-Aggreg!E258/E54,0)</f>
        <v>0</v>
      </c>
      <c r="F148" s="10"/>
      <c r="G148" s="10"/>
      <c r="H148" s="17"/>
    </row>
    <row r="149" spans="1:8" x14ac:dyDescent="0.25">
      <c r="A149" s="4" t="s">
        <v>183</v>
      </c>
      <c r="B149" s="37">
        <f>IF(B55,0-Aggreg!B259/B55,0)</f>
        <v>-72.271653337821121</v>
      </c>
      <c r="C149" s="10"/>
      <c r="D149" s="10"/>
      <c r="E149" s="37">
        <f>IF(E55,0-Aggreg!E259/E55,0)</f>
        <v>0</v>
      </c>
      <c r="F149" s="10"/>
      <c r="G149" s="37">
        <f>IF(G55,0-Aggreg!G259/G55,0)</f>
        <v>-80.429610317195767</v>
      </c>
      <c r="H149" s="17"/>
    </row>
    <row r="150" spans="1:8" x14ac:dyDescent="0.25">
      <c r="A150" s="4" t="s">
        <v>184</v>
      </c>
      <c r="B150" s="37">
        <f>IF(B56,0-Aggreg!B260/B56,0)</f>
        <v>-52.465825510993277</v>
      </c>
      <c r="C150" s="37">
        <f>IF(C56,0-Aggreg!C260/C56,0)</f>
        <v>-216.11051931195112</v>
      </c>
      <c r="D150" s="37">
        <f>IF(D56,0-Aggreg!D260/D56,0)</f>
        <v>-324.66990879987128</v>
      </c>
      <c r="E150" s="37">
        <f>IF(E56,0-Aggreg!E260/E56,0)</f>
        <v>0</v>
      </c>
      <c r="F150" s="10"/>
      <c r="G150" s="37">
        <f>IF(G56,0-Aggreg!G260/G56,0)</f>
        <v>-80.429610317195767</v>
      </c>
      <c r="H150" s="17"/>
    </row>
    <row r="151" spans="1:8" x14ac:dyDescent="0.25">
      <c r="A151" s="4" t="s">
        <v>185</v>
      </c>
      <c r="B151" s="37">
        <f>IF(B57,0-Aggreg!B261/B57,0)</f>
        <v>-60.741082173552485</v>
      </c>
      <c r="C151" s="10"/>
      <c r="D151" s="10"/>
      <c r="E151" s="37">
        <f>IF(E57,0-Aggreg!E261/E57,0)</f>
        <v>0</v>
      </c>
      <c r="F151" s="10"/>
      <c r="G151" s="37">
        <f>IF(G57,0-Aggreg!G261/G57,0)</f>
        <v>-69.713335145811087</v>
      </c>
      <c r="H151" s="17"/>
    </row>
    <row r="152" spans="1:8" x14ac:dyDescent="0.25">
      <c r="A152" s="4" t="s">
        <v>186</v>
      </c>
      <c r="B152" s="37">
        <f>IF(B58,0-Aggreg!B262/B58,0)</f>
        <v>-44.751696648008263</v>
      </c>
      <c r="C152" s="37">
        <f>IF(C58,0-Aggreg!C262/C58,0)</f>
        <v>-176.78392356861141</v>
      </c>
      <c r="D152" s="37">
        <f>IF(D58,0-Aggreg!D262/D58,0)</f>
        <v>-264.91913066675369</v>
      </c>
      <c r="E152" s="37">
        <f>IF(E58,0-Aggreg!E262/E58,0)</f>
        <v>0</v>
      </c>
      <c r="F152" s="10"/>
      <c r="G152" s="37">
        <f>IF(G58,0-Aggreg!G262/G58,0)</f>
        <v>-69.713335145811087</v>
      </c>
      <c r="H152" s="17"/>
    </row>
    <row r="153" spans="1:8" x14ac:dyDescent="0.25">
      <c r="A153" s="4" t="s">
        <v>194</v>
      </c>
      <c r="B153" s="37">
        <f>IF(B59,0-Aggreg!B263/B59,0)</f>
        <v>-44.295597220472658</v>
      </c>
      <c r="C153" s="10"/>
      <c r="D153" s="10"/>
      <c r="E153" s="37">
        <f>IF(E59,0-Aggreg!E263/E59,0)</f>
        <v>0</v>
      </c>
      <c r="F153" s="10"/>
      <c r="G153" s="37">
        <f>IF(G59,0-Aggreg!G263/G59,0)</f>
        <v>-52.684634050554031</v>
      </c>
      <c r="H153" s="17"/>
    </row>
    <row r="154" spans="1:8" x14ac:dyDescent="0.25">
      <c r="A154" s="4" t="s">
        <v>195</v>
      </c>
      <c r="B154" s="37">
        <f>IF(B60,0-Aggreg!B264/B60,0)</f>
        <v>-33.749415118757966</v>
      </c>
      <c r="C154" s="37">
        <f>IF(C60,0-Aggreg!C264/C60,0)</f>
        <v>-120.69433968424102</v>
      </c>
      <c r="D154" s="37">
        <f>IF(D60,0-Aggreg!D264/D60,0)</f>
        <v>-179.69954277955443</v>
      </c>
      <c r="E154" s="37">
        <f>IF(E60,0-Aggreg!E264/E60,0)</f>
        <v>0</v>
      </c>
      <c r="F154" s="10"/>
      <c r="G154" s="37">
        <f>IF(G60,0-Aggreg!G264/G60,0)</f>
        <v>-52.684634050554031</v>
      </c>
      <c r="H154" s="17"/>
    </row>
    <row r="156" spans="1:8" ht="21" customHeight="1" x14ac:dyDescent="0.3">
      <c r="A156" s="1" t="s">
        <v>1205</v>
      </c>
    </row>
    <row r="157" spans="1:8" x14ac:dyDescent="0.25">
      <c r="A157" s="2" t="s">
        <v>350</v>
      </c>
    </row>
    <row r="158" spans="1:8" x14ac:dyDescent="0.25">
      <c r="A158" s="32" t="s">
        <v>1206</v>
      </c>
    </row>
    <row r="159" spans="1:8" x14ac:dyDescent="0.25">
      <c r="A159" s="32" t="s">
        <v>1207</v>
      </c>
    </row>
    <row r="160" spans="1:8" x14ac:dyDescent="0.25">
      <c r="A160" s="32" t="s">
        <v>1208</v>
      </c>
    </row>
    <row r="161" spans="1:3" x14ac:dyDescent="0.25">
      <c r="A161" s="32" t="s">
        <v>1209</v>
      </c>
    </row>
    <row r="162" spans="1:3" x14ac:dyDescent="0.25">
      <c r="A162" s="32" t="s">
        <v>1210</v>
      </c>
    </row>
    <row r="163" spans="1:3" x14ac:dyDescent="0.25">
      <c r="A163" s="32" t="s">
        <v>1211</v>
      </c>
    </row>
    <row r="164" spans="1:3" x14ac:dyDescent="0.25">
      <c r="A164" s="32" t="s">
        <v>1212</v>
      </c>
    </row>
    <row r="165" spans="1:3" x14ac:dyDescent="0.25">
      <c r="A165" s="2" t="s">
        <v>1213</v>
      </c>
    </row>
    <row r="167" spans="1:3" ht="30" x14ac:dyDescent="0.25">
      <c r="B167" s="15" t="s">
        <v>1214</v>
      </c>
    </row>
    <row r="168" spans="1:3" x14ac:dyDescent="0.25">
      <c r="A168" s="4" t="s">
        <v>1214</v>
      </c>
      <c r="B168" s="37">
        <f>Revenue!C69/SUM($B$82:$B$108,$C$82:$C$108,$D$82:$D$108,$E$82:$E$108,$F$82:$F$108,$G$82:$G$108)</f>
        <v>20.774001892565614</v>
      </c>
      <c r="C168" s="17"/>
    </row>
    <row r="170" spans="1:3" ht="21" customHeight="1" x14ac:dyDescent="0.3">
      <c r="A170" s="1" t="s">
        <v>1215</v>
      </c>
    </row>
    <row r="171" spans="1:3" x14ac:dyDescent="0.25">
      <c r="A171" s="2" t="s">
        <v>350</v>
      </c>
    </row>
    <row r="172" spans="1:3" x14ac:dyDescent="0.25">
      <c r="A172" s="32" t="s">
        <v>1216</v>
      </c>
    </row>
    <row r="173" spans="1:3" x14ac:dyDescent="0.25">
      <c r="A173" s="32" t="s">
        <v>1217</v>
      </c>
    </row>
    <row r="174" spans="1:3" x14ac:dyDescent="0.25">
      <c r="A174" s="32" t="s">
        <v>1218</v>
      </c>
    </row>
    <row r="175" spans="1:3" x14ac:dyDescent="0.25">
      <c r="A175" s="32" t="s">
        <v>1219</v>
      </c>
    </row>
    <row r="176" spans="1:3" x14ac:dyDescent="0.25">
      <c r="A176" s="32" t="s">
        <v>1220</v>
      </c>
    </row>
    <row r="177" spans="1:3" x14ac:dyDescent="0.25">
      <c r="A177" s="32" t="s">
        <v>1221</v>
      </c>
    </row>
    <row r="178" spans="1:3" x14ac:dyDescent="0.25">
      <c r="A178" s="32" t="s">
        <v>1222</v>
      </c>
    </row>
    <row r="179" spans="1:3" x14ac:dyDescent="0.25">
      <c r="A179" s="2" t="s">
        <v>1223</v>
      </c>
    </row>
    <row r="181" spans="1:3" x14ac:dyDescent="0.25">
      <c r="B181" s="15" t="s">
        <v>1224</v>
      </c>
    </row>
    <row r="182" spans="1:3" x14ac:dyDescent="0.25">
      <c r="A182" s="4" t="s">
        <v>1224</v>
      </c>
      <c r="B182" s="37">
        <f>MIN(B168,$B$128:$B$154,$C$128:$C$154,$D$128:$D$154,$E$128:$E$154,$F$128:$F$154,$G$128:$G$154)</f>
        <v>-4245.3431778739641</v>
      </c>
      <c r="C182" s="17"/>
    </row>
    <row r="184" spans="1:3" ht="21" customHeight="1" x14ac:dyDescent="0.3">
      <c r="A184" s="1" t="s">
        <v>1225</v>
      </c>
    </row>
    <row r="185" spans="1:3" x14ac:dyDescent="0.25">
      <c r="A185" s="2" t="s">
        <v>350</v>
      </c>
    </row>
    <row r="186" spans="1:3" x14ac:dyDescent="0.25">
      <c r="A186" s="32" t="s">
        <v>1226</v>
      </c>
    </row>
    <row r="187" spans="1:3" x14ac:dyDescent="0.25">
      <c r="A187" s="32" t="s">
        <v>1207</v>
      </c>
    </row>
    <row r="188" spans="1:3" x14ac:dyDescent="0.25">
      <c r="A188" s="32" t="s">
        <v>1208</v>
      </c>
    </row>
    <row r="189" spans="1:3" x14ac:dyDescent="0.25">
      <c r="A189" s="32" t="s">
        <v>1209</v>
      </c>
    </row>
    <row r="190" spans="1:3" x14ac:dyDescent="0.25">
      <c r="A190" s="32" t="s">
        <v>1210</v>
      </c>
    </row>
    <row r="191" spans="1:3" x14ac:dyDescent="0.25">
      <c r="A191" s="32" t="s">
        <v>1211</v>
      </c>
    </row>
    <row r="192" spans="1:3" x14ac:dyDescent="0.25">
      <c r="A192" s="32" t="s">
        <v>1212</v>
      </c>
    </row>
    <row r="193" spans="1:14" x14ac:dyDescent="0.25">
      <c r="A193" s="32" t="s">
        <v>1227</v>
      </c>
    </row>
    <row r="194" spans="1:14" x14ac:dyDescent="0.25">
      <c r="A194" s="32" t="s">
        <v>1228</v>
      </c>
    </row>
    <row r="195" spans="1:14" x14ac:dyDescent="0.25">
      <c r="A195" s="32" t="s">
        <v>1229</v>
      </c>
    </row>
    <row r="196" spans="1:14" x14ac:dyDescent="0.25">
      <c r="A196" s="32" t="s">
        <v>1230</v>
      </c>
    </row>
    <row r="197" spans="1:14" x14ac:dyDescent="0.25">
      <c r="A197" s="32" t="s">
        <v>1231</v>
      </c>
    </row>
    <row r="198" spans="1:14" x14ac:dyDescent="0.25">
      <c r="A198" s="32" t="s">
        <v>1232</v>
      </c>
    </row>
    <row r="199" spans="1:14" x14ac:dyDescent="0.25">
      <c r="A199" s="32" t="s">
        <v>1233</v>
      </c>
    </row>
    <row r="200" spans="1:14" x14ac:dyDescent="0.25">
      <c r="A200" s="32" t="s">
        <v>1234</v>
      </c>
    </row>
    <row r="201" spans="1:14" x14ac:dyDescent="0.25">
      <c r="A201" s="32" t="s">
        <v>1235</v>
      </c>
    </row>
    <row r="202" spans="1:14" x14ac:dyDescent="0.25">
      <c r="A202" s="32" t="s">
        <v>1236</v>
      </c>
    </row>
    <row r="203" spans="1:14" x14ac:dyDescent="0.25">
      <c r="A203" s="32" t="s">
        <v>1237</v>
      </c>
    </row>
    <row r="204" spans="1:14" x14ac:dyDescent="0.25">
      <c r="A204" s="32" t="s">
        <v>1238</v>
      </c>
    </row>
    <row r="205" spans="1:14" x14ac:dyDescent="0.25">
      <c r="A205" s="32" t="s">
        <v>1239</v>
      </c>
    </row>
    <row r="206" spans="1:14" x14ac:dyDescent="0.25">
      <c r="A206" s="32" t="s">
        <v>1240</v>
      </c>
    </row>
    <row r="207" spans="1:14" x14ac:dyDescent="0.25">
      <c r="A207" s="33" t="s">
        <v>353</v>
      </c>
      <c r="B207" s="33" t="s">
        <v>421</v>
      </c>
      <c r="C207" s="33" t="s">
        <v>421</v>
      </c>
      <c r="D207" s="33" t="s">
        <v>421</v>
      </c>
      <c r="E207" s="33" t="s">
        <v>421</v>
      </c>
      <c r="F207" s="33" t="s">
        <v>421</v>
      </c>
      <c r="G207" s="33" t="s">
        <v>354</v>
      </c>
      <c r="H207" s="33" t="s">
        <v>483</v>
      </c>
      <c r="I207" s="33" t="s">
        <v>421</v>
      </c>
      <c r="J207" s="33" t="s">
        <v>421</v>
      </c>
      <c r="K207" s="33" t="s">
        <v>421</v>
      </c>
      <c r="L207" s="33" t="s">
        <v>421</v>
      </c>
      <c r="M207" s="33" t="s">
        <v>421</v>
      </c>
      <c r="N207" s="33" t="s">
        <v>421</v>
      </c>
    </row>
    <row r="208" spans="1:14" ht="30" x14ac:dyDescent="0.25">
      <c r="A208" s="33" t="s">
        <v>356</v>
      </c>
      <c r="B208" s="33" t="s">
        <v>414</v>
      </c>
      <c r="C208" s="33" t="s">
        <v>421</v>
      </c>
      <c r="D208" s="33" t="s">
        <v>1241</v>
      </c>
      <c r="E208" s="33" t="s">
        <v>1242</v>
      </c>
      <c r="F208" s="33" t="s">
        <v>1243</v>
      </c>
      <c r="G208" s="33" t="s">
        <v>357</v>
      </c>
      <c r="H208" s="33" t="s">
        <v>1244</v>
      </c>
      <c r="I208" s="33" t="s">
        <v>1245</v>
      </c>
      <c r="J208" s="33" t="s">
        <v>1246</v>
      </c>
      <c r="K208" s="33" t="s">
        <v>1247</v>
      </c>
      <c r="L208" s="33" t="s">
        <v>421</v>
      </c>
      <c r="M208" s="33" t="s">
        <v>421</v>
      </c>
      <c r="N208" s="33" t="s">
        <v>421</v>
      </c>
    </row>
    <row r="210" spans="1:15" ht="30" x14ac:dyDescent="0.25">
      <c r="B210" s="15" t="s">
        <v>1248</v>
      </c>
      <c r="C210" s="15" t="s">
        <v>1249</v>
      </c>
      <c r="D210" s="15" t="s">
        <v>1250</v>
      </c>
      <c r="E210" s="15" t="s">
        <v>1251</v>
      </c>
      <c r="F210" s="15" t="s">
        <v>1252</v>
      </c>
      <c r="G210" s="15" t="s">
        <v>1253</v>
      </c>
      <c r="H210" s="15" t="s">
        <v>1254</v>
      </c>
      <c r="I210" s="15" t="s">
        <v>1255</v>
      </c>
      <c r="J210" s="15" t="s">
        <v>1256</v>
      </c>
      <c r="K210" s="15" t="s">
        <v>1257</v>
      </c>
      <c r="L210" s="15" t="s">
        <v>1258</v>
      </c>
      <c r="M210" s="15" t="s">
        <v>9</v>
      </c>
      <c r="N210" s="15" t="s">
        <v>1259</v>
      </c>
    </row>
    <row r="211" spans="1:15" x14ac:dyDescent="0.25">
      <c r="A211" s="4" t="s">
        <v>1224</v>
      </c>
      <c r="B211" s="37">
        <f>B182</f>
        <v>-4245.3431778739641</v>
      </c>
      <c r="C211" s="10"/>
      <c r="D211" s="10"/>
      <c r="E211" s="10"/>
      <c r="F211" s="10"/>
      <c r="G211" s="36">
        <v>0</v>
      </c>
      <c r="H211" s="21">
        <f t="shared" ref="H211:H242" si="0">F211*162+G211</f>
        <v>0</v>
      </c>
      <c r="I211" s="10"/>
      <c r="J211" s="10"/>
      <c r="K211" s="37">
        <f>B211</f>
        <v>-4245.3431778739641</v>
      </c>
      <c r="L211" s="37">
        <f>SUM(D$211:D$372)</f>
        <v>0</v>
      </c>
      <c r="M211" s="37">
        <f>SUM($E$211:$E$372)-Revenue!$C$69</f>
        <v>-315702243.93182456</v>
      </c>
      <c r="N211" s="37">
        <f>IF(M$211&gt;0,K211,IF(M$373&gt;0,"",$B$168))</f>
        <v>20.774001892565614</v>
      </c>
      <c r="O211" s="17"/>
    </row>
    <row r="212" spans="1:15" x14ac:dyDescent="0.25">
      <c r="A212" s="4" t="s">
        <v>1260</v>
      </c>
      <c r="B212" s="37">
        <f t="shared" ref="B212:B238" si="1">B128</f>
        <v>-67.918705693417266</v>
      </c>
      <c r="C212" s="37">
        <f t="shared" ref="C212:C238" si="2">B82</f>
        <v>1633817.0374850566</v>
      </c>
      <c r="D212" s="37">
        <f t="shared" ref="D212:D243" si="3">IF(ISERROR(B212),C212,0)</f>
        <v>0</v>
      </c>
      <c r="E212" s="37">
        <f t="shared" ref="E212:E243" si="4">MAX($B$182,B212)*C212</f>
        <v>-110966738.52583843</v>
      </c>
      <c r="F212" s="21">
        <f t="shared" ref="F212:F243" si="5">RANK(B212,B$212:B$373,1)</f>
        <v>39</v>
      </c>
      <c r="G212" s="36">
        <v>1</v>
      </c>
      <c r="H212" s="21">
        <f t="shared" si="0"/>
        <v>6319</v>
      </c>
      <c r="I212" s="21">
        <f t="shared" ref="I212:I243" si="6">RANK(H212,H$212:H$373,1)</f>
        <v>39</v>
      </c>
      <c r="J212" s="21">
        <f t="shared" ref="J212:J243" si="7">MATCH(G212,I$212:I$373,0)</f>
        <v>73</v>
      </c>
      <c r="K212" s="37">
        <f t="shared" ref="K212:K243" si="8">INDEX(B$212:B$373,J212,1)</f>
        <v>-4245.3431778739641</v>
      </c>
      <c r="L212" s="37">
        <f t="shared" ref="L212:L243" si="9">L211+INDEX(C$212:C$373,J212,1)</f>
        <v>833.83441303621294</v>
      </c>
      <c r="M212" s="37">
        <f t="shared" ref="M212:M243" si="10">M211+(K212-K211)*L211</f>
        <v>-315702243.93182456</v>
      </c>
      <c r="N212" s="37" t="str">
        <f t="shared" ref="N212:N243" si="11">IF((M211&gt;0)=(M212&gt;0),"",K212-M212/L211)</f>
        <v/>
      </c>
      <c r="O212" s="17"/>
    </row>
    <row r="213" spans="1:15" x14ac:dyDescent="0.25">
      <c r="A213" s="4" t="s">
        <v>1261</v>
      </c>
      <c r="B213" s="37">
        <f t="shared" si="1"/>
        <v>-67.415051099214594</v>
      </c>
      <c r="C213" s="37">
        <f t="shared" si="2"/>
        <v>139745.81982661848</v>
      </c>
      <c r="D213" s="37">
        <f t="shared" si="3"/>
        <v>0</v>
      </c>
      <c r="E213" s="37">
        <f t="shared" si="4"/>
        <v>-9420971.5845131204</v>
      </c>
      <c r="F213" s="21">
        <f t="shared" si="5"/>
        <v>40</v>
      </c>
      <c r="G213" s="36">
        <v>2</v>
      </c>
      <c r="H213" s="21">
        <f t="shared" si="0"/>
        <v>6482</v>
      </c>
      <c r="I213" s="21">
        <f t="shared" si="6"/>
        <v>40</v>
      </c>
      <c r="J213" s="21">
        <f t="shared" si="7"/>
        <v>46</v>
      </c>
      <c r="K213" s="37">
        <f t="shared" si="8"/>
        <v>-680.37855066912857</v>
      </c>
      <c r="L213" s="37">
        <f t="shared" si="9"/>
        <v>2037.8903000337975</v>
      </c>
      <c r="M213" s="37">
        <f t="shared" si="10"/>
        <v>-312729653.74440438</v>
      </c>
      <c r="N213" s="37" t="str">
        <f t="shared" si="11"/>
        <v/>
      </c>
      <c r="O213" s="17"/>
    </row>
    <row r="214" spans="1:15" x14ac:dyDescent="0.25">
      <c r="A214" s="4" t="s">
        <v>1262</v>
      </c>
      <c r="B214" s="37">
        <f t="shared" si="1"/>
        <v>-161.52240752668655</v>
      </c>
      <c r="C214" s="37">
        <f t="shared" si="2"/>
        <v>227.75990526410027</v>
      </c>
      <c r="D214" s="37">
        <f t="shared" si="3"/>
        <v>0</v>
      </c>
      <c r="E214" s="37">
        <f t="shared" si="4"/>
        <v>-36788.328236307527</v>
      </c>
      <c r="F214" s="21">
        <f t="shared" si="5"/>
        <v>22</v>
      </c>
      <c r="G214" s="36">
        <v>3</v>
      </c>
      <c r="H214" s="21">
        <f t="shared" si="0"/>
        <v>3567</v>
      </c>
      <c r="I214" s="21">
        <f t="shared" si="6"/>
        <v>22</v>
      </c>
      <c r="J214" s="21">
        <f t="shared" si="7"/>
        <v>64</v>
      </c>
      <c r="K214" s="37">
        <f t="shared" si="8"/>
        <v>-324.82621616564342</v>
      </c>
      <c r="L214" s="37">
        <f t="shared" si="9"/>
        <v>2037.8903000337975</v>
      </c>
      <c r="M214" s="37">
        <f t="shared" si="10"/>
        <v>-312005077.09076536</v>
      </c>
      <c r="N214" s="37" t="str">
        <f t="shared" si="11"/>
        <v/>
      </c>
      <c r="O214" s="17"/>
    </row>
    <row r="215" spans="1:15" x14ac:dyDescent="0.25">
      <c r="A215" s="4" t="s">
        <v>1263</v>
      </c>
      <c r="B215" s="37">
        <f t="shared" si="1"/>
        <v>-73.894278302788379</v>
      </c>
      <c r="C215" s="37">
        <f t="shared" si="2"/>
        <v>347685.63322733651</v>
      </c>
      <c r="D215" s="37">
        <f t="shared" si="3"/>
        <v>0</v>
      </c>
      <c r="E215" s="37">
        <f t="shared" si="4"/>
        <v>-25691978.94358201</v>
      </c>
      <c r="F215" s="21">
        <f t="shared" si="5"/>
        <v>32</v>
      </c>
      <c r="G215" s="36">
        <v>4</v>
      </c>
      <c r="H215" s="21">
        <f t="shared" si="0"/>
        <v>5188</v>
      </c>
      <c r="I215" s="21">
        <f t="shared" si="6"/>
        <v>32</v>
      </c>
      <c r="J215" s="21">
        <f t="shared" si="7"/>
        <v>34</v>
      </c>
      <c r="K215" s="37">
        <f t="shared" si="8"/>
        <v>-324.66990879987128</v>
      </c>
      <c r="L215" s="37">
        <f t="shared" si="9"/>
        <v>2037.8903000337975</v>
      </c>
      <c r="M215" s="37">
        <f t="shared" si="10"/>
        <v>-312004758.55350083</v>
      </c>
      <c r="N215" s="37" t="str">
        <f t="shared" si="11"/>
        <v/>
      </c>
      <c r="O215" s="17"/>
    </row>
    <row r="216" spans="1:15" x14ac:dyDescent="0.25">
      <c r="A216" s="4" t="s">
        <v>1264</v>
      </c>
      <c r="B216" s="37">
        <f t="shared" si="1"/>
        <v>-72.151877292863858</v>
      </c>
      <c r="C216" s="37">
        <f t="shared" si="2"/>
        <v>131214.80424889136</v>
      </c>
      <c r="D216" s="37">
        <f t="shared" si="3"/>
        <v>0</v>
      </c>
      <c r="E216" s="37">
        <f t="shared" si="4"/>
        <v>-9467394.4551731609</v>
      </c>
      <c r="F216" s="21">
        <f t="shared" si="5"/>
        <v>35</v>
      </c>
      <c r="G216" s="36">
        <v>5</v>
      </c>
      <c r="H216" s="21">
        <f t="shared" si="0"/>
        <v>5675</v>
      </c>
      <c r="I216" s="21">
        <f t="shared" si="6"/>
        <v>35</v>
      </c>
      <c r="J216" s="21">
        <f t="shared" si="7"/>
        <v>77</v>
      </c>
      <c r="K216" s="37">
        <f t="shared" si="8"/>
        <v>-324.66990879987128</v>
      </c>
      <c r="L216" s="37">
        <f t="shared" si="9"/>
        <v>2037.8903000337975</v>
      </c>
      <c r="M216" s="37">
        <f t="shared" si="10"/>
        <v>-312004758.55350083</v>
      </c>
      <c r="N216" s="37" t="str">
        <f t="shared" si="11"/>
        <v/>
      </c>
      <c r="O216" s="17"/>
    </row>
    <row r="217" spans="1:15" x14ac:dyDescent="0.25">
      <c r="A217" s="4" t="s">
        <v>1265</v>
      </c>
      <c r="B217" s="37">
        <f t="shared" si="1"/>
        <v>-221.55244699664968</v>
      </c>
      <c r="C217" s="37">
        <f t="shared" si="2"/>
        <v>135.28966762024857</v>
      </c>
      <c r="D217" s="37">
        <f t="shared" si="3"/>
        <v>0</v>
      </c>
      <c r="E217" s="37">
        <f t="shared" si="4"/>
        <v>-29973.756914629474</v>
      </c>
      <c r="F217" s="21">
        <f t="shared" si="5"/>
        <v>13</v>
      </c>
      <c r="G217" s="36">
        <v>6</v>
      </c>
      <c r="H217" s="21">
        <f t="shared" si="0"/>
        <v>2112</v>
      </c>
      <c r="I217" s="21">
        <f t="shared" si="6"/>
        <v>13</v>
      </c>
      <c r="J217" s="21">
        <f t="shared" si="7"/>
        <v>29</v>
      </c>
      <c r="K217" s="37">
        <f t="shared" si="8"/>
        <v>-324.66990879987105</v>
      </c>
      <c r="L217" s="37">
        <f t="shared" si="9"/>
        <v>4707.5625468271282</v>
      </c>
      <c r="M217" s="37">
        <f t="shared" si="10"/>
        <v>-312004758.55350083</v>
      </c>
      <c r="N217" s="37" t="str">
        <f t="shared" si="11"/>
        <v/>
      </c>
      <c r="O217" s="17"/>
    </row>
    <row r="218" spans="1:15" x14ac:dyDescent="0.25">
      <c r="A218" s="4" t="s">
        <v>1266</v>
      </c>
      <c r="B218" s="37">
        <f t="shared" si="1"/>
        <v>-70.950334603986917</v>
      </c>
      <c r="C218" s="37">
        <f t="shared" si="2"/>
        <v>0</v>
      </c>
      <c r="D218" s="37">
        <f t="shared" si="3"/>
        <v>0</v>
      </c>
      <c r="E218" s="37">
        <f t="shared" si="4"/>
        <v>0</v>
      </c>
      <c r="F218" s="21">
        <f t="shared" si="5"/>
        <v>36</v>
      </c>
      <c r="G218" s="36">
        <v>7</v>
      </c>
      <c r="H218" s="21">
        <f t="shared" si="0"/>
        <v>5839</v>
      </c>
      <c r="I218" s="21">
        <f t="shared" si="6"/>
        <v>36</v>
      </c>
      <c r="J218" s="21">
        <f t="shared" si="7"/>
        <v>32</v>
      </c>
      <c r="K218" s="37">
        <f t="shared" si="8"/>
        <v>-324.66143401057047</v>
      </c>
      <c r="L218" s="37">
        <f t="shared" si="9"/>
        <v>5752.8706485454104</v>
      </c>
      <c r="M218" s="37">
        <f t="shared" si="10"/>
        <v>-312004718.65790015</v>
      </c>
      <c r="N218" s="37" t="str">
        <f t="shared" si="11"/>
        <v/>
      </c>
      <c r="O218" s="17"/>
    </row>
    <row r="219" spans="1:15" x14ac:dyDescent="0.25">
      <c r="A219" s="4" t="s">
        <v>1267</v>
      </c>
      <c r="B219" s="37">
        <f t="shared" si="1"/>
        <v>-59.824789513394691</v>
      </c>
      <c r="C219" s="37">
        <f t="shared" si="2"/>
        <v>0</v>
      </c>
      <c r="D219" s="37">
        <f t="shared" si="3"/>
        <v>0</v>
      </c>
      <c r="E219" s="37">
        <f t="shared" si="4"/>
        <v>0</v>
      </c>
      <c r="F219" s="21">
        <f t="shared" si="5"/>
        <v>44</v>
      </c>
      <c r="G219" s="36">
        <v>8</v>
      </c>
      <c r="H219" s="21">
        <f t="shared" si="0"/>
        <v>7136</v>
      </c>
      <c r="I219" s="21">
        <f t="shared" si="6"/>
        <v>44</v>
      </c>
      <c r="J219" s="21">
        <f t="shared" si="7"/>
        <v>65</v>
      </c>
      <c r="K219" s="37">
        <f t="shared" si="8"/>
        <v>-324.57387839077711</v>
      </c>
      <c r="L219" s="37">
        <f t="shared" si="9"/>
        <v>7015.3314978595363</v>
      </c>
      <c r="M219" s="37">
        <f t="shared" si="10"/>
        <v>-312004214.9617449</v>
      </c>
      <c r="N219" s="37" t="str">
        <f t="shared" si="11"/>
        <v/>
      </c>
      <c r="O219" s="17"/>
    </row>
    <row r="220" spans="1:15" x14ac:dyDescent="0.25">
      <c r="A220" s="4" t="s">
        <v>1268</v>
      </c>
      <c r="B220" s="37">
        <f t="shared" si="1"/>
        <v>-35.995216875127461</v>
      </c>
      <c r="C220" s="37">
        <f t="shared" si="2"/>
        <v>1266.3031833757771</v>
      </c>
      <c r="D220" s="37">
        <f t="shared" si="3"/>
        <v>0</v>
      </c>
      <c r="E220" s="37">
        <f t="shared" si="4"/>
        <v>-45580.857715275393</v>
      </c>
      <c r="F220" s="21">
        <f t="shared" si="5"/>
        <v>57</v>
      </c>
      <c r="G220" s="36">
        <v>9</v>
      </c>
      <c r="H220" s="21">
        <f t="shared" si="0"/>
        <v>9243</v>
      </c>
      <c r="I220" s="21">
        <f t="shared" si="6"/>
        <v>57</v>
      </c>
      <c r="J220" s="21">
        <f t="shared" si="7"/>
        <v>18</v>
      </c>
      <c r="K220" s="37">
        <f t="shared" si="8"/>
        <v>-267.97497433102353</v>
      </c>
      <c r="L220" s="37">
        <f t="shared" si="9"/>
        <v>7015.3387691174457</v>
      </c>
      <c r="M220" s="37">
        <f t="shared" si="10"/>
        <v>-311607154.8873502</v>
      </c>
      <c r="N220" s="37" t="str">
        <f t="shared" si="11"/>
        <v/>
      </c>
      <c r="O220" s="17"/>
    </row>
    <row r="221" spans="1:15" x14ac:dyDescent="0.25">
      <c r="A221" s="4" t="s">
        <v>1269</v>
      </c>
      <c r="B221" s="37">
        <f t="shared" si="1"/>
        <v>-52.488115732238036</v>
      </c>
      <c r="C221" s="37">
        <f t="shared" si="2"/>
        <v>0</v>
      </c>
      <c r="D221" s="37">
        <f t="shared" si="3"/>
        <v>0</v>
      </c>
      <c r="E221" s="37">
        <f t="shared" si="4"/>
        <v>0</v>
      </c>
      <c r="F221" s="21">
        <f t="shared" si="5"/>
        <v>48</v>
      </c>
      <c r="G221" s="36">
        <v>10</v>
      </c>
      <c r="H221" s="21">
        <f t="shared" si="0"/>
        <v>7786</v>
      </c>
      <c r="I221" s="21">
        <f t="shared" si="6"/>
        <v>48</v>
      </c>
      <c r="J221" s="21">
        <f t="shared" si="7"/>
        <v>35</v>
      </c>
      <c r="K221" s="37">
        <f t="shared" si="8"/>
        <v>-264.91913066675369</v>
      </c>
      <c r="L221" s="37">
        <f t="shared" si="9"/>
        <v>7015.3387691174457</v>
      </c>
      <c r="M221" s="37">
        <f t="shared" si="10"/>
        <v>-311585717.1088199</v>
      </c>
      <c r="N221" s="37" t="str">
        <f t="shared" si="11"/>
        <v/>
      </c>
      <c r="O221" s="17"/>
    </row>
    <row r="222" spans="1:15" x14ac:dyDescent="0.25">
      <c r="A222" s="4" t="s">
        <v>1270</v>
      </c>
      <c r="B222" s="37">
        <f t="shared" si="1"/>
        <v>-52.452082103413353</v>
      </c>
      <c r="C222" s="37">
        <f t="shared" si="2"/>
        <v>97297.231047896217</v>
      </c>
      <c r="D222" s="37">
        <f t="shared" si="3"/>
        <v>0</v>
      </c>
      <c r="E222" s="37">
        <f t="shared" si="4"/>
        <v>-5103442.3513590312</v>
      </c>
      <c r="F222" s="21">
        <f t="shared" si="5"/>
        <v>50</v>
      </c>
      <c r="G222" s="36">
        <v>11</v>
      </c>
      <c r="H222" s="21">
        <f t="shared" si="0"/>
        <v>8111</v>
      </c>
      <c r="I222" s="21">
        <f t="shared" si="6"/>
        <v>50</v>
      </c>
      <c r="J222" s="21">
        <f t="shared" si="7"/>
        <v>79</v>
      </c>
      <c r="K222" s="37">
        <f t="shared" si="8"/>
        <v>-264.91913066675369</v>
      </c>
      <c r="L222" s="37">
        <f t="shared" si="9"/>
        <v>7015.3387691174457</v>
      </c>
      <c r="M222" s="37">
        <f t="shared" si="10"/>
        <v>-311585717.1088199</v>
      </c>
      <c r="N222" s="37" t="str">
        <f t="shared" si="11"/>
        <v/>
      </c>
      <c r="O222" s="17"/>
    </row>
    <row r="223" spans="1:15" x14ac:dyDescent="0.25">
      <c r="A223" s="4" t="s">
        <v>1271</v>
      </c>
      <c r="B223" s="37">
        <f t="shared" si="1"/>
        <v>-43.05240035640292</v>
      </c>
      <c r="C223" s="37">
        <f t="shared" si="2"/>
        <v>372702.11193309247</v>
      </c>
      <c r="D223" s="37">
        <f t="shared" si="3"/>
        <v>0</v>
      </c>
      <c r="E223" s="37">
        <f t="shared" si="4"/>
        <v>-16045720.536620392</v>
      </c>
      <c r="F223" s="21">
        <f t="shared" si="5"/>
        <v>54</v>
      </c>
      <c r="G223" s="36">
        <v>12</v>
      </c>
      <c r="H223" s="21">
        <f t="shared" si="0"/>
        <v>8760</v>
      </c>
      <c r="I223" s="21">
        <f t="shared" si="6"/>
        <v>54</v>
      </c>
      <c r="J223" s="21">
        <f t="shared" si="7"/>
        <v>66</v>
      </c>
      <c r="K223" s="37">
        <f t="shared" si="8"/>
        <v>-251.7570124930042</v>
      </c>
      <c r="L223" s="37">
        <f t="shared" si="9"/>
        <v>11863.882402597541</v>
      </c>
      <c r="M223" s="37">
        <f t="shared" si="10"/>
        <v>-311493380.39091188</v>
      </c>
      <c r="N223" s="37" t="str">
        <f t="shared" si="11"/>
        <v/>
      </c>
      <c r="O223" s="17"/>
    </row>
    <row r="224" spans="1:15" x14ac:dyDescent="0.25">
      <c r="A224" s="4" t="s">
        <v>1272</v>
      </c>
      <c r="B224" s="37">
        <f t="shared" si="1"/>
        <v>-36.255215189981527</v>
      </c>
      <c r="C224" s="37">
        <f t="shared" si="2"/>
        <v>195543.1831882298</v>
      </c>
      <c r="D224" s="37">
        <f t="shared" si="3"/>
        <v>0</v>
      </c>
      <c r="E224" s="37">
        <f t="shared" si="4"/>
        <v>-7089460.1854232494</v>
      </c>
      <c r="F224" s="21">
        <f t="shared" si="5"/>
        <v>56</v>
      </c>
      <c r="G224" s="36">
        <v>13</v>
      </c>
      <c r="H224" s="21">
        <f t="shared" si="0"/>
        <v>9085</v>
      </c>
      <c r="I224" s="21">
        <f t="shared" si="6"/>
        <v>56</v>
      </c>
      <c r="J224" s="21">
        <f t="shared" si="7"/>
        <v>6</v>
      </c>
      <c r="K224" s="37">
        <f t="shared" si="8"/>
        <v>-221.55244699664968</v>
      </c>
      <c r="L224" s="37">
        <f t="shared" si="9"/>
        <v>11999.17207021779</v>
      </c>
      <c r="M224" s="37">
        <f t="shared" si="10"/>
        <v>-311135036.97784156</v>
      </c>
      <c r="N224" s="37" t="str">
        <f t="shared" si="11"/>
        <v/>
      </c>
      <c r="O224" s="17"/>
    </row>
    <row r="225" spans="1:15" x14ac:dyDescent="0.25">
      <c r="A225" s="4" t="s">
        <v>1273</v>
      </c>
      <c r="B225" s="37">
        <f t="shared" si="1"/>
        <v>-28.354381018203988</v>
      </c>
      <c r="C225" s="37">
        <f t="shared" si="2"/>
        <v>650783.14054792444</v>
      </c>
      <c r="D225" s="37">
        <f t="shared" si="3"/>
        <v>0</v>
      </c>
      <c r="E225" s="37">
        <f t="shared" si="4"/>
        <v>-18452553.127319247</v>
      </c>
      <c r="F225" s="21">
        <f t="shared" si="5"/>
        <v>59</v>
      </c>
      <c r="G225" s="36">
        <v>14</v>
      </c>
      <c r="H225" s="21">
        <f t="shared" si="0"/>
        <v>9572</v>
      </c>
      <c r="I225" s="21">
        <f t="shared" si="6"/>
        <v>59</v>
      </c>
      <c r="J225" s="21">
        <f t="shared" si="7"/>
        <v>37</v>
      </c>
      <c r="K225" s="37">
        <f t="shared" si="8"/>
        <v>-216.21363959227162</v>
      </c>
      <c r="L225" s="37">
        <f t="shared" si="9"/>
        <v>11999.17207021779</v>
      </c>
      <c r="M225" s="37">
        <f t="shared" si="10"/>
        <v>-311070975.70914668</v>
      </c>
      <c r="N225" s="37" t="str">
        <f t="shared" si="11"/>
        <v/>
      </c>
      <c r="O225" s="17"/>
    </row>
    <row r="226" spans="1:15" x14ac:dyDescent="0.25">
      <c r="A226" s="4" t="s">
        <v>1274</v>
      </c>
      <c r="B226" s="37">
        <f t="shared" si="1"/>
        <v>-184.76817071032266</v>
      </c>
      <c r="C226" s="37">
        <f t="shared" si="2"/>
        <v>5086.7581084223739</v>
      </c>
      <c r="D226" s="37">
        <f t="shared" si="3"/>
        <v>0</v>
      </c>
      <c r="E226" s="37">
        <f t="shared" si="4"/>
        <v>-939870.99053910316</v>
      </c>
      <c r="F226" s="21">
        <f t="shared" si="5"/>
        <v>18</v>
      </c>
      <c r="G226" s="36">
        <v>15</v>
      </c>
      <c r="H226" s="21">
        <f t="shared" si="0"/>
        <v>2931</v>
      </c>
      <c r="I226" s="21">
        <f t="shared" si="6"/>
        <v>18</v>
      </c>
      <c r="J226" s="21">
        <f t="shared" si="7"/>
        <v>50</v>
      </c>
      <c r="K226" s="37">
        <f t="shared" si="8"/>
        <v>-216.11051931195112</v>
      </c>
      <c r="L226" s="37">
        <f t="shared" si="9"/>
        <v>11999.17207021779</v>
      </c>
      <c r="M226" s="37">
        <f t="shared" si="10"/>
        <v>-311069738.35115916</v>
      </c>
      <c r="N226" s="37" t="str">
        <f t="shared" si="11"/>
        <v/>
      </c>
      <c r="O226" s="17"/>
    </row>
    <row r="227" spans="1:15" x14ac:dyDescent="0.25">
      <c r="A227" s="4" t="s">
        <v>1275</v>
      </c>
      <c r="B227" s="37">
        <f t="shared" si="1"/>
        <v>-128.18737689819764</v>
      </c>
      <c r="C227" s="37">
        <f t="shared" si="2"/>
        <v>2196.3807536693721</v>
      </c>
      <c r="D227" s="37">
        <f t="shared" si="3"/>
        <v>0</v>
      </c>
      <c r="E227" s="37">
        <f t="shared" si="4"/>
        <v>-281548.28748256317</v>
      </c>
      <c r="F227" s="21">
        <f t="shared" si="5"/>
        <v>26</v>
      </c>
      <c r="G227" s="36">
        <v>16</v>
      </c>
      <c r="H227" s="21">
        <f t="shared" si="0"/>
        <v>4228</v>
      </c>
      <c r="I227" s="21">
        <f t="shared" si="6"/>
        <v>26</v>
      </c>
      <c r="J227" s="21">
        <f t="shared" si="7"/>
        <v>38</v>
      </c>
      <c r="K227" s="37">
        <f t="shared" si="8"/>
        <v>-216.0471597765698</v>
      </c>
      <c r="L227" s="37">
        <f t="shared" si="9"/>
        <v>22999.494621586739</v>
      </c>
      <c r="M227" s="37">
        <f t="shared" si="10"/>
        <v>-311068978.08919185</v>
      </c>
      <c r="N227" s="37" t="str">
        <f t="shared" si="11"/>
        <v/>
      </c>
      <c r="O227" s="17"/>
    </row>
    <row r="228" spans="1:15" x14ac:dyDescent="0.25">
      <c r="A228" s="4" t="s">
        <v>1276</v>
      </c>
      <c r="B228" s="37">
        <f t="shared" si="1"/>
        <v>-92.407266918656816</v>
      </c>
      <c r="C228" s="37">
        <f t="shared" si="2"/>
        <v>109.26357265125833</v>
      </c>
      <c r="D228" s="37">
        <f t="shared" si="3"/>
        <v>0</v>
      </c>
      <c r="E228" s="37">
        <f t="shared" si="4"/>
        <v>-10096.748122470879</v>
      </c>
      <c r="F228" s="21">
        <f t="shared" si="5"/>
        <v>29</v>
      </c>
      <c r="G228" s="36">
        <v>17</v>
      </c>
      <c r="H228" s="21">
        <f t="shared" si="0"/>
        <v>4715</v>
      </c>
      <c r="I228" s="21">
        <f t="shared" si="6"/>
        <v>29</v>
      </c>
      <c r="J228" s="21">
        <f t="shared" si="7"/>
        <v>67</v>
      </c>
      <c r="K228" s="37">
        <f t="shared" si="8"/>
        <v>-199.10853979800626</v>
      </c>
      <c r="L228" s="37">
        <f t="shared" si="9"/>
        <v>25675.283820166784</v>
      </c>
      <c r="M228" s="37">
        <f t="shared" si="10"/>
        <v>-310679398.3900978</v>
      </c>
      <c r="N228" s="37" t="str">
        <f t="shared" si="11"/>
        <v/>
      </c>
      <c r="O228" s="17"/>
    </row>
    <row r="229" spans="1:15" x14ac:dyDescent="0.25">
      <c r="A229" s="4" t="s">
        <v>1277</v>
      </c>
      <c r="B229" s="37">
        <f t="shared" si="1"/>
        <v>-267.97497433102353</v>
      </c>
      <c r="C229" s="37">
        <f t="shared" si="2"/>
        <v>7.2712579096211715E-3</v>
      </c>
      <c r="D229" s="37">
        <f t="shared" si="3"/>
        <v>0</v>
      </c>
      <c r="E229" s="37">
        <f t="shared" si="4"/>
        <v>-1.9485151516849852</v>
      </c>
      <c r="F229" s="21">
        <f t="shared" si="5"/>
        <v>9</v>
      </c>
      <c r="G229" s="36">
        <v>18</v>
      </c>
      <c r="H229" s="21">
        <f t="shared" si="0"/>
        <v>1476</v>
      </c>
      <c r="I229" s="21">
        <f t="shared" si="6"/>
        <v>9</v>
      </c>
      <c r="J229" s="21">
        <f t="shared" si="7"/>
        <v>15</v>
      </c>
      <c r="K229" s="37">
        <f t="shared" si="8"/>
        <v>-184.76817071032266</v>
      </c>
      <c r="L229" s="37">
        <f t="shared" si="9"/>
        <v>30762.041928589158</v>
      </c>
      <c r="M229" s="37">
        <f t="shared" si="10"/>
        <v>-310311205.34368557</v>
      </c>
      <c r="N229" s="37" t="str">
        <f t="shared" si="11"/>
        <v/>
      </c>
      <c r="O229" s="17"/>
    </row>
    <row r="230" spans="1:15" x14ac:dyDescent="0.25">
      <c r="A230" s="4" t="s">
        <v>1278</v>
      </c>
      <c r="B230" s="37">
        <f t="shared" si="1"/>
        <v>-53.774164482172843</v>
      </c>
      <c r="C230" s="37">
        <f t="shared" si="2"/>
        <v>59957.14712388497</v>
      </c>
      <c r="D230" s="37">
        <f t="shared" si="3"/>
        <v>0</v>
      </c>
      <c r="E230" s="37">
        <f t="shared" si="4"/>
        <v>-3224145.4913216266</v>
      </c>
      <c r="F230" s="21">
        <f t="shared" si="5"/>
        <v>45</v>
      </c>
      <c r="G230" s="36">
        <v>19</v>
      </c>
      <c r="H230" s="21">
        <f t="shared" si="0"/>
        <v>7309</v>
      </c>
      <c r="I230" s="21">
        <f t="shared" si="6"/>
        <v>45</v>
      </c>
      <c r="J230" s="21">
        <f t="shared" si="7"/>
        <v>81</v>
      </c>
      <c r="K230" s="37">
        <f t="shared" si="8"/>
        <v>-179.69954277955443</v>
      </c>
      <c r="L230" s="37">
        <f t="shared" si="9"/>
        <v>30762.041928589158</v>
      </c>
      <c r="M230" s="37">
        <f t="shared" si="10"/>
        <v>-310155283.99875885</v>
      </c>
      <c r="N230" s="37" t="str">
        <f t="shared" si="11"/>
        <v/>
      </c>
      <c r="O230" s="17"/>
    </row>
    <row r="231" spans="1:15" x14ac:dyDescent="0.25">
      <c r="A231" s="4" t="s">
        <v>1279</v>
      </c>
      <c r="B231" s="37">
        <f t="shared" si="1"/>
        <v>-72.271653337821121</v>
      </c>
      <c r="C231" s="37">
        <f t="shared" si="2"/>
        <v>0</v>
      </c>
      <c r="D231" s="37">
        <f t="shared" si="3"/>
        <v>0</v>
      </c>
      <c r="E231" s="37">
        <f t="shared" si="4"/>
        <v>0</v>
      </c>
      <c r="F231" s="21">
        <f t="shared" si="5"/>
        <v>33</v>
      </c>
      <c r="G231" s="36">
        <v>20</v>
      </c>
      <c r="H231" s="21">
        <f t="shared" si="0"/>
        <v>5366</v>
      </c>
      <c r="I231" s="21">
        <f t="shared" si="6"/>
        <v>33</v>
      </c>
      <c r="J231" s="21">
        <f t="shared" si="7"/>
        <v>52</v>
      </c>
      <c r="K231" s="37">
        <f t="shared" si="8"/>
        <v>-176.78392356861141</v>
      </c>
      <c r="L231" s="37">
        <f t="shared" si="9"/>
        <v>30762.041928589158</v>
      </c>
      <c r="M231" s="37">
        <f t="shared" si="10"/>
        <v>-310065593.59834403</v>
      </c>
      <c r="N231" s="37" t="str">
        <f t="shared" si="11"/>
        <v/>
      </c>
      <c r="O231" s="17"/>
    </row>
    <row r="232" spans="1:15" x14ac:dyDescent="0.25">
      <c r="A232" s="4" t="s">
        <v>1280</v>
      </c>
      <c r="B232" s="37">
        <f t="shared" si="1"/>
        <v>-60.741082173552485</v>
      </c>
      <c r="C232" s="37">
        <f t="shared" si="2"/>
        <v>0</v>
      </c>
      <c r="D232" s="37">
        <f t="shared" si="3"/>
        <v>0</v>
      </c>
      <c r="E232" s="37">
        <f t="shared" si="4"/>
        <v>0</v>
      </c>
      <c r="F232" s="21">
        <f t="shared" si="5"/>
        <v>42</v>
      </c>
      <c r="G232" s="36">
        <v>21</v>
      </c>
      <c r="H232" s="21">
        <f t="shared" si="0"/>
        <v>6825</v>
      </c>
      <c r="I232" s="21">
        <f t="shared" si="6"/>
        <v>42</v>
      </c>
      <c r="J232" s="21">
        <f t="shared" si="7"/>
        <v>39</v>
      </c>
      <c r="K232" s="37">
        <f t="shared" si="8"/>
        <v>-168.1209183874586</v>
      </c>
      <c r="L232" s="37">
        <f t="shared" si="9"/>
        <v>72979.774698295107</v>
      </c>
      <c r="M232" s="37">
        <f t="shared" si="10"/>
        <v>-309799101.86973381</v>
      </c>
      <c r="N232" s="37" t="str">
        <f t="shared" si="11"/>
        <v/>
      </c>
      <c r="O232" s="17"/>
    </row>
    <row r="233" spans="1:15" x14ac:dyDescent="0.25">
      <c r="A233" s="4" t="s">
        <v>1281</v>
      </c>
      <c r="B233" s="37">
        <f t="shared" si="1"/>
        <v>-72.271653337821121</v>
      </c>
      <c r="C233" s="37">
        <f t="shared" si="2"/>
        <v>0</v>
      </c>
      <c r="D233" s="37">
        <f t="shared" si="3"/>
        <v>0</v>
      </c>
      <c r="E233" s="37">
        <f t="shared" si="4"/>
        <v>0</v>
      </c>
      <c r="F233" s="21">
        <f t="shared" si="5"/>
        <v>33</v>
      </c>
      <c r="G233" s="36">
        <v>22</v>
      </c>
      <c r="H233" s="21">
        <f t="shared" si="0"/>
        <v>5368</v>
      </c>
      <c r="I233" s="21">
        <f t="shared" si="6"/>
        <v>34</v>
      </c>
      <c r="J233" s="21">
        <f t="shared" si="7"/>
        <v>3</v>
      </c>
      <c r="K233" s="37">
        <f t="shared" si="8"/>
        <v>-161.52240752668655</v>
      </c>
      <c r="L233" s="37">
        <f t="shared" si="9"/>
        <v>73207.534603559208</v>
      </c>
      <c r="M233" s="37">
        <f t="shared" si="10"/>
        <v>-309317544.03377044</v>
      </c>
      <c r="N233" s="37" t="str">
        <f t="shared" si="11"/>
        <v/>
      </c>
      <c r="O233" s="17"/>
    </row>
    <row r="234" spans="1:15" x14ac:dyDescent="0.25">
      <c r="A234" s="4" t="s">
        <v>1282</v>
      </c>
      <c r="B234" s="37">
        <f t="shared" si="1"/>
        <v>-52.465825510993277</v>
      </c>
      <c r="C234" s="37">
        <f t="shared" si="2"/>
        <v>0</v>
      </c>
      <c r="D234" s="37">
        <f t="shared" si="3"/>
        <v>0</v>
      </c>
      <c r="E234" s="37">
        <f t="shared" si="4"/>
        <v>0</v>
      </c>
      <c r="F234" s="21">
        <f t="shared" si="5"/>
        <v>49</v>
      </c>
      <c r="G234" s="36">
        <v>23</v>
      </c>
      <c r="H234" s="21">
        <f t="shared" si="0"/>
        <v>7961</v>
      </c>
      <c r="I234" s="21">
        <f t="shared" si="6"/>
        <v>49</v>
      </c>
      <c r="J234" s="21">
        <f t="shared" si="7"/>
        <v>36</v>
      </c>
      <c r="K234" s="37">
        <f t="shared" si="8"/>
        <v>-137.91161166142339</v>
      </c>
      <c r="L234" s="37">
        <f t="shared" si="9"/>
        <v>73214.179787915447</v>
      </c>
      <c r="M234" s="37">
        <f t="shared" si="10"/>
        <v>-307589055.87844664</v>
      </c>
      <c r="N234" s="37" t="str">
        <f t="shared" si="11"/>
        <v/>
      </c>
      <c r="O234" s="17"/>
    </row>
    <row r="235" spans="1:15" x14ac:dyDescent="0.25">
      <c r="A235" s="4" t="s">
        <v>1283</v>
      </c>
      <c r="B235" s="37">
        <f t="shared" si="1"/>
        <v>-60.741082173552485</v>
      </c>
      <c r="C235" s="37">
        <f t="shared" si="2"/>
        <v>0</v>
      </c>
      <c r="D235" s="37">
        <f t="shared" si="3"/>
        <v>0</v>
      </c>
      <c r="E235" s="37">
        <f t="shared" si="4"/>
        <v>0</v>
      </c>
      <c r="F235" s="21">
        <f t="shared" si="5"/>
        <v>42</v>
      </c>
      <c r="G235" s="36">
        <v>24</v>
      </c>
      <c r="H235" s="21">
        <f t="shared" si="0"/>
        <v>6828</v>
      </c>
      <c r="I235" s="21">
        <f t="shared" si="6"/>
        <v>43</v>
      </c>
      <c r="J235" s="21">
        <f t="shared" si="7"/>
        <v>68</v>
      </c>
      <c r="K235" s="37">
        <f t="shared" si="8"/>
        <v>-137.91161166142334</v>
      </c>
      <c r="L235" s="37">
        <f t="shared" si="9"/>
        <v>83489.11578082823</v>
      </c>
      <c r="M235" s="37">
        <f t="shared" si="10"/>
        <v>-307589055.87844664</v>
      </c>
      <c r="N235" s="37" t="str">
        <f t="shared" si="11"/>
        <v/>
      </c>
      <c r="O235" s="17"/>
    </row>
    <row r="236" spans="1:15" x14ac:dyDescent="0.25">
      <c r="A236" s="4" t="s">
        <v>1284</v>
      </c>
      <c r="B236" s="37">
        <f t="shared" si="1"/>
        <v>-44.751696648008263</v>
      </c>
      <c r="C236" s="37">
        <f t="shared" si="2"/>
        <v>0</v>
      </c>
      <c r="D236" s="37">
        <f t="shared" si="3"/>
        <v>0</v>
      </c>
      <c r="E236" s="37">
        <f t="shared" si="4"/>
        <v>0</v>
      </c>
      <c r="F236" s="21">
        <f t="shared" si="5"/>
        <v>52</v>
      </c>
      <c r="G236" s="36">
        <v>25</v>
      </c>
      <c r="H236" s="21">
        <f t="shared" si="0"/>
        <v>8449</v>
      </c>
      <c r="I236" s="21">
        <f t="shared" si="6"/>
        <v>52</v>
      </c>
      <c r="J236" s="21">
        <f t="shared" si="7"/>
        <v>40</v>
      </c>
      <c r="K236" s="37">
        <f t="shared" si="8"/>
        <v>-133.46889766284716</v>
      </c>
      <c r="L236" s="37">
        <f t="shared" si="9"/>
        <v>106125.72519428137</v>
      </c>
      <c r="M236" s="37">
        <f t="shared" si="10"/>
        <v>-307218137.61503839</v>
      </c>
      <c r="N236" s="37" t="str">
        <f t="shared" si="11"/>
        <v/>
      </c>
      <c r="O236" s="17"/>
    </row>
    <row r="237" spans="1:15" x14ac:dyDescent="0.25">
      <c r="A237" s="4" t="s">
        <v>1285</v>
      </c>
      <c r="B237" s="37">
        <f t="shared" si="1"/>
        <v>-44.295597220472658</v>
      </c>
      <c r="C237" s="37">
        <f t="shared" si="2"/>
        <v>0</v>
      </c>
      <c r="D237" s="37">
        <f t="shared" si="3"/>
        <v>0</v>
      </c>
      <c r="E237" s="37">
        <f t="shared" si="4"/>
        <v>0</v>
      </c>
      <c r="F237" s="21">
        <f t="shared" si="5"/>
        <v>53</v>
      </c>
      <c r="G237" s="36">
        <v>26</v>
      </c>
      <c r="H237" s="21">
        <f t="shared" si="0"/>
        <v>8612</v>
      </c>
      <c r="I237" s="21">
        <f t="shared" si="6"/>
        <v>53</v>
      </c>
      <c r="J237" s="21">
        <f t="shared" si="7"/>
        <v>16</v>
      </c>
      <c r="K237" s="37">
        <f t="shared" si="8"/>
        <v>-128.18737689819764</v>
      </c>
      <c r="L237" s="37">
        <f t="shared" si="9"/>
        <v>108322.10594795075</v>
      </c>
      <c r="M237" s="37">
        <f t="shared" si="10"/>
        <v>-306657632.39376134</v>
      </c>
      <c r="N237" s="37" t="str">
        <f t="shared" si="11"/>
        <v/>
      </c>
      <c r="O237" s="17"/>
    </row>
    <row r="238" spans="1:15" x14ac:dyDescent="0.25">
      <c r="A238" s="4" t="s">
        <v>1286</v>
      </c>
      <c r="B238" s="37">
        <f t="shared" si="1"/>
        <v>-33.749415118757966</v>
      </c>
      <c r="C238" s="37">
        <f t="shared" si="2"/>
        <v>0</v>
      </c>
      <c r="D238" s="37">
        <f t="shared" si="3"/>
        <v>0</v>
      </c>
      <c r="E238" s="37">
        <f t="shared" si="4"/>
        <v>0</v>
      </c>
      <c r="F238" s="21">
        <f t="shared" si="5"/>
        <v>58</v>
      </c>
      <c r="G238" s="36">
        <v>27</v>
      </c>
      <c r="H238" s="21">
        <f t="shared" si="0"/>
        <v>9423</v>
      </c>
      <c r="I238" s="21">
        <f t="shared" si="6"/>
        <v>58</v>
      </c>
      <c r="J238" s="21">
        <f t="shared" si="7"/>
        <v>54</v>
      </c>
      <c r="K238" s="37">
        <f t="shared" si="8"/>
        <v>-120.69433968424102</v>
      </c>
      <c r="L238" s="37">
        <f t="shared" si="9"/>
        <v>108322.10594795075</v>
      </c>
      <c r="M238" s="37">
        <f t="shared" si="10"/>
        <v>-305845970.82279921</v>
      </c>
      <c r="N238" s="37" t="str">
        <f t="shared" si="11"/>
        <v/>
      </c>
      <c r="O238" s="17"/>
    </row>
    <row r="239" spans="1:15" x14ac:dyDescent="0.25">
      <c r="A239" s="4" t="s">
        <v>1287</v>
      </c>
      <c r="B239" s="37">
        <f t="shared" ref="B239:B265" si="12">C128</f>
        <v>0</v>
      </c>
      <c r="C239" s="37">
        <f t="shared" ref="C239:C265" si="13">C82</f>
        <v>0</v>
      </c>
      <c r="D239" s="37">
        <f t="shared" si="3"/>
        <v>0</v>
      </c>
      <c r="E239" s="37">
        <f t="shared" si="4"/>
        <v>0</v>
      </c>
      <c r="F239" s="21">
        <f t="shared" si="5"/>
        <v>60</v>
      </c>
      <c r="G239" s="36">
        <v>28</v>
      </c>
      <c r="H239" s="21">
        <f t="shared" si="0"/>
        <v>9748</v>
      </c>
      <c r="I239" s="21">
        <f t="shared" si="6"/>
        <v>60</v>
      </c>
      <c r="J239" s="21">
        <f t="shared" si="7"/>
        <v>41</v>
      </c>
      <c r="K239" s="37">
        <f t="shared" si="8"/>
        <v>-93.19047905882752</v>
      </c>
      <c r="L239" s="37">
        <f t="shared" si="9"/>
        <v>179059.82642026118</v>
      </c>
      <c r="M239" s="37">
        <f t="shared" si="10"/>
        <v>-302866694.7181555</v>
      </c>
      <c r="N239" s="37" t="str">
        <f t="shared" si="11"/>
        <v/>
      </c>
      <c r="O239" s="17"/>
    </row>
    <row r="240" spans="1:15" x14ac:dyDescent="0.25">
      <c r="A240" s="4" t="s">
        <v>1288</v>
      </c>
      <c r="B240" s="37">
        <f t="shared" si="12"/>
        <v>-324.66990879987105</v>
      </c>
      <c r="C240" s="37">
        <f t="shared" si="13"/>
        <v>2669.6722467933305</v>
      </c>
      <c r="D240" s="37">
        <f t="shared" si="3"/>
        <v>0</v>
      </c>
      <c r="E240" s="37">
        <f t="shared" si="4"/>
        <v>-866762.24489193747</v>
      </c>
      <c r="F240" s="21">
        <f t="shared" si="5"/>
        <v>6</v>
      </c>
      <c r="G240" s="36">
        <v>29</v>
      </c>
      <c r="H240" s="21">
        <f t="shared" si="0"/>
        <v>1001</v>
      </c>
      <c r="I240" s="21">
        <f t="shared" si="6"/>
        <v>6</v>
      </c>
      <c r="J240" s="21">
        <f t="shared" si="7"/>
        <v>17</v>
      </c>
      <c r="K240" s="37">
        <f t="shared" si="8"/>
        <v>-92.407266918656816</v>
      </c>
      <c r="L240" s="37">
        <f t="shared" si="9"/>
        <v>179169.08999291243</v>
      </c>
      <c r="M240" s="37">
        <f t="shared" si="10"/>
        <v>-302726452.88828629</v>
      </c>
      <c r="N240" s="37" t="str">
        <f t="shared" si="11"/>
        <v/>
      </c>
      <c r="O240" s="17"/>
    </row>
    <row r="241" spans="1:15" x14ac:dyDescent="0.25">
      <c r="A241" s="4" t="s">
        <v>1289</v>
      </c>
      <c r="B241" s="37">
        <f t="shared" si="12"/>
        <v>0</v>
      </c>
      <c r="C241" s="37">
        <f t="shared" si="13"/>
        <v>0</v>
      </c>
      <c r="D241" s="37">
        <f t="shared" si="3"/>
        <v>0</v>
      </c>
      <c r="E241" s="37">
        <f t="shared" si="4"/>
        <v>0</v>
      </c>
      <c r="F241" s="21">
        <f t="shared" si="5"/>
        <v>60</v>
      </c>
      <c r="G241" s="36">
        <v>30</v>
      </c>
      <c r="H241" s="21">
        <f t="shared" si="0"/>
        <v>9750</v>
      </c>
      <c r="I241" s="21">
        <f t="shared" si="6"/>
        <v>61</v>
      </c>
      <c r="J241" s="21">
        <f t="shared" si="7"/>
        <v>157</v>
      </c>
      <c r="K241" s="37">
        <f t="shared" si="8"/>
        <v>-80.429610317195767</v>
      </c>
      <c r="L241" s="37">
        <f t="shared" si="9"/>
        <v>179169.08999291243</v>
      </c>
      <c r="M241" s="37">
        <f t="shared" si="10"/>
        <v>-300580427.05475491</v>
      </c>
      <c r="N241" s="37" t="str">
        <f t="shared" si="11"/>
        <v/>
      </c>
      <c r="O241" s="17"/>
    </row>
    <row r="242" spans="1:15" x14ac:dyDescent="0.25">
      <c r="A242" s="4" t="s">
        <v>1290</v>
      </c>
      <c r="B242" s="37">
        <f t="shared" si="12"/>
        <v>0</v>
      </c>
      <c r="C242" s="37">
        <f t="shared" si="13"/>
        <v>0</v>
      </c>
      <c r="D242" s="37">
        <f t="shared" si="3"/>
        <v>0</v>
      </c>
      <c r="E242" s="37">
        <f t="shared" si="4"/>
        <v>0</v>
      </c>
      <c r="F242" s="21">
        <f t="shared" si="5"/>
        <v>60</v>
      </c>
      <c r="G242" s="36">
        <v>31</v>
      </c>
      <c r="H242" s="21">
        <f t="shared" si="0"/>
        <v>9751</v>
      </c>
      <c r="I242" s="21">
        <f t="shared" si="6"/>
        <v>62</v>
      </c>
      <c r="J242" s="21">
        <f t="shared" si="7"/>
        <v>158</v>
      </c>
      <c r="K242" s="37">
        <f t="shared" si="8"/>
        <v>-80.429610317195767</v>
      </c>
      <c r="L242" s="37">
        <f t="shared" si="9"/>
        <v>179169.08999291243</v>
      </c>
      <c r="M242" s="37">
        <f t="shared" si="10"/>
        <v>-300580427.05475491</v>
      </c>
      <c r="N242" s="37" t="str">
        <f t="shared" si="11"/>
        <v/>
      </c>
      <c r="O242" s="17"/>
    </row>
    <row r="243" spans="1:15" x14ac:dyDescent="0.25">
      <c r="A243" s="4" t="s">
        <v>1291</v>
      </c>
      <c r="B243" s="37">
        <f t="shared" si="12"/>
        <v>-324.66143401057047</v>
      </c>
      <c r="C243" s="37">
        <f t="shared" si="13"/>
        <v>1045.3081017182822</v>
      </c>
      <c r="D243" s="37">
        <f t="shared" si="3"/>
        <v>0</v>
      </c>
      <c r="E243" s="37">
        <f t="shared" si="4"/>
        <v>-339371.22728672478</v>
      </c>
      <c r="F243" s="21">
        <f t="shared" si="5"/>
        <v>7</v>
      </c>
      <c r="G243" s="36">
        <v>32</v>
      </c>
      <c r="H243" s="21">
        <f t="shared" ref="H243:H274" si="14">F243*162+G243</f>
        <v>1166</v>
      </c>
      <c r="I243" s="21">
        <f t="shared" si="6"/>
        <v>7</v>
      </c>
      <c r="J243" s="21">
        <f t="shared" si="7"/>
        <v>4</v>
      </c>
      <c r="K243" s="37">
        <f t="shared" si="8"/>
        <v>-73.894278302788379</v>
      </c>
      <c r="L243" s="37">
        <f t="shared" si="9"/>
        <v>526854.72322024894</v>
      </c>
      <c r="M243" s="37">
        <f t="shared" si="10"/>
        <v>-299409497.56493199</v>
      </c>
      <c r="N243" s="37" t="str">
        <f t="shared" si="11"/>
        <v/>
      </c>
      <c r="O243" s="17"/>
    </row>
    <row r="244" spans="1:15" x14ac:dyDescent="0.25">
      <c r="A244" s="4" t="s">
        <v>1292</v>
      </c>
      <c r="B244" s="37">
        <f t="shared" si="12"/>
        <v>0</v>
      </c>
      <c r="C244" s="37">
        <f t="shared" si="13"/>
        <v>0</v>
      </c>
      <c r="D244" s="37">
        <f t="shared" ref="D244:D275" si="15">IF(ISERROR(B244),C244,0)</f>
        <v>0</v>
      </c>
      <c r="E244" s="37">
        <f t="shared" ref="E244:E275" si="16">MAX($B$182,B244)*C244</f>
        <v>0</v>
      </c>
      <c r="F244" s="21">
        <f t="shared" ref="F244:F275" si="17">RANK(B244,B$212:B$373,1)</f>
        <v>60</v>
      </c>
      <c r="G244" s="36">
        <v>33</v>
      </c>
      <c r="H244" s="21">
        <f t="shared" si="14"/>
        <v>9753</v>
      </c>
      <c r="I244" s="21">
        <f t="shared" ref="I244:I275" si="18">RANK(H244,H$212:H$373,1)</f>
        <v>63</v>
      </c>
      <c r="J244" s="21">
        <f t="shared" ref="J244:J275" si="19">MATCH(G244,I$212:I$373,0)</f>
        <v>20</v>
      </c>
      <c r="K244" s="37">
        <f t="shared" ref="K244:K275" si="20">INDEX(B$212:B$373,J244,1)</f>
        <v>-72.271653337821121</v>
      </c>
      <c r="L244" s="37">
        <f t="shared" ref="L244:L275" si="21">L243+INDEX(C$212:C$373,J244,1)</f>
        <v>526854.72322024894</v>
      </c>
      <c r="M244" s="37">
        <f t="shared" ref="M244:M275" si="22">M243+(K244-K243)*L243</f>
        <v>-298554609.93812388</v>
      </c>
      <c r="N244" s="37" t="str">
        <f t="shared" ref="N244:N275" si="23">IF((M243&gt;0)=(M244&gt;0),"",K244-M244/L243)</f>
        <v/>
      </c>
      <c r="O244" s="17"/>
    </row>
    <row r="245" spans="1:15" x14ac:dyDescent="0.25">
      <c r="A245" s="4" t="s">
        <v>1293</v>
      </c>
      <c r="B245" s="37">
        <f t="shared" si="12"/>
        <v>-324.66990879987128</v>
      </c>
      <c r="C245" s="37">
        <f t="shared" si="13"/>
        <v>0</v>
      </c>
      <c r="D245" s="37">
        <f t="shared" si="15"/>
        <v>0</v>
      </c>
      <c r="E245" s="37">
        <f t="shared" si="16"/>
        <v>0</v>
      </c>
      <c r="F245" s="21">
        <f t="shared" si="17"/>
        <v>4</v>
      </c>
      <c r="G245" s="36">
        <v>34</v>
      </c>
      <c r="H245" s="21">
        <f t="shared" si="14"/>
        <v>682</v>
      </c>
      <c r="I245" s="21">
        <f t="shared" si="18"/>
        <v>4</v>
      </c>
      <c r="J245" s="21">
        <f t="shared" si="19"/>
        <v>22</v>
      </c>
      <c r="K245" s="37">
        <f t="shared" si="20"/>
        <v>-72.271653337821121</v>
      </c>
      <c r="L245" s="37">
        <f t="shared" si="21"/>
        <v>526854.72322024894</v>
      </c>
      <c r="M245" s="37">
        <f t="shared" si="22"/>
        <v>-298554609.93812388</v>
      </c>
      <c r="N245" s="37" t="str">
        <f t="shared" si="23"/>
        <v/>
      </c>
      <c r="O245" s="17"/>
    </row>
    <row r="246" spans="1:15" x14ac:dyDescent="0.25">
      <c r="A246" s="4" t="s">
        <v>1294</v>
      </c>
      <c r="B246" s="37">
        <f t="shared" si="12"/>
        <v>-264.91913066675369</v>
      </c>
      <c r="C246" s="37">
        <f t="shared" si="13"/>
        <v>0</v>
      </c>
      <c r="D246" s="37">
        <f t="shared" si="15"/>
        <v>0</v>
      </c>
      <c r="E246" s="37">
        <f t="shared" si="16"/>
        <v>0</v>
      </c>
      <c r="F246" s="21">
        <f t="shared" si="17"/>
        <v>10</v>
      </c>
      <c r="G246" s="36">
        <v>35</v>
      </c>
      <c r="H246" s="21">
        <f t="shared" si="14"/>
        <v>1655</v>
      </c>
      <c r="I246" s="21">
        <f t="shared" si="18"/>
        <v>10</v>
      </c>
      <c r="J246" s="21">
        <f t="shared" si="19"/>
        <v>5</v>
      </c>
      <c r="K246" s="37">
        <f t="shared" si="20"/>
        <v>-72.151877292863858</v>
      </c>
      <c r="L246" s="37">
        <f t="shared" si="21"/>
        <v>658069.52746914024</v>
      </c>
      <c r="M246" s="37">
        <f t="shared" si="22"/>
        <v>-298491505.36310953</v>
      </c>
      <c r="N246" s="37" t="str">
        <f t="shared" si="23"/>
        <v/>
      </c>
      <c r="O246" s="17"/>
    </row>
    <row r="247" spans="1:15" x14ac:dyDescent="0.25">
      <c r="A247" s="4" t="s">
        <v>1295</v>
      </c>
      <c r="B247" s="37">
        <f t="shared" si="12"/>
        <v>-137.91161166142339</v>
      </c>
      <c r="C247" s="37">
        <f t="shared" si="13"/>
        <v>6.6451843562384951</v>
      </c>
      <c r="D247" s="37">
        <f t="shared" si="15"/>
        <v>0</v>
      </c>
      <c r="E247" s="37">
        <f t="shared" si="16"/>
        <v>-916.44808435612913</v>
      </c>
      <c r="F247" s="21">
        <f t="shared" si="17"/>
        <v>23</v>
      </c>
      <c r="G247" s="36">
        <v>36</v>
      </c>
      <c r="H247" s="21">
        <f t="shared" si="14"/>
        <v>3762</v>
      </c>
      <c r="I247" s="21">
        <f t="shared" si="18"/>
        <v>23</v>
      </c>
      <c r="J247" s="21">
        <f t="shared" si="19"/>
        <v>7</v>
      </c>
      <c r="K247" s="37">
        <f t="shared" si="20"/>
        <v>-70.950334603986917</v>
      </c>
      <c r="L247" s="37">
        <f t="shared" si="21"/>
        <v>658069.52746914024</v>
      </c>
      <c r="M247" s="37">
        <f t="shared" si="22"/>
        <v>-297700806.73360628</v>
      </c>
      <c r="N247" s="37" t="str">
        <f t="shared" si="23"/>
        <v/>
      </c>
      <c r="O247" s="17"/>
    </row>
    <row r="248" spans="1:15" x14ac:dyDescent="0.25">
      <c r="A248" s="4" t="s">
        <v>1296</v>
      </c>
      <c r="B248" s="37">
        <f t="shared" si="12"/>
        <v>-216.21363959227162</v>
      </c>
      <c r="C248" s="37">
        <f t="shared" si="13"/>
        <v>0</v>
      </c>
      <c r="D248" s="37">
        <f t="shared" si="15"/>
        <v>0</v>
      </c>
      <c r="E248" s="37">
        <f t="shared" si="16"/>
        <v>0</v>
      </c>
      <c r="F248" s="21">
        <f t="shared" si="17"/>
        <v>14</v>
      </c>
      <c r="G248" s="36">
        <v>37</v>
      </c>
      <c r="H248" s="21">
        <f t="shared" si="14"/>
        <v>2305</v>
      </c>
      <c r="I248" s="21">
        <f t="shared" si="18"/>
        <v>14</v>
      </c>
      <c r="J248" s="21">
        <f t="shared" si="19"/>
        <v>159</v>
      </c>
      <c r="K248" s="37">
        <f t="shared" si="20"/>
        <v>-69.713335145811087</v>
      </c>
      <c r="L248" s="37">
        <f t="shared" si="21"/>
        <v>658069.52746914024</v>
      </c>
      <c r="M248" s="37">
        <f t="shared" si="22"/>
        <v>-296886775.08468491</v>
      </c>
      <c r="N248" s="37" t="str">
        <f t="shared" si="23"/>
        <v/>
      </c>
      <c r="O248" s="17"/>
    </row>
    <row r="249" spans="1:15" x14ac:dyDescent="0.25">
      <c r="A249" s="4" t="s">
        <v>1297</v>
      </c>
      <c r="B249" s="37">
        <f t="shared" si="12"/>
        <v>-216.0471597765698</v>
      </c>
      <c r="C249" s="37">
        <f t="shared" si="13"/>
        <v>11000.32255136895</v>
      </c>
      <c r="D249" s="37">
        <f t="shared" si="15"/>
        <v>0</v>
      </c>
      <c r="E249" s="37">
        <f t="shared" si="16"/>
        <v>-2376588.4438494118</v>
      </c>
      <c r="F249" s="21">
        <f t="shared" si="17"/>
        <v>16</v>
      </c>
      <c r="G249" s="36">
        <v>38</v>
      </c>
      <c r="H249" s="21">
        <f t="shared" si="14"/>
        <v>2630</v>
      </c>
      <c r="I249" s="21">
        <f t="shared" si="18"/>
        <v>16</v>
      </c>
      <c r="J249" s="21">
        <f t="shared" si="19"/>
        <v>160</v>
      </c>
      <c r="K249" s="37">
        <f t="shared" si="20"/>
        <v>-69.713335145811087</v>
      </c>
      <c r="L249" s="37">
        <f t="shared" si="21"/>
        <v>658069.52746914024</v>
      </c>
      <c r="M249" s="37">
        <f t="shared" si="22"/>
        <v>-296886775.08468491</v>
      </c>
      <c r="N249" s="37" t="str">
        <f t="shared" si="23"/>
        <v/>
      </c>
      <c r="O249" s="17"/>
    </row>
    <row r="250" spans="1:15" x14ac:dyDescent="0.25">
      <c r="A250" s="4" t="s">
        <v>1298</v>
      </c>
      <c r="B250" s="37">
        <f t="shared" si="12"/>
        <v>-168.1209183874586</v>
      </c>
      <c r="C250" s="37">
        <f t="shared" si="13"/>
        <v>42217.732769705945</v>
      </c>
      <c r="D250" s="37">
        <f t="shared" si="15"/>
        <v>0</v>
      </c>
      <c r="E250" s="37">
        <f t="shared" si="16"/>
        <v>-7097684.0054792697</v>
      </c>
      <c r="F250" s="21">
        <f t="shared" si="17"/>
        <v>21</v>
      </c>
      <c r="G250" s="36">
        <v>39</v>
      </c>
      <c r="H250" s="21">
        <f t="shared" si="14"/>
        <v>3441</v>
      </c>
      <c r="I250" s="21">
        <f t="shared" si="18"/>
        <v>21</v>
      </c>
      <c r="J250" s="21">
        <f t="shared" si="19"/>
        <v>1</v>
      </c>
      <c r="K250" s="37">
        <f t="shared" si="20"/>
        <v>-67.918705693417266</v>
      </c>
      <c r="L250" s="37">
        <f t="shared" si="21"/>
        <v>2291886.564954197</v>
      </c>
      <c r="M250" s="37">
        <f t="shared" si="22"/>
        <v>-295705784.12896591</v>
      </c>
      <c r="N250" s="37" t="str">
        <f t="shared" si="23"/>
        <v/>
      </c>
      <c r="O250" s="17"/>
    </row>
    <row r="251" spans="1:15" x14ac:dyDescent="0.25">
      <c r="A251" s="4" t="s">
        <v>1299</v>
      </c>
      <c r="B251" s="37">
        <f t="shared" si="12"/>
        <v>-133.46889766284716</v>
      </c>
      <c r="C251" s="37">
        <f t="shared" si="13"/>
        <v>22636.609413453138</v>
      </c>
      <c r="D251" s="37">
        <f t="shared" si="15"/>
        <v>0</v>
      </c>
      <c r="E251" s="37">
        <f t="shared" si="16"/>
        <v>-3021283.3052380192</v>
      </c>
      <c r="F251" s="21">
        <f t="shared" si="17"/>
        <v>25</v>
      </c>
      <c r="G251" s="36">
        <v>40</v>
      </c>
      <c r="H251" s="21">
        <f t="shared" si="14"/>
        <v>4090</v>
      </c>
      <c r="I251" s="21">
        <f t="shared" si="18"/>
        <v>25</v>
      </c>
      <c r="J251" s="21">
        <f t="shared" si="19"/>
        <v>2</v>
      </c>
      <c r="K251" s="37">
        <f t="shared" si="20"/>
        <v>-67.415051099214594</v>
      </c>
      <c r="L251" s="37">
        <f t="shared" si="21"/>
        <v>2431632.3847808153</v>
      </c>
      <c r="M251" s="37">
        <f t="shared" si="22"/>
        <v>-294551464.93113536</v>
      </c>
      <c r="N251" s="37" t="str">
        <f t="shared" si="23"/>
        <v/>
      </c>
      <c r="O251" s="17"/>
    </row>
    <row r="252" spans="1:15" x14ac:dyDescent="0.25">
      <c r="A252" s="4" t="s">
        <v>1300</v>
      </c>
      <c r="B252" s="37">
        <f t="shared" si="12"/>
        <v>-93.19047905882752</v>
      </c>
      <c r="C252" s="37">
        <f t="shared" si="13"/>
        <v>70737.720472310408</v>
      </c>
      <c r="D252" s="37">
        <f t="shared" si="15"/>
        <v>0</v>
      </c>
      <c r="E252" s="37">
        <f t="shared" si="16"/>
        <v>-6592082.0583440382</v>
      </c>
      <c r="F252" s="21">
        <f t="shared" si="17"/>
        <v>28</v>
      </c>
      <c r="G252" s="36">
        <v>41</v>
      </c>
      <c r="H252" s="21">
        <f t="shared" si="14"/>
        <v>4577</v>
      </c>
      <c r="I252" s="21">
        <f t="shared" si="18"/>
        <v>28</v>
      </c>
      <c r="J252" s="21">
        <f t="shared" si="19"/>
        <v>147</v>
      </c>
      <c r="K252" s="37">
        <f t="shared" si="20"/>
        <v>-62.127939443196958</v>
      </c>
      <c r="L252" s="37">
        <f t="shared" si="21"/>
        <v>2440286.796801358</v>
      </c>
      <c r="M252" s="37">
        <f t="shared" si="22"/>
        <v>-281695153.00641072</v>
      </c>
      <c r="N252" s="37" t="str">
        <f t="shared" si="23"/>
        <v/>
      </c>
      <c r="O252" s="17"/>
    </row>
    <row r="253" spans="1:15" x14ac:dyDescent="0.25">
      <c r="A253" s="4" t="s">
        <v>1301</v>
      </c>
      <c r="B253" s="37">
        <f t="shared" si="12"/>
        <v>0</v>
      </c>
      <c r="C253" s="37">
        <f t="shared" si="13"/>
        <v>0</v>
      </c>
      <c r="D253" s="37">
        <f t="shared" si="15"/>
        <v>0</v>
      </c>
      <c r="E253" s="37">
        <f t="shared" si="16"/>
        <v>0</v>
      </c>
      <c r="F253" s="21">
        <f t="shared" si="17"/>
        <v>60</v>
      </c>
      <c r="G253" s="36">
        <v>42</v>
      </c>
      <c r="H253" s="21">
        <f t="shared" si="14"/>
        <v>9762</v>
      </c>
      <c r="I253" s="21">
        <f t="shared" si="18"/>
        <v>64</v>
      </c>
      <c r="J253" s="21">
        <f t="shared" si="19"/>
        <v>21</v>
      </c>
      <c r="K253" s="37">
        <f t="shared" si="20"/>
        <v>-60.741082173552485</v>
      </c>
      <c r="L253" s="37">
        <f t="shared" si="21"/>
        <v>2440286.796801358</v>
      </c>
      <c r="M253" s="37">
        <f t="shared" si="22"/>
        <v>-278310823.52224934</v>
      </c>
      <c r="N253" s="37" t="str">
        <f t="shared" si="23"/>
        <v/>
      </c>
      <c r="O253" s="17"/>
    </row>
    <row r="254" spans="1:15" x14ac:dyDescent="0.25">
      <c r="A254" s="4" t="s">
        <v>1302</v>
      </c>
      <c r="B254" s="37">
        <f t="shared" si="12"/>
        <v>0</v>
      </c>
      <c r="C254" s="37">
        <f t="shared" si="13"/>
        <v>0</v>
      </c>
      <c r="D254" s="37">
        <f t="shared" si="15"/>
        <v>0</v>
      </c>
      <c r="E254" s="37">
        <f t="shared" si="16"/>
        <v>0</v>
      </c>
      <c r="F254" s="21">
        <f t="shared" si="17"/>
        <v>60</v>
      </c>
      <c r="G254" s="36">
        <v>43</v>
      </c>
      <c r="H254" s="21">
        <f t="shared" si="14"/>
        <v>9763</v>
      </c>
      <c r="I254" s="21">
        <f t="shared" si="18"/>
        <v>65</v>
      </c>
      <c r="J254" s="21">
        <f t="shared" si="19"/>
        <v>24</v>
      </c>
      <c r="K254" s="37">
        <f t="shared" si="20"/>
        <v>-60.741082173552485</v>
      </c>
      <c r="L254" s="37">
        <f t="shared" si="21"/>
        <v>2440286.796801358</v>
      </c>
      <c r="M254" s="37">
        <f t="shared" si="22"/>
        <v>-278310823.52224934</v>
      </c>
      <c r="N254" s="37" t="str">
        <f t="shared" si="23"/>
        <v/>
      </c>
      <c r="O254" s="17"/>
    </row>
    <row r="255" spans="1:15" x14ac:dyDescent="0.25">
      <c r="A255" s="4" t="s">
        <v>1303</v>
      </c>
      <c r="B255" s="37">
        <f t="shared" si="12"/>
        <v>0</v>
      </c>
      <c r="C255" s="37">
        <f t="shared" si="13"/>
        <v>0</v>
      </c>
      <c r="D255" s="37">
        <f t="shared" si="15"/>
        <v>0</v>
      </c>
      <c r="E255" s="37">
        <f t="shared" si="16"/>
        <v>0</v>
      </c>
      <c r="F255" s="21">
        <f t="shared" si="17"/>
        <v>60</v>
      </c>
      <c r="G255" s="36">
        <v>44</v>
      </c>
      <c r="H255" s="21">
        <f t="shared" si="14"/>
        <v>9764</v>
      </c>
      <c r="I255" s="21">
        <f t="shared" si="18"/>
        <v>66</v>
      </c>
      <c r="J255" s="21">
        <f t="shared" si="19"/>
        <v>8</v>
      </c>
      <c r="K255" s="37">
        <f t="shared" si="20"/>
        <v>-59.824789513394691</v>
      </c>
      <c r="L255" s="37">
        <f t="shared" si="21"/>
        <v>2440286.796801358</v>
      </c>
      <c r="M255" s="37">
        <f t="shared" si="22"/>
        <v>-276074806.64166027</v>
      </c>
      <c r="N255" s="37" t="str">
        <f t="shared" si="23"/>
        <v/>
      </c>
      <c r="O255" s="17"/>
    </row>
    <row r="256" spans="1:15" x14ac:dyDescent="0.25">
      <c r="A256" s="4" t="s">
        <v>1304</v>
      </c>
      <c r="B256" s="37">
        <f t="shared" si="12"/>
        <v>0</v>
      </c>
      <c r="C256" s="37">
        <f t="shared" si="13"/>
        <v>0</v>
      </c>
      <c r="D256" s="37">
        <f t="shared" si="15"/>
        <v>0</v>
      </c>
      <c r="E256" s="37">
        <f t="shared" si="16"/>
        <v>0</v>
      </c>
      <c r="F256" s="21">
        <f t="shared" si="17"/>
        <v>60</v>
      </c>
      <c r="G256" s="36">
        <v>45</v>
      </c>
      <c r="H256" s="21">
        <f t="shared" si="14"/>
        <v>9765</v>
      </c>
      <c r="I256" s="21">
        <f t="shared" si="18"/>
        <v>67</v>
      </c>
      <c r="J256" s="21">
        <f t="shared" si="19"/>
        <v>19</v>
      </c>
      <c r="K256" s="37">
        <f t="shared" si="20"/>
        <v>-53.774164482172843</v>
      </c>
      <c r="L256" s="37">
        <f t="shared" si="21"/>
        <v>2500243.9439252429</v>
      </c>
      <c r="M256" s="37">
        <f t="shared" si="22"/>
        <v>-261309546.2655738</v>
      </c>
      <c r="N256" s="37" t="str">
        <f t="shared" si="23"/>
        <v/>
      </c>
      <c r="O256" s="17"/>
    </row>
    <row r="257" spans="1:15" x14ac:dyDescent="0.25">
      <c r="A257" s="4" t="s">
        <v>1305</v>
      </c>
      <c r="B257" s="37">
        <f t="shared" si="12"/>
        <v>-680.37855066912857</v>
      </c>
      <c r="C257" s="37">
        <f t="shared" si="13"/>
        <v>1204.0558869975846</v>
      </c>
      <c r="D257" s="37">
        <f t="shared" si="15"/>
        <v>0</v>
      </c>
      <c r="E257" s="37">
        <f t="shared" si="16"/>
        <v>-819213.79932004865</v>
      </c>
      <c r="F257" s="21">
        <f t="shared" si="17"/>
        <v>2</v>
      </c>
      <c r="G257" s="36">
        <v>46</v>
      </c>
      <c r="H257" s="21">
        <f t="shared" si="14"/>
        <v>370</v>
      </c>
      <c r="I257" s="21">
        <f t="shared" si="18"/>
        <v>2</v>
      </c>
      <c r="J257" s="21">
        <f t="shared" si="19"/>
        <v>161</v>
      </c>
      <c r="K257" s="37">
        <f t="shared" si="20"/>
        <v>-52.684634050554031</v>
      </c>
      <c r="L257" s="37">
        <f t="shared" si="21"/>
        <v>2500243.9439252429</v>
      </c>
      <c r="M257" s="37">
        <f t="shared" si="22"/>
        <v>-258585454.40219662</v>
      </c>
      <c r="N257" s="37" t="str">
        <f t="shared" si="23"/>
        <v/>
      </c>
      <c r="O257" s="17"/>
    </row>
    <row r="258" spans="1:15" x14ac:dyDescent="0.25">
      <c r="A258" s="4" t="s">
        <v>1306</v>
      </c>
      <c r="B258" s="37">
        <f t="shared" si="12"/>
        <v>0</v>
      </c>
      <c r="C258" s="37">
        <f t="shared" si="13"/>
        <v>0</v>
      </c>
      <c r="D258" s="37">
        <f t="shared" si="15"/>
        <v>0</v>
      </c>
      <c r="E258" s="37">
        <f t="shared" si="16"/>
        <v>0</v>
      </c>
      <c r="F258" s="21">
        <f t="shared" si="17"/>
        <v>60</v>
      </c>
      <c r="G258" s="36">
        <v>47</v>
      </c>
      <c r="H258" s="21">
        <f t="shared" si="14"/>
        <v>9767</v>
      </c>
      <c r="I258" s="21">
        <f t="shared" si="18"/>
        <v>68</v>
      </c>
      <c r="J258" s="21">
        <f t="shared" si="19"/>
        <v>162</v>
      </c>
      <c r="K258" s="37">
        <f t="shared" si="20"/>
        <v>-52.684634050554031</v>
      </c>
      <c r="L258" s="37">
        <f t="shared" si="21"/>
        <v>2500243.9439252429</v>
      </c>
      <c r="M258" s="37">
        <f t="shared" si="22"/>
        <v>-258585454.40219662</v>
      </c>
      <c r="N258" s="37" t="str">
        <f t="shared" si="23"/>
        <v/>
      </c>
      <c r="O258" s="17"/>
    </row>
    <row r="259" spans="1:15" x14ac:dyDescent="0.25">
      <c r="A259" s="4" t="s">
        <v>1307</v>
      </c>
      <c r="B259" s="37">
        <f t="shared" si="12"/>
        <v>0</v>
      </c>
      <c r="C259" s="37">
        <f t="shared" si="13"/>
        <v>0</v>
      </c>
      <c r="D259" s="37">
        <f t="shared" si="15"/>
        <v>0</v>
      </c>
      <c r="E259" s="37">
        <f t="shared" si="16"/>
        <v>0</v>
      </c>
      <c r="F259" s="21">
        <f t="shared" si="17"/>
        <v>60</v>
      </c>
      <c r="G259" s="36">
        <v>48</v>
      </c>
      <c r="H259" s="21">
        <f t="shared" si="14"/>
        <v>9768</v>
      </c>
      <c r="I259" s="21">
        <f t="shared" si="18"/>
        <v>69</v>
      </c>
      <c r="J259" s="21">
        <f t="shared" si="19"/>
        <v>10</v>
      </c>
      <c r="K259" s="37">
        <f t="shared" si="20"/>
        <v>-52.488115732238036</v>
      </c>
      <c r="L259" s="37">
        <f t="shared" si="21"/>
        <v>2500243.9439252429</v>
      </c>
      <c r="M259" s="37">
        <f t="shared" si="22"/>
        <v>-258094110.66695666</v>
      </c>
      <c r="N259" s="37" t="str">
        <f t="shared" si="23"/>
        <v/>
      </c>
      <c r="O259" s="17"/>
    </row>
    <row r="260" spans="1:15" x14ac:dyDescent="0.25">
      <c r="A260" s="4" t="s">
        <v>1308</v>
      </c>
      <c r="B260" s="37">
        <f t="shared" si="12"/>
        <v>0</v>
      </c>
      <c r="C260" s="37">
        <f t="shared" si="13"/>
        <v>0</v>
      </c>
      <c r="D260" s="37">
        <f t="shared" si="15"/>
        <v>0</v>
      </c>
      <c r="E260" s="37">
        <f t="shared" si="16"/>
        <v>0</v>
      </c>
      <c r="F260" s="21">
        <f t="shared" si="17"/>
        <v>60</v>
      </c>
      <c r="G260" s="36">
        <v>49</v>
      </c>
      <c r="H260" s="21">
        <f t="shared" si="14"/>
        <v>9769</v>
      </c>
      <c r="I260" s="21">
        <f t="shared" si="18"/>
        <v>70</v>
      </c>
      <c r="J260" s="21">
        <f t="shared" si="19"/>
        <v>23</v>
      </c>
      <c r="K260" s="37">
        <f t="shared" si="20"/>
        <v>-52.465825510993277</v>
      </c>
      <c r="L260" s="37">
        <f t="shared" si="21"/>
        <v>2500243.9439252429</v>
      </c>
      <c r="M260" s="37">
        <f t="shared" si="22"/>
        <v>-258038379.67628071</v>
      </c>
      <c r="N260" s="37" t="str">
        <f t="shared" si="23"/>
        <v/>
      </c>
      <c r="O260" s="17"/>
    </row>
    <row r="261" spans="1:15" x14ac:dyDescent="0.25">
      <c r="A261" s="4" t="s">
        <v>1309</v>
      </c>
      <c r="B261" s="37">
        <f t="shared" si="12"/>
        <v>-216.11051931195112</v>
      </c>
      <c r="C261" s="37">
        <f t="shared" si="13"/>
        <v>0</v>
      </c>
      <c r="D261" s="37">
        <f t="shared" si="15"/>
        <v>0</v>
      </c>
      <c r="E261" s="37">
        <f t="shared" si="16"/>
        <v>0</v>
      </c>
      <c r="F261" s="21">
        <f t="shared" si="17"/>
        <v>15</v>
      </c>
      <c r="G261" s="36">
        <v>50</v>
      </c>
      <c r="H261" s="21">
        <f t="shared" si="14"/>
        <v>2480</v>
      </c>
      <c r="I261" s="21">
        <f t="shared" si="18"/>
        <v>15</v>
      </c>
      <c r="J261" s="21">
        <f t="shared" si="19"/>
        <v>11</v>
      </c>
      <c r="K261" s="37">
        <f t="shared" si="20"/>
        <v>-52.452082103413353</v>
      </c>
      <c r="L261" s="37">
        <f t="shared" si="21"/>
        <v>2597541.1749731391</v>
      </c>
      <c r="M261" s="37">
        <f t="shared" si="22"/>
        <v>-258004017.80471012</v>
      </c>
      <c r="N261" s="37" t="str">
        <f t="shared" si="23"/>
        <v/>
      </c>
      <c r="O261" s="17"/>
    </row>
    <row r="262" spans="1:15" x14ac:dyDescent="0.25">
      <c r="A262" s="4" t="s">
        <v>1310</v>
      </c>
      <c r="B262" s="37">
        <f t="shared" si="12"/>
        <v>0</v>
      </c>
      <c r="C262" s="37">
        <f t="shared" si="13"/>
        <v>0</v>
      </c>
      <c r="D262" s="37">
        <f t="shared" si="15"/>
        <v>0</v>
      </c>
      <c r="E262" s="37">
        <f t="shared" si="16"/>
        <v>0</v>
      </c>
      <c r="F262" s="21">
        <f t="shared" si="17"/>
        <v>60</v>
      </c>
      <c r="G262" s="36">
        <v>51</v>
      </c>
      <c r="H262" s="21">
        <f t="shared" si="14"/>
        <v>9771</v>
      </c>
      <c r="I262" s="21">
        <f t="shared" si="18"/>
        <v>71</v>
      </c>
      <c r="J262" s="21">
        <f t="shared" si="19"/>
        <v>148</v>
      </c>
      <c r="K262" s="37">
        <f t="shared" si="20"/>
        <v>-50.817256632110258</v>
      </c>
      <c r="L262" s="37">
        <f t="shared" si="21"/>
        <v>2600934.8632705784</v>
      </c>
      <c r="M262" s="37">
        <f t="shared" si="22"/>
        <v>-253757491.32910547</v>
      </c>
      <c r="N262" s="37" t="str">
        <f t="shared" si="23"/>
        <v/>
      </c>
      <c r="O262" s="17"/>
    </row>
    <row r="263" spans="1:15" x14ac:dyDescent="0.25">
      <c r="A263" s="4" t="s">
        <v>1311</v>
      </c>
      <c r="B263" s="37">
        <f t="shared" si="12"/>
        <v>-176.78392356861141</v>
      </c>
      <c r="C263" s="37">
        <f t="shared" si="13"/>
        <v>0</v>
      </c>
      <c r="D263" s="37">
        <f t="shared" si="15"/>
        <v>0</v>
      </c>
      <c r="E263" s="37">
        <f t="shared" si="16"/>
        <v>0</v>
      </c>
      <c r="F263" s="21">
        <f t="shared" si="17"/>
        <v>20</v>
      </c>
      <c r="G263" s="36">
        <v>52</v>
      </c>
      <c r="H263" s="21">
        <f t="shared" si="14"/>
        <v>3292</v>
      </c>
      <c r="I263" s="21">
        <f t="shared" si="18"/>
        <v>20</v>
      </c>
      <c r="J263" s="21">
        <f t="shared" si="19"/>
        <v>25</v>
      </c>
      <c r="K263" s="37">
        <f t="shared" si="20"/>
        <v>-44.751696648008263</v>
      </c>
      <c r="L263" s="37">
        <f t="shared" si="21"/>
        <v>2600934.8632705784</v>
      </c>
      <c r="M263" s="37">
        <f t="shared" si="22"/>
        <v>-237981364.90119565</v>
      </c>
      <c r="N263" s="37" t="str">
        <f t="shared" si="23"/>
        <v/>
      </c>
      <c r="O263" s="17"/>
    </row>
    <row r="264" spans="1:15" x14ac:dyDescent="0.25">
      <c r="A264" s="4" t="s">
        <v>1312</v>
      </c>
      <c r="B264" s="37">
        <f t="shared" si="12"/>
        <v>0</v>
      </c>
      <c r="C264" s="37">
        <f t="shared" si="13"/>
        <v>0</v>
      </c>
      <c r="D264" s="37">
        <f t="shared" si="15"/>
        <v>0</v>
      </c>
      <c r="E264" s="37">
        <f t="shared" si="16"/>
        <v>0</v>
      </c>
      <c r="F264" s="21">
        <f t="shared" si="17"/>
        <v>60</v>
      </c>
      <c r="G264" s="36">
        <v>53</v>
      </c>
      <c r="H264" s="21">
        <f t="shared" si="14"/>
        <v>9773</v>
      </c>
      <c r="I264" s="21">
        <f t="shared" si="18"/>
        <v>72</v>
      </c>
      <c r="J264" s="21">
        <f t="shared" si="19"/>
        <v>26</v>
      </c>
      <c r="K264" s="37">
        <f t="shared" si="20"/>
        <v>-44.295597220472658</v>
      </c>
      <c r="L264" s="37">
        <f t="shared" si="21"/>
        <v>2600934.8632705784</v>
      </c>
      <c r="M264" s="37">
        <f t="shared" si="22"/>
        <v>-236795079.99900055</v>
      </c>
      <c r="N264" s="37" t="str">
        <f t="shared" si="23"/>
        <v/>
      </c>
      <c r="O264" s="17"/>
    </row>
    <row r="265" spans="1:15" x14ac:dyDescent="0.25">
      <c r="A265" s="4" t="s">
        <v>1313</v>
      </c>
      <c r="B265" s="37">
        <f t="shared" si="12"/>
        <v>-120.69433968424102</v>
      </c>
      <c r="C265" s="37">
        <f t="shared" si="13"/>
        <v>0</v>
      </c>
      <c r="D265" s="37">
        <f t="shared" si="15"/>
        <v>0</v>
      </c>
      <c r="E265" s="37">
        <f t="shared" si="16"/>
        <v>0</v>
      </c>
      <c r="F265" s="21">
        <f t="shared" si="17"/>
        <v>27</v>
      </c>
      <c r="G265" s="36">
        <v>54</v>
      </c>
      <c r="H265" s="21">
        <f t="shared" si="14"/>
        <v>4428</v>
      </c>
      <c r="I265" s="21">
        <f t="shared" si="18"/>
        <v>27</v>
      </c>
      <c r="J265" s="21">
        <f t="shared" si="19"/>
        <v>12</v>
      </c>
      <c r="K265" s="37">
        <f t="shared" si="20"/>
        <v>-43.05240035640292</v>
      </c>
      <c r="L265" s="37">
        <f t="shared" si="21"/>
        <v>2973636.975203671</v>
      </c>
      <c r="M265" s="37">
        <f t="shared" si="22"/>
        <v>-233561605.93333292</v>
      </c>
      <c r="N265" s="37" t="str">
        <f t="shared" si="23"/>
        <v/>
      </c>
      <c r="O265" s="17"/>
    </row>
    <row r="266" spans="1:15" x14ac:dyDescent="0.25">
      <c r="A266" s="4" t="s">
        <v>1314</v>
      </c>
      <c r="B266" s="37">
        <f t="shared" ref="B266:B292" si="24">D128</f>
        <v>0</v>
      </c>
      <c r="C266" s="37">
        <f t="shared" ref="C266:C292" si="25">D82</f>
        <v>0</v>
      </c>
      <c r="D266" s="37">
        <f t="shared" si="15"/>
        <v>0</v>
      </c>
      <c r="E266" s="37">
        <f t="shared" si="16"/>
        <v>0</v>
      </c>
      <c r="F266" s="21">
        <f t="shared" si="17"/>
        <v>60</v>
      </c>
      <c r="G266" s="36">
        <v>55</v>
      </c>
      <c r="H266" s="21">
        <f t="shared" si="14"/>
        <v>9775</v>
      </c>
      <c r="I266" s="21">
        <f t="shared" si="18"/>
        <v>73</v>
      </c>
      <c r="J266" s="21">
        <f t="shared" si="19"/>
        <v>149</v>
      </c>
      <c r="K266" s="37">
        <f t="shared" si="20"/>
        <v>-37.739830517770464</v>
      </c>
      <c r="L266" s="37">
        <f t="shared" si="21"/>
        <v>2983370.9335158588</v>
      </c>
      <c r="M266" s="37">
        <f t="shared" si="22"/>
        <v>-217763951.82782364</v>
      </c>
      <c r="N266" s="37" t="str">
        <f t="shared" si="23"/>
        <v/>
      </c>
      <c r="O266" s="17"/>
    </row>
    <row r="267" spans="1:15" x14ac:dyDescent="0.25">
      <c r="A267" s="4" t="s">
        <v>1315</v>
      </c>
      <c r="B267" s="37">
        <f t="shared" si="24"/>
        <v>0</v>
      </c>
      <c r="C267" s="37">
        <f t="shared" si="25"/>
        <v>0</v>
      </c>
      <c r="D267" s="37">
        <f t="shared" si="15"/>
        <v>0</v>
      </c>
      <c r="E267" s="37">
        <f t="shared" si="16"/>
        <v>0</v>
      </c>
      <c r="F267" s="21">
        <f t="shared" si="17"/>
        <v>60</v>
      </c>
      <c r="G267" s="36">
        <v>56</v>
      </c>
      <c r="H267" s="21">
        <f t="shared" si="14"/>
        <v>9776</v>
      </c>
      <c r="I267" s="21">
        <f t="shared" si="18"/>
        <v>74</v>
      </c>
      <c r="J267" s="21">
        <f t="shared" si="19"/>
        <v>13</v>
      </c>
      <c r="K267" s="37">
        <f t="shared" si="20"/>
        <v>-36.255215189981527</v>
      </c>
      <c r="L267" s="37">
        <f t="shared" si="21"/>
        <v>3178914.1167040886</v>
      </c>
      <c r="M267" s="37">
        <f t="shared" si="22"/>
        <v>-213334793.61144599</v>
      </c>
      <c r="N267" s="37" t="str">
        <f t="shared" si="23"/>
        <v/>
      </c>
      <c r="O267" s="17"/>
    </row>
    <row r="268" spans="1:15" x14ac:dyDescent="0.25">
      <c r="A268" s="4" t="s">
        <v>1316</v>
      </c>
      <c r="B268" s="37">
        <f t="shared" si="24"/>
        <v>0</v>
      </c>
      <c r="C268" s="37">
        <f t="shared" si="25"/>
        <v>0</v>
      </c>
      <c r="D268" s="37">
        <f t="shared" si="15"/>
        <v>0</v>
      </c>
      <c r="E268" s="37">
        <f t="shared" si="16"/>
        <v>0</v>
      </c>
      <c r="F268" s="21">
        <f t="shared" si="17"/>
        <v>60</v>
      </c>
      <c r="G268" s="36">
        <v>57</v>
      </c>
      <c r="H268" s="21">
        <f t="shared" si="14"/>
        <v>9777</v>
      </c>
      <c r="I268" s="21">
        <f t="shared" si="18"/>
        <v>75</v>
      </c>
      <c r="J268" s="21">
        <f t="shared" si="19"/>
        <v>9</v>
      </c>
      <c r="K268" s="37">
        <f t="shared" si="20"/>
        <v>-35.995216875127461</v>
      </c>
      <c r="L268" s="37">
        <f t="shared" si="21"/>
        <v>3180180.4198874645</v>
      </c>
      <c r="M268" s="37">
        <f t="shared" si="22"/>
        <v>-212508281.29803714</v>
      </c>
      <c r="N268" s="37" t="str">
        <f t="shared" si="23"/>
        <v/>
      </c>
      <c r="O268" s="17"/>
    </row>
    <row r="269" spans="1:15" x14ac:dyDescent="0.25">
      <c r="A269" s="4" t="s">
        <v>1317</v>
      </c>
      <c r="B269" s="37">
        <f t="shared" si="24"/>
        <v>0</v>
      </c>
      <c r="C269" s="37">
        <f t="shared" si="25"/>
        <v>0</v>
      </c>
      <c r="D269" s="37">
        <f t="shared" si="15"/>
        <v>0</v>
      </c>
      <c r="E269" s="37">
        <f t="shared" si="16"/>
        <v>0</v>
      </c>
      <c r="F269" s="21">
        <f t="shared" si="17"/>
        <v>60</v>
      </c>
      <c r="G269" s="36">
        <v>58</v>
      </c>
      <c r="H269" s="21">
        <f t="shared" si="14"/>
        <v>9778</v>
      </c>
      <c r="I269" s="21">
        <f t="shared" si="18"/>
        <v>76</v>
      </c>
      <c r="J269" s="21">
        <f t="shared" si="19"/>
        <v>27</v>
      </c>
      <c r="K269" s="37">
        <f t="shared" si="20"/>
        <v>-33.749415118757966</v>
      </c>
      <c r="L269" s="37">
        <f t="shared" si="21"/>
        <v>3180180.4198874645</v>
      </c>
      <c r="M269" s="37">
        <f t="shared" si="22"/>
        <v>-205366226.525482</v>
      </c>
      <c r="N269" s="37" t="str">
        <f t="shared" si="23"/>
        <v/>
      </c>
      <c r="O269" s="17"/>
    </row>
    <row r="270" spans="1:15" x14ac:dyDescent="0.25">
      <c r="A270" s="4" t="s">
        <v>1318</v>
      </c>
      <c r="B270" s="37">
        <f t="shared" si="24"/>
        <v>0</v>
      </c>
      <c r="C270" s="37">
        <f t="shared" si="25"/>
        <v>0</v>
      </c>
      <c r="D270" s="37">
        <f t="shared" si="15"/>
        <v>0</v>
      </c>
      <c r="E270" s="37">
        <f t="shared" si="16"/>
        <v>0</v>
      </c>
      <c r="F270" s="21">
        <f t="shared" si="17"/>
        <v>60</v>
      </c>
      <c r="G270" s="36">
        <v>59</v>
      </c>
      <c r="H270" s="21">
        <f t="shared" si="14"/>
        <v>9779</v>
      </c>
      <c r="I270" s="21">
        <f t="shared" si="18"/>
        <v>77</v>
      </c>
      <c r="J270" s="21">
        <f t="shared" si="19"/>
        <v>14</v>
      </c>
      <c r="K270" s="37">
        <f t="shared" si="20"/>
        <v>-28.354381018203988</v>
      </c>
      <c r="L270" s="37">
        <f t="shared" si="21"/>
        <v>3830963.5604353892</v>
      </c>
      <c r="M270" s="37">
        <f t="shared" si="22"/>
        <v>-188209044.71427506</v>
      </c>
      <c r="N270" s="37" t="str">
        <f t="shared" si="23"/>
        <v/>
      </c>
      <c r="O270" s="17"/>
    </row>
    <row r="271" spans="1:15" x14ac:dyDescent="0.25">
      <c r="A271" s="4" t="s">
        <v>1319</v>
      </c>
      <c r="B271" s="37">
        <f t="shared" si="24"/>
        <v>0</v>
      </c>
      <c r="C271" s="37">
        <f t="shared" si="25"/>
        <v>0</v>
      </c>
      <c r="D271" s="37">
        <f t="shared" si="15"/>
        <v>0</v>
      </c>
      <c r="E271" s="37">
        <f t="shared" si="16"/>
        <v>0</v>
      </c>
      <c r="F271" s="21">
        <f t="shared" si="17"/>
        <v>60</v>
      </c>
      <c r="G271" s="36">
        <v>60</v>
      </c>
      <c r="H271" s="21">
        <f t="shared" si="14"/>
        <v>9780</v>
      </c>
      <c r="I271" s="21">
        <f t="shared" si="18"/>
        <v>78</v>
      </c>
      <c r="J271" s="21">
        <f t="shared" si="19"/>
        <v>28</v>
      </c>
      <c r="K271" s="37">
        <f t="shared" si="20"/>
        <v>0</v>
      </c>
      <c r="L271" s="37">
        <f t="shared" si="21"/>
        <v>3830963.5604353892</v>
      </c>
      <c r="M271" s="37">
        <f t="shared" si="22"/>
        <v>-79584444.254834697</v>
      </c>
      <c r="N271" s="37" t="str">
        <f t="shared" si="23"/>
        <v/>
      </c>
      <c r="O271" s="17"/>
    </row>
    <row r="272" spans="1:15" x14ac:dyDescent="0.25">
      <c r="A272" s="4" t="s">
        <v>1320</v>
      </c>
      <c r="B272" s="37">
        <f t="shared" si="24"/>
        <v>0</v>
      </c>
      <c r="C272" s="37">
        <f t="shared" si="25"/>
        <v>0</v>
      </c>
      <c r="D272" s="37">
        <f t="shared" si="15"/>
        <v>0</v>
      </c>
      <c r="E272" s="37">
        <f t="shared" si="16"/>
        <v>0</v>
      </c>
      <c r="F272" s="21">
        <f t="shared" si="17"/>
        <v>60</v>
      </c>
      <c r="G272" s="36">
        <v>61</v>
      </c>
      <c r="H272" s="21">
        <f t="shared" si="14"/>
        <v>9781</v>
      </c>
      <c r="I272" s="21">
        <f t="shared" si="18"/>
        <v>79</v>
      </c>
      <c r="J272" s="21">
        <f t="shared" si="19"/>
        <v>30</v>
      </c>
      <c r="K272" s="37">
        <f t="shared" si="20"/>
        <v>0</v>
      </c>
      <c r="L272" s="37">
        <f t="shared" si="21"/>
        <v>3830963.5604353892</v>
      </c>
      <c r="M272" s="37">
        <f t="shared" si="22"/>
        <v>-79584444.254834697</v>
      </c>
      <c r="N272" s="37" t="str">
        <f t="shared" si="23"/>
        <v/>
      </c>
      <c r="O272" s="17"/>
    </row>
    <row r="273" spans="1:15" x14ac:dyDescent="0.25">
      <c r="A273" s="4" t="s">
        <v>1321</v>
      </c>
      <c r="B273" s="37">
        <f t="shared" si="24"/>
        <v>0</v>
      </c>
      <c r="C273" s="37">
        <f t="shared" si="25"/>
        <v>0</v>
      </c>
      <c r="D273" s="37">
        <f t="shared" si="15"/>
        <v>0</v>
      </c>
      <c r="E273" s="37">
        <f t="shared" si="16"/>
        <v>0</v>
      </c>
      <c r="F273" s="21">
        <f t="shared" si="17"/>
        <v>60</v>
      </c>
      <c r="G273" s="36">
        <v>62</v>
      </c>
      <c r="H273" s="21">
        <f t="shared" si="14"/>
        <v>9782</v>
      </c>
      <c r="I273" s="21">
        <f t="shared" si="18"/>
        <v>80</v>
      </c>
      <c r="J273" s="21">
        <f t="shared" si="19"/>
        <v>31</v>
      </c>
      <c r="K273" s="37">
        <f t="shared" si="20"/>
        <v>0</v>
      </c>
      <c r="L273" s="37">
        <f t="shared" si="21"/>
        <v>3830963.5604353892</v>
      </c>
      <c r="M273" s="37">
        <f t="shared" si="22"/>
        <v>-79584444.254834697</v>
      </c>
      <c r="N273" s="37" t="str">
        <f t="shared" si="23"/>
        <v/>
      </c>
      <c r="O273" s="17"/>
    </row>
    <row r="274" spans="1:15" x14ac:dyDescent="0.25">
      <c r="A274" s="4" t="s">
        <v>1322</v>
      </c>
      <c r="B274" s="37">
        <f t="shared" si="24"/>
        <v>0</v>
      </c>
      <c r="C274" s="37">
        <f t="shared" si="25"/>
        <v>0</v>
      </c>
      <c r="D274" s="37">
        <f t="shared" si="15"/>
        <v>0</v>
      </c>
      <c r="E274" s="37">
        <f t="shared" si="16"/>
        <v>0</v>
      </c>
      <c r="F274" s="21">
        <f t="shared" si="17"/>
        <v>60</v>
      </c>
      <c r="G274" s="36">
        <v>63</v>
      </c>
      <c r="H274" s="21">
        <f t="shared" si="14"/>
        <v>9783</v>
      </c>
      <c r="I274" s="21">
        <f t="shared" si="18"/>
        <v>81</v>
      </c>
      <c r="J274" s="21">
        <f t="shared" si="19"/>
        <v>33</v>
      </c>
      <c r="K274" s="37">
        <f t="shared" si="20"/>
        <v>0</v>
      </c>
      <c r="L274" s="37">
        <f t="shared" si="21"/>
        <v>3830963.5604353892</v>
      </c>
      <c r="M274" s="37">
        <f t="shared" si="22"/>
        <v>-79584444.254834697</v>
      </c>
      <c r="N274" s="37" t="str">
        <f t="shared" si="23"/>
        <v/>
      </c>
      <c r="O274" s="17"/>
    </row>
    <row r="275" spans="1:15" x14ac:dyDescent="0.25">
      <c r="A275" s="4" t="s">
        <v>1323</v>
      </c>
      <c r="B275" s="37">
        <f t="shared" si="24"/>
        <v>-324.82621616564342</v>
      </c>
      <c r="C275" s="37">
        <f t="shared" si="25"/>
        <v>0</v>
      </c>
      <c r="D275" s="37">
        <f t="shared" si="15"/>
        <v>0</v>
      </c>
      <c r="E275" s="37">
        <f t="shared" si="16"/>
        <v>0</v>
      </c>
      <c r="F275" s="21">
        <f t="shared" si="17"/>
        <v>3</v>
      </c>
      <c r="G275" s="36">
        <v>64</v>
      </c>
      <c r="H275" s="21">
        <f t="shared" ref="H275:H306" si="26">F275*162+G275</f>
        <v>550</v>
      </c>
      <c r="I275" s="21">
        <f t="shared" si="18"/>
        <v>3</v>
      </c>
      <c r="J275" s="21">
        <f t="shared" si="19"/>
        <v>42</v>
      </c>
      <c r="K275" s="37">
        <f t="shared" si="20"/>
        <v>0</v>
      </c>
      <c r="L275" s="37">
        <f t="shared" si="21"/>
        <v>3830963.5604353892</v>
      </c>
      <c r="M275" s="37">
        <f t="shared" si="22"/>
        <v>-79584444.254834697</v>
      </c>
      <c r="N275" s="37" t="str">
        <f t="shared" si="23"/>
        <v/>
      </c>
      <c r="O275" s="17"/>
    </row>
    <row r="276" spans="1:15" x14ac:dyDescent="0.25">
      <c r="A276" s="4" t="s">
        <v>1324</v>
      </c>
      <c r="B276" s="37">
        <f t="shared" si="24"/>
        <v>-324.57387839077711</v>
      </c>
      <c r="C276" s="37">
        <f t="shared" si="25"/>
        <v>1262.4608493141261</v>
      </c>
      <c r="D276" s="37">
        <f t="shared" ref="D276:D307" si="27">IF(ISERROR(B276),C276,0)</f>
        <v>0</v>
      </c>
      <c r="E276" s="37">
        <f t="shared" ref="E276:E307" si="28">MAX($B$182,B276)*C276</f>
        <v>-409761.81417840038</v>
      </c>
      <c r="F276" s="21">
        <f t="shared" ref="F276:F307" si="29">RANK(B276,B$212:B$373,1)</f>
        <v>8</v>
      </c>
      <c r="G276" s="36">
        <v>65</v>
      </c>
      <c r="H276" s="21">
        <f t="shared" si="26"/>
        <v>1361</v>
      </c>
      <c r="I276" s="21">
        <f t="shared" ref="I276:I307" si="30">RANK(H276,H$212:H$373,1)</f>
        <v>8</v>
      </c>
      <c r="J276" s="21">
        <f t="shared" ref="J276:J307" si="31">MATCH(G276,I$212:I$373,0)</f>
        <v>43</v>
      </c>
      <c r="K276" s="37">
        <f t="shared" ref="K276:K307" si="32">INDEX(B$212:B$373,J276,1)</f>
        <v>0</v>
      </c>
      <c r="L276" s="37">
        <f t="shared" ref="L276:L307" si="33">L275+INDEX(C$212:C$373,J276,1)</f>
        <v>3830963.5604353892</v>
      </c>
      <c r="M276" s="37">
        <f t="shared" ref="M276:M307" si="34">M275+(K276-K275)*L275</f>
        <v>-79584444.254834697</v>
      </c>
      <c r="N276" s="37" t="str">
        <f t="shared" ref="N276:N307" si="35">IF((M275&gt;0)=(M276&gt;0),"",K276-M276/L275)</f>
        <v/>
      </c>
      <c r="O276" s="17"/>
    </row>
    <row r="277" spans="1:15" x14ac:dyDescent="0.25">
      <c r="A277" s="4" t="s">
        <v>1325</v>
      </c>
      <c r="B277" s="37">
        <f t="shared" si="24"/>
        <v>-251.7570124930042</v>
      </c>
      <c r="C277" s="37">
        <f t="shared" si="25"/>
        <v>4848.5436334800952</v>
      </c>
      <c r="D277" s="37">
        <f t="shared" si="27"/>
        <v>0</v>
      </c>
      <c r="E277" s="37">
        <f t="shared" si="28"/>
        <v>-1220654.8601069243</v>
      </c>
      <c r="F277" s="21">
        <f t="shared" si="29"/>
        <v>12</v>
      </c>
      <c r="G277" s="36">
        <v>66</v>
      </c>
      <c r="H277" s="21">
        <f t="shared" si="26"/>
        <v>2010</v>
      </c>
      <c r="I277" s="21">
        <f t="shared" si="30"/>
        <v>12</v>
      </c>
      <c r="J277" s="21">
        <f t="shared" si="31"/>
        <v>44</v>
      </c>
      <c r="K277" s="37">
        <f t="shared" si="32"/>
        <v>0</v>
      </c>
      <c r="L277" s="37">
        <f t="shared" si="33"/>
        <v>3830963.5604353892</v>
      </c>
      <c r="M277" s="37">
        <f t="shared" si="34"/>
        <v>-79584444.254834697</v>
      </c>
      <c r="N277" s="37" t="str">
        <f t="shared" si="35"/>
        <v/>
      </c>
      <c r="O277" s="17"/>
    </row>
    <row r="278" spans="1:15" x14ac:dyDescent="0.25">
      <c r="A278" s="4" t="s">
        <v>1326</v>
      </c>
      <c r="B278" s="37">
        <f t="shared" si="24"/>
        <v>-199.10853979800626</v>
      </c>
      <c r="C278" s="37">
        <f t="shared" si="25"/>
        <v>2675.7891985800456</v>
      </c>
      <c r="D278" s="37">
        <f t="shared" si="27"/>
        <v>0</v>
      </c>
      <c r="E278" s="37">
        <f t="shared" si="28"/>
        <v>-532772.48013655026</v>
      </c>
      <c r="F278" s="21">
        <f t="shared" si="29"/>
        <v>17</v>
      </c>
      <c r="G278" s="36">
        <v>67</v>
      </c>
      <c r="H278" s="21">
        <f t="shared" si="26"/>
        <v>2821</v>
      </c>
      <c r="I278" s="21">
        <f t="shared" si="30"/>
        <v>17</v>
      </c>
      <c r="J278" s="21">
        <f t="shared" si="31"/>
        <v>45</v>
      </c>
      <c r="K278" s="37">
        <f t="shared" si="32"/>
        <v>0</v>
      </c>
      <c r="L278" s="37">
        <f t="shared" si="33"/>
        <v>3830963.5604353892</v>
      </c>
      <c r="M278" s="37">
        <f t="shared" si="34"/>
        <v>-79584444.254834697</v>
      </c>
      <c r="N278" s="37" t="str">
        <f t="shared" si="35"/>
        <v/>
      </c>
      <c r="O278" s="17"/>
    </row>
    <row r="279" spans="1:15" x14ac:dyDescent="0.25">
      <c r="A279" s="4" t="s">
        <v>1327</v>
      </c>
      <c r="B279" s="37">
        <f t="shared" si="24"/>
        <v>-137.91161166142334</v>
      </c>
      <c r="C279" s="37">
        <f t="shared" si="25"/>
        <v>10274.93599291279</v>
      </c>
      <c r="D279" s="37">
        <f t="shared" si="27"/>
        <v>0</v>
      </c>
      <c r="E279" s="37">
        <f t="shared" si="28"/>
        <v>-1417032.9825005699</v>
      </c>
      <c r="F279" s="21">
        <f t="shared" si="29"/>
        <v>24</v>
      </c>
      <c r="G279" s="36">
        <v>68</v>
      </c>
      <c r="H279" s="21">
        <f t="shared" si="26"/>
        <v>3956</v>
      </c>
      <c r="I279" s="21">
        <f t="shared" si="30"/>
        <v>24</v>
      </c>
      <c r="J279" s="21">
        <f t="shared" si="31"/>
        <v>47</v>
      </c>
      <c r="K279" s="37">
        <f t="shared" si="32"/>
        <v>0</v>
      </c>
      <c r="L279" s="37">
        <f t="shared" si="33"/>
        <v>3830963.5604353892</v>
      </c>
      <c r="M279" s="37">
        <f t="shared" si="34"/>
        <v>-79584444.254834697</v>
      </c>
      <c r="N279" s="37" t="str">
        <f t="shared" si="35"/>
        <v/>
      </c>
      <c r="O279" s="17"/>
    </row>
    <row r="280" spans="1:15" x14ac:dyDescent="0.25">
      <c r="A280" s="4" t="s">
        <v>1328</v>
      </c>
      <c r="B280" s="37">
        <f t="shared" si="24"/>
        <v>0</v>
      </c>
      <c r="C280" s="37">
        <f t="shared" si="25"/>
        <v>0</v>
      </c>
      <c r="D280" s="37">
        <f t="shared" si="27"/>
        <v>0</v>
      </c>
      <c r="E280" s="37">
        <f t="shared" si="28"/>
        <v>0</v>
      </c>
      <c r="F280" s="21">
        <f t="shared" si="29"/>
        <v>60</v>
      </c>
      <c r="G280" s="36">
        <v>69</v>
      </c>
      <c r="H280" s="21">
        <f t="shared" si="26"/>
        <v>9789</v>
      </c>
      <c r="I280" s="21">
        <f t="shared" si="30"/>
        <v>82</v>
      </c>
      <c r="J280" s="21">
        <f t="shared" si="31"/>
        <v>48</v>
      </c>
      <c r="K280" s="37">
        <f t="shared" si="32"/>
        <v>0</v>
      </c>
      <c r="L280" s="37">
        <f t="shared" si="33"/>
        <v>3830963.5604353892</v>
      </c>
      <c r="M280" s="37">
        <f t="shared" si="34"/>
        <v>-79584444.254834697</v>
      </c>
      <c r="N280" s="37" t="str">
        <f t="shared" si="35"/>
        <v/>
      </c>
      <c r="O280" s="17"/>
    </row>
    <row r="281" spans="1:15" x14ac:dyDescent="0.25">
      <c r="A281" s="4" t="s">
        <v>1329</v>
      </c>
      <c r="B281" s="37">
        <f t="shared" si="24"/>
        <v>0</v>
      </c>
      <c r="C281" s="37">
        <f t="shared" si="25"/>
        <v>0</v>
      </c>
      <c r="D281" s="37">
        <f t="shared" si="27"/>
        <v>0</v>
      </c>
      <c r="E281" s="37">
        <f t="shared" si="28"/>
        <v>0</v>
      </c>
      <c r="F281" s="21">
        <f t="shared" si="29"/>
        <v>60</v>
      </c>
      <c r="G281" s="36">
        <v>70</v>
      </c>
      <c r="H281" s="21">
        <f t="shared" si="26"/>
        <v>9790</v>
      </c>
      <c r="I281" s="21">
        <f t="shared" si="30"/>
        <v>83</v>
      </c>
      <c r="J281" s="21">
        <f t="shared" si="31"/>
        <v>49</v>
      </c>
      <c r="K281" s="37">
        <f t="shared" si="32"/>
        <v>0</v>
      </c>
      <c r="L281" s="37">
        <f t="shared" si="33"/>
        <v>3830963.5604353892</v>
      </c>
      <c r="M281" s="37">
        <f t="shared" si="34"/>
        <v>-79584444.254834697</v>
      </c>
      <c r="N281" s="37" t="str">
        <f t="shared" si="35"/>
        <v/>
      </c>
      <c r="O281" s="17"/>
    </row>
    <row r="282" spans="1:15" x14ac:dyDescent="0.25">
      <c r="A282" s="4" t="s">
        <v>1330</v>
      </c>
      <c r="B282" s="37">
        <f t="shared" si="24"/>
        <v>0</v>
      </c>
      <c r="C282" s="37">
        <f t="shared" si="25"/>
        <v>0</v>
      </c>
      <c r="D282" s="37">
        <f t="shared" si="27"/>
        <v>0</v>
      </c>
      <c r="E282" s="37">
        <f t="shared" si="28"/>
        <v>0</v>
      </c>
      <c r="F282" s="21">
        <f t="shared" si="29"/>
        <v>60</v>
      </c>
      <c r="G282" s="36">
        <v>71</v>
      </c>
      <c r="H282" s="21">
        <f t="shared" si="26"/>
        <v>9791</v>
      </c>
      <c r="I282" s="21">
        <f t="shared" si="30"/>
        <v>84</v>
      </c>
      <c r="J282" s="21">
        <f t="shared" si="31"/>
        <v>51</v>
      </c>
      <c r="K282" s="37">
        <f t="shared" si="32"/>
        <v>0</v>
      </c>
      <c r="L282" s="37">
        <f t="shared" si="33"/>
        <v>3830963.5604353892</v>
      </c>
      <c r="M282" s="37">
        <f t="shared" si="34"/>
        <v>-79584444.254834697</v>
      </c>
      <c r="N282" s="37" t="str">
        <f t="shared" si="35"/>
        <v/>
      </c>
      <c r="O282" s="17"/>
    </row>
    <row r="283" spans="1:15" x14ac:dyDescent="0.25">
      <c r="A283" s="4" t="s">
        <v>1331</v>
      </c>
      <c r="B283" s="37">
        <f t="shared" si="24"/>
        <v>0</v>
      </c>
      <c r="C283" s="37">
        <f t="shared" si="25"/>
        <v>0</v>
      </c>
      <c r="D283" s="37">
        <f t="shared" si="27"/>
        <v>0</v>
      </c>
      <c r="E283" s="37">
        <f t="shared" si="28"/>
        <v>0</v>
      </c>
      <c r="F283" s="21">
        <f t="shared" si="29"/>
        <v>60</v>
      </c>
      <c r="G283" s="36">
        <v>72</v>
      </c>
      <c r="H283" s="21">
        <f t="shared" si="26"/>
        <v>9792</v>
      </c>
      <c r="I283" s="21">
        <f t="shared" si="30"/>
        <v>85</v>
      </c>
      <c r="J283" s="21">
        <f t="shared" si="31"/>
        <v>53</v>
      </c>
      <c r="K283" s="37">
        <f t="shared" si="32"/>
        <v>0</v>
      </c>
      <c r="L283" s="37">
        <f t="shared" si="33"/>
        <v>3830963.5604353892</v>
      </c>
      <c r="M283" s="37">
        <f t="shared" si="34"/>
        <v>-79584444.254834697</v>
      </c>
      <c r="N283" s="37" t="str">
        <f t="shared" si="35"/>
        <v/>
      </c>
      <c r="O283" s="17"/>
    </row>
    <row r="284" spans="1:15" x14ac:dyDescent="0.25">
      <c r="A284" s="4" t="s">
        <v>1332</v>
      </c>
      <c r="B284" s="37">
        <f t="shared" si="24"/>
        <v>-4245.3431778739641</v>
      </c>
      <c r="C284" s="37">
        <f t="shared" si="25"/>
        <v>833.83441303621294</v>
      </c>
      <c r="D284" s="37">
        <f t="shared" si="27"/>
        <v>0</v>
      </c>
      <c r="E284" s="37">
        <f t="shared" si="28"/>
        <v>-3539913.2368598278</v>
      </c>
      <c r="F284" s="21">
        <f t="shared" si="29"/>
        <v>1</v>
      </c>
      <c r="G284" s="36">
        <v>73</v>
      </c>
      <c r="H284" s="21">
        <f t="shared" si="26"/>
        <v>235</v>
      </c>
      <c r="I284" s="21">
        <f t="shared" si="30"/>
        <v>1</v>
      </c>
      <c r="J284" s="21">
        <f t="shared" si="31"/>
        <v>55</v>
      </c>
      <c r="K284" s="37">
        <f t="shared" si="32"/>
        <v>0</v>
      </c>
      <c r="L284" s="37">
        <f t="shared" si="33"/>
        <v>3830963.5604353892</v>
      </c>
      <c r="M284" s="37">
        <f t="shared" si="34"/>
        <v>-79584444.254834697</v>
      </c>
      <c r="N284" s="37" t="str">
        <f t="shared" si="35"/>
        <v/>
      </c>
      <c r="O284" s="17"/>
    </row>
    <row r="285" spans="1:15" x14ac:dyDescent="0.25">
      <c r="A285" s="4" t="s">
        <v>1333</v>
      </c>
      <c r="B285" s="37">
        <f t="shared" si="24"/>
        <v>0</v>
      </c>
      <c r="C285" s="37">
        <f t="shared" si="25"/>
        <v>0</v>
      </c>
      <c r="D285" s="37">
        <f t="shared" si="27"/>
        <v>0</v>
      </c>
      <c r="E285" s="37">
        <f t="shared" si="28"/>
        <v>0</v>
      </c>
      <c r="F285" s="21">
        <f t="shared" si="29"/>
        <v>60</v>
      </c>
      <c r="G285" s="36">
        <v>74</v>
      </c>
      <c r="H285" s="21">
        <f t="shared" si="26"/>
        <v>9794</v>
      </c>
      <c r="I285" s="21">
        <f t="shared" si="30"/>
        <v>86</v>
      </c>
      <c r="J285" s="21">
        <f t="shared" si="31"/>
        <v>56</v>
      </c>
      <c r="K285" s="37">
        <f t="shared" si="32"/>
        <v>0</v>
      </c>
      <c r="L285" s="37">
        <f t="shared" si="33"/>
        <v>3830963.5604353892</v>
      </c>
      <c r="M285" s="37">
        <f t="shared" si="34"/>
        <v>-79584444.254834697</v>
      </c>
      <c r="N285" s="37" t="str">
        <f t="shared" si="35"/>
        <v/>
      </c>
      <c r="O285" s="17"/>
    </row>
    <row r="286" spans="1:15" x14ac:dyDescent="0.25">
      <c r="A286" s="4" t="s">
        <v>1334</v>
      </c>
      <c r="B286" s="37">
        <f t="shared" si="24"/>
        <v>0</v>
      </c>
      <c r="C286" s="37">
        <f t="shared" si="25"/>
        <v>0</v>
      </c>
      <c r="D286" s="37">
        <f t="shared" si="27"/>
        <v>0</v>
      </c>
      <c r="E286" s="37">
        <f t="shared" si="28"/>
        <v>0</v>
      </c>
      <c r="F286" s="21">
        <f t="shared" si="29"/>
        <v>60</v>
      </c>
      <c r="G286" s="36">
        <v>75</v>
      </c>
      <c r="H286" s="21">
        <f t="shared" si="26"/>
        <v>9795</v>
      </c>
      <c r="I286" s="21">
        <f t="shared" si="30"/>
        <v>87</v>
      </c>
      <c r="J286" s="21">
        <f t="shared" si="31"/>
        <v>57</v>
      </c>
      <c r="K286" s="37">
        <f t="shared" si="32"/>
        <v>0</v>
      </c>
      <c r="L286" s="37">
        <f t="shared" si="33"/>
        <v>3830963.5604353892</v>
      </c>
      <c r="M286" s="37">
        <f t="shared" si="34"/>
        <v>-79584444.254834697</v>
      </c>
      <c r="N286" s="37" t="str">
        <f t="shared" si="35"/>
        <v/>
      </c>
      <c r="O286" s="17"/>
    </row>
    <row r="287" spans="1:15" x14ac:dyDescent="0.25">
      <c r="A287" s="4" t="s">
        <v>1335</v>
      </c>
      <c r="B287" s="37">
        <f t="shared" si="24"/>
        <v>0</v>
      </c>
      <c r="C287" s="37">
        <f t="shared" si="25"/>
        <v>0</v>
      </c>
      <c r="D287" s="37">
        <f t="shared" si="27"/>
        <v>0</v>
      </c>
      <c r="E287" s="37">
        <f t="shared" si="28"/>
        <v>0</v>
      </c>
      <c r="F287" s="21">
        <f t="shared" si="29"/>
        <v>60</v>
      </c>
      <c r="G287" s="36">
        <v>76</v>
      </c>
      <c r="H287" s="21">
        <f t="shared" si="26"/>
        <v>9796</v>
      </c>
      <c r="I287" s="21">
        <f t="shared" si="30"/>
        <v>88</v>
      </c>
      <c r="J287" s="21">
        <f t="shared" si="31"/>
        <v>58</v>
      </c>
      <c r="K287" s="37">
        <f t="shared" si="32"/>
        <v>0</v>
      </c>
      <c r="L287" s="37">
        <f t="shared" si="33"/>
        <v>3830963.5604353892</v>
      </c>
      <c r="M287" s="37">
        <f t="shared" si="34"/>
        <v>-79584444.254834697</v>
      </c>
      <c r="N287" s="37" t="str">
        <f t="shared" si="35"/>
        <v/>
      </c>
      <c r="O287" s="17"/>
    </row>
    <row r="288" spans="1:15" x14ac:dyDescent="0.25">
      <c r="A288" s="4" t="s">
        <v>1336</v>
      </c>
      <c r="B288" s="37">
        <f t="shared" si="24"/>
        <v>-324.66990879987128</v>
      </c>
      <c r="C288" s="37">
        <f t="shared" si="25"/>
        <v>0</v>
      </c>
      <c r="D288" s="37">
        <f t="shared" si="27"/>
        <v>0</v>
      </c>
      <c r="E288" s="37">
        <f t="shared" si="28"/>
        <v>0</v>
      </c>
      <c r="F288" s="21">
        <f t="shared" si="29"/>
        <v>4</v>
      </c>
      <c r="G288" s="36">
        <v>77</v>
      </c>
      <c r="H288" s="21">
        <f t="shared" si="26"/>
        <v>725</v>
      </c>
      <c r="I288" s="21">
        <f t="shared" si="30"/>
        <v>5</v>
      </c>
      <c r="J288" s="21">
        <f t="shared" si="31"/>
        <v>59</v>
      </c>
      <c r="K288" s="37">
        <f t="shared" si="32"/>
        <v>0</v>
      </c>
      <c r="L288" s="37">
        <f t="shared" si="33"/>
        <v>3830963.5604353892</v>
      </c>
      <c r="M288" s="37">
        <f t="shared" si="34"/>
        <v>-79584444.254834697</v>
      </c>
      <c r="N288" s="37" t="str">
        <f t="shared" si="35"/>
        <v/>
      </c>
      <c r="O288" s="17"/>
    </row>
    <row r="289" spans="1:15" x14ac:dyDescent="0.25">
      <c r="A289" s="4" t="s">
        <v>1337</v>
      </c>
      <c r="B289" s="37">
        <f t="shared" si="24"/>
        <v>0</v>
      </c>
      <c r="C289" s="37">
        <f t="shared" si="25"/>
        <v>0</v>
      </c>
      <c r="D289" s="37">
        <f t="shared" si="27"/>
        <v>0</v>
      </c>
      <c r="E289" s="37">
        <f t="shared" si="28"/>
        <v>0</v>
      </c>
      <c r="F289" s="21">
        <f t="shared" si="29"/>
        <v>60</v>
      </c>
      <c r="G289" s="36">
        <v>78</v>
      </c>
      <c r="H289" s="21">
        <f t="shared" si="26"/>
        <v>9798</v>
      </c>
      <c r="I289" s="21">
        <f t="shared" si="30"/>
        <v>89</v>
      </c>
      <c r="J289" s="21">
        <f t="shared" si="31"/>
        <v>60</v>
      </c>
      <c r="K289" s="37">
        <f t="shared" si="32"/>
        <v>0</v>
      </c>
      <c r="L289" s="37">
        <f t="shared" si="33"/>
        <v>3830963.5604353892</v>
      </c>
      <c r="M289" s="37">
        <f t="shared" si="34"/>
        <v>-79584444.254834697</v>
      </c>
      <c r="N289" s="37" t="str">
        <f t="shared" si="35"/>
        <v/>
      </c>
      <c r="O289" s="17"/>
    </row>
    <row r="290" spans="1:15" x14ac:dyDescent="0.25">
      <c r="A290" s="4" t="s">
        <v>1338</v>
      </c>
      <c r="B290" s="37">
        <f t="shared" si="24"/>
        <v>-264.91913066675369</v>
      </c>
      <c r="C290" s="37">
        <f t="shared" si="25"/>
        <v>0</v>
      </c>
      <c r="D290" s="37">
        <f t="shared" si="27"/>
        <v>0</v>
      </c>
      <c r="E290" s="37">
        <f t="shared" si="28"/>
        <v>0</v>
      </c>
      <c r="F290" s="21">
        <f t="shared" si="29"/>
        <v>10</v>
      </c>
      <c r="G290" s="36">
        <v>79</v>
      </c>
      <c r="H290" s="21">
        <f t="shared" si="26"/>
        <v>1699</v>
      </c>
      <c r="I290" s="21">
        <f t="shared" si="30"/>
        <v>11</v>
      </c>
      <c r="J290" s="21">
        <f t="shared" si="31"/>
        <v>61</v>
      </c>
      <c r="K290" s="37">
        <f t="shared" si="32"/>
        <v>0</v>
      </c>
      <c r="L290" s="37">
        <f t="shared" si="33"/>
        <v>3830963.5604353892</v>
      </c>
      <c r="M290" s="37">
        <f t="shared" si="34"/>
        <v>-79584444.254834697</v>
      </c>
      <c r="N290" s="37" t="str">
        <f t="shared" si="35"/>
        <v/>
      </c>
      <c r="O290" s="17"/>
    </row>
    <row r="291" spans="1:15" x14ac:dyDescent="0.25">
      <c r="A291" s="4" t="s">
        <v>1339</v>
      </c>
      <c r="B291" s="37">
        <f t="shared" si="24"/>
        <v>0</v>
      </c>
      <c r="C291" s="37">
        <f t="shared" si="25"/>
        <v>0</v>
      </c>
      <c r="D291" s="37">
        <f t="shared" si="27"/>
        <v>0</v>
      </c>
      <c r="E291" s="37">
        <f t="shared" si="28"/>
        <v>0</v>
      </c>
      <c r="F291" s="21">
        <f t="shared" si="29"/>
        <v>60</v>
      </c>
      <c r="G291" s="36">
        <v>80</v>
      </c>
      <c r="H291" s="21">
        <f t="shared" si="26"/>
        <v>9800</v>
      </c>
      <c r="I291" s="21">
        <f t="shared" si="30"/>
        <v>90</v>
      </c>
      <c r="J291" s="21">
        <f t="shared" si="31"/>
        <v>62</v>
      </c>
      <c r="K291" s="37">
        <f t="shared" si="32"/>
        <v>0</v>
      </c>
      <c r="L291" s="37">
        <f t="shared" si="33"/>
        <v>3830963.5604353892</v>
      </c>
      <c r="M291" s="37">
        <f t="shared" si="34"/>
        <v>-79584444.254834697</v>
      </c>
      <c r="N291" s="37" t="str">
        <f t="shared" si="35"/>
        <v/>
      </c>
      <c r="O291" s="17"/>
    </row>
    <row r="292" spans="1:15" x14ac:dyDescent="0.25">
      <c r="A292" s="4" t="s">
        <v>1340</v>
      </c>
      <c r="B292" s="37">
        <f t="shared" si="24"/>
        <v>-179.69954277955443</v>
      </c>
      <c r="C292" s="37">
        <f t="shared" si="25"/>
        <v>0</v>
      </c>
      <c r="D292" s="37">
        <f t="shared" si="27"/>
        <v>0</v>
      </c>
      <c r="E292" s="37">
        <f t="shared" si="28"/>
        <v>0</v>
      </c>
      <c r="F292" s="21">
        <f t="shared" si="29"/>
        <v>19</v>
      </c>
      <c r="G292" s="36">
        <v>81</v>
      </c>
      <c r="H292" s="21">
        <f t="shared" si="26"/>
        <v>3159</v>
      </c>
      <c r="I292" s="21">
        <f t="shared" si="30"/>
        <v>19</v>
      </c>
      <c r="J292" s="21">
        <f t="shared" si="31"/>
        <v>63</v>
      </c>
      <c r="K292" s="37">
        <f t="shared" si="32"/>
        <v>0</v>
      </c>
      <c r="L292" s="37">
        <f t="shared" si="33"/>
        <v>3830963.5604353892</v>
      </c>
      <c r="M292" s="37">
        <f t="shared" si="34"/>
        <v>-79584444.254834697</v>
      </c>
      <c r="N292" s="37" t="str">
        <f t="shared" si="35"/>
        <v/>
      </c>
      <c r="O292" s="17"/>
    </row>
    <row r="293" spans="1:15" x14ac:dyDescent="0.25">
      <c r="A293" s="4" t="s">
        <v>1341</v>
      </c>
      <c r="B293" s="37">
        <f t="shared" ref="B293:B319" si="36">E128</f>
        <v>0</v>
      </c>
      <c r="C293" s="37">
        <f t="shared" ref="C293:C319" si="37">E82</f>
        <v>0</v>
      </c>
      <c r="D293" s="37">
        <f t="shared" si="27"/>
        <v>0</v>
      </c>
      <c r="E293" s="37">
        <f t="shared" si="28"/>
        <v>0</v>
      </c>
      <c r="F293" s="21">
        <f t="shared" si="29"/>
        <v>60</v>
      </c>
      <c r="G293" s="36">
        <v>82</v>
      </c>
      <c r="H293" s="21">
        <f t="shared" si="26"/>
        <v>9802</v>
      </c>
      <c r="I293" s="21">
        <f t="shared" si="30"/>
        <v>91</v>
      </c>
      <c r="J293" s="21">
        <f t="shared" si="31"/>
        <v>69</v>
      </c>
      <c r="K293" s="37">
        <f t="shared" si="32"/>
        <v>0</v>
      </c>
      <c r="L293" s="37">
        <f t="shared" si="33"/>
        <v>3830963.5604353892</v>
      </c>
      <c r="M293" s="37">
        <f t="shared" si="34"/>
        <v>-79584444.254834697</v>
      </c>
      <c r="N293" s="37" t="str">
        <f t="shared" si="35"/>
        <v/>
      </c>
      <c r="O293" s="17"/>
    </row>
    <row r="294" spans="1:15" x14ac:dyDescent="0.25">
      <c r="A294" s="4" t="s">
        <v>1342</v>
      </c>
      <c r="B294" s="37">
        <f t="shared" si="36"/>
        <v>0</v>
      </c>
      <c r="C294" s="37">
        <f t="shared" si="37"/>
        <v>0</v>
      </c>
      <c r="D294" s="37">
        <f t="shared" si="27"/>
        <v>0</v>
      </c>
      <c r="E294" s="37">
        <f t="shared" si="28"/>
        <v>0</v>
      </c>
      <c r="F294" s="21">
        <f t="shared" si="29"/>
        <v>60</v>
      </c>
      <c r="G294" s="36">
        <v>83</v>
      </c>
      <c r="H294" s="21">
        <f t="shared" si="26"/>
        <v>9803</v>
      </c>
      <c r="I294" s="21">
        <f t="shared" si="30"/>
        <v>92</v>
      </c>
      <c r="J294" s="21">
        <f t="shared" si="31"/>
        <v>70</v>
      </c>
      <c r="K294" s="37">
        <f t="shared" si="32"/>
        <v>0</v>
      </c>
      <c r="L294" s="37">
        <f t="shared" si="33"/>
        <v>3830963.5604353892</v>
      </c>
      <c r="M294" s="37">
        <f t="shared" si="34"/>
        <v>-79584444.254834697</v>
      </c>
      <c r="N294" s="37" t="str">
        <f t="shared" si="35"/>
        <v/>
      </c>
      <c r="O294" s="17"/>
    </row>
    <row r="295" spans="1:15" x14ac:dyDescent="0.25">
      <c r="A295" s="4" t="s">
        <v>1343</v>
      </c>
      <c r="B295" s="37">
        <f t="shared" si="36"/>
        <v>0</v>
      </c>
      <c r="C295" s="37">
        <f t="shared" si="37"/>
        <v>0</v>
      </c>
      <c r="D295" s="37">
        <f t="shared" si="27"/>
        <v>0</v>
      </c>
      <c r="E295" s="37">
        <f t="shared" si="28"/>
        <v>0</v>
      </c>
      <c r="F295" s="21">
        <f t="shared" si="29"/>
        <v>60</v>
      </c>
      <c r="G295" s="36">
        <v>84</v>
      </c>
      <c r="H295" s="21">
        <f t="shared" si="26"/>
        <v>9804</v>
      </c>
      <c r="I295" s="21">
        <f t="shared" si="30"/>
        <v>93</v>
      </c>
      <c r="J295" s="21">
        <f t="shared" si="31"/>
        <v>71</v>
      </c>
      <c r="K295" s="37">
        <f t="shared" si="32"/>
        <v>0</v>
      </c>
      <c r="L295" s="37">
        <f t="shared" si="33"/>
        <v>3830963.5604353892</v>
      </c>
      <c r="M295" s="37">
        <f t="shared" si="34"/>
        <v>-79584444.254834697</v>
      </c>
      <c r="N295" s="37" t="str">
        <f t="shared" si="35"/>
        <v/>
      </c>
      <c r="O295" s="17"/>
    </row>
    <row r="296" spans="1:15" x14ac:dyDescent="0.25">
      <c r="A296" s="4" t="s">
        <v>1344</v>
      </c>
      <c r="B296" s="37">
        <f t="shared" si="36"/>
        <v>0</v>
      </c>
      <c r="C296" s="37">
        <f t="shared" si="37"/>
        <v>0</v>
      </c>
      <c r="D296" s="37">
        <f t="shared" si="27"/>
        <v>0</v>
      </c>
      <c r="E296" s="37">
        <f t="shared" si="28"/>
        <v>0</v>
      </c>
      <c r="F296" s="21">
        <f t="shared" si="29"/>
        <v>60</v>
      </c>
      <c r="G296" s="36">
        <v>85</v>
      </c>
      <c r="H296" s="21">
        <f t="shared" si="26"/>
        <v>9805</v>
      </c>
      <c r="I296" s="21">
        <f t="shared" si="30"/>
        <v>94</v>
      </c>
      <c r="J296" s="21">
        <f t="shared" si="31"/>
        <v>72</v>
      </c>
      <c r="K296" s="37">
        <f t="shared" si="32"/>
        <v>0</v>
      </c>
      <c r="L296" s="37">
        <f t="shared" si="33"/>
        <v>3830963.5604353892</v>
      </c>
      <c r="M296" s="37">
        <f t="shared" si="34"/>
        <v>-79584444.254834697</v>
      </c>
      <c r="N296" s="37" t="str">
        <f t="shared" si="35"/>
        <v/>
      </c>
      <c r="O296" s="17"/>
    </row>
    <row r="297" spans="1:15" x14ac:dyDescent="0.25">
      <c r="A297" s="4" t="s">
        <v>1345</v>
      </c>
      <c r="B297" s="37">
        <f t="shared" si="36"/>
        <v>0</v>
      </c>
      <c r="C297" s="37">
        <f t="shared" si="37"/>
        <v>0</v>
      </c>
      <c r="D297" s="37">
        <f t="shared" si="27"/>
        <v>0</v>
      </c>
      <c r="E297" s="37">
        <f t="shared" si="28"/>
        <v>0</v>
      </c>
      <c r="F297" s="21">
        <f t="shared" si="29"/>
        <v>60</v>
      </c>
      <c r="G297" s="36">
        <v>86</v>
      </c>
      <c r="H297" s="21">
        <f t="shared" si="26"/>
        <v>9806</v>
      </c>
      <c r="I297" s="21">
        <f t="shared" si="30"/>
        <v>95</v>
      </c>
      <c r="J297" s="21">
        <f t="shared" si="31"/>
        <v>74</v>
      </c>
      <c r="K297" s="37">
        <f t="shared" si="32"/>
        <v>0</v>
      </c>
      <c r="L297" s="37">
        <f t="shared" si="33"/>
        <v>3830963.5604353892</v>
      </c>
      <c r="M297" s="37">
        <f t="shared" si="34"/>
        <v>-79584444.254834697</v>
      </c>
      <c r="N297" s="37" t="str">
        <f t="shared" si="35"/>
        <v/>
      </c>
      <c r="O297" s="17"/>
    </row>
    <row r="298" spans="1:15" x14ac:dyDescent="0.25">
      <c r="A298" s="4" t="s">
        <v>1346</v>
      </c>
      <c r="B298" s="37">
        <f t="shared" si="36"/>
        <v>0</v>
      </c>
      <c r="C298" s="37">
        <f t="shared" si="37"/>
        <v>0</v>
      </c>
      <c r="D298" s="37">
        <f t="shared" si="27"/>
        <v>0</v>
      </c>
      <c r="E298" s="37">
        <f t="shared" si="28"/>
        <v>0</v>
      </c>
      <c r="F298" s="21">
        <f t="shared" si="29"/>
        <v>60</v>
      </c>
      <c r="G298" s="36">
        <v>87</v>
      </c>
      <c r="H298" s="21">
        <f t="shared" si="26"/>
        <v>9807</v>
      </c>
      <c r="I298" s="21">
        <f t="shared" si="30"/>
        <v>96</v>
      </c>
      <c r="J298" s="21">
        <f t="shared" si="31"/>
        <v>75</v>
      </c>
      <c r="K298" s="37">
        <f t="shared" si="32"/>
        <v>0</v>
      </c>
      <c r="L298" s="37">
        <f t="shared" si="33"/>
        <v>3830963.5604353892</v>
      </c>
      <c r="M298" s="37">
        <f t="shared" si="34"/>
        <v>-79584444.254834697</v>
      </c>
      <c r="N298" s="37" t="str">
        <f t="shared" si="35"/>
        <v/>
      </c>
      <c r="O298" s="17"/>
    </row>
    <row r="299" spans="1:15" x14ac:dyDescent="0.25">
      <c r="A299" s="4" t="s">
        <v>1347</v>
      </c>
      <c r="B299" s="37">
        <f t="shared" si="36"/>
        <v>0</v>
      </c>
      <c r="C299" s="37">
        <f t="shared" si="37"/>
        <v>0</v>
      </c>
      <c r="D299" s="37">
        <f t="shared" si="27"/>
        <v>0</v>
      </c>
      <c r="E299" s="37">
        <f t="shared" si="28"/>
        <v>0</v>
      </c>
      <c r="F299" s="21">
        <f t="shared" si="29"/>
        <v>60</v>
      </c>
      <c r="G299" s="36">
        <v>88</v>
      </c>
      <c r="H299" s="21">
        <f t="shared" si="26"/>
        <v>9808</v>
      </c>
      <c r="I299" s="21">
        <f t="shared" si="30"/>
        <v>97</v>
      </c>
      <c r="J299" s="21">
        <f t="shared" si="31"/>
        <v>76</v>
      </c>
      <c r="K299" s="37">
        <f t="shared" si="32"/>
        <v>0</v>
      </c>
      <c r="L299" s="37">
        <f t="shared" si="33"/>
        <v>3830963.5604353892</v>
      </c>
      <c r="M299" s="37">
        <f t="shared" si="34"/>
        <v>-79584444.254834697</v>
      </c>
      <c r="N299" s="37" t="str">
        <f t="shared" si="35"/>
        <v/>
      </c>
      <c r="O299" s="17"/>
    </row>
    <row r="300" spans="1:15" x14ac:dyDescent="0.25">
      <c r="A300" s="4" t="s">
        <v>1348</v>
      </c>
      <c r="B300" s="37">
        <f t="shared" si="36"/>
        <v>0</v>
      </c>
      <c r="C300" s="37">
        <f t="shared" si="37"/>
        <v>0</v>
      </c>
      <c r="D300" s="37">
        <f t="shared" si="27"/>
        <v>0</v>
      </c>
      <c r="E300" s="37">
        <f t="shared" si="28"/>
        <v>0</v>
      </c>
      <c r="F300" s="21">
        <f t="shared" si="29"/>
        <v>60</v>
      </c>
      <c r="G300" s="36">
        <v>89</v>
      </c>
      <c r="H300" s="21">
        <f t="shared" si="26"/>
        <v>9809</v>
      </c>
      <c r="I300" s="21">
        <f t="shared" si="30"/>
        <v>98</v>
      </c>
      <c r="J300" s="21">
        <f t="shared" si="31"/>
        <v>78</v>
      </c>
      <c r="K300" s="37">
        <f t="shared" si="32"/>
        <v>0</v>
      </c>
      <c r="L300" s="37">
        <f t="shared" si="33"/>
        <v>3830963.5604353892</v>
      </c>
      <c r="M300" s="37">
        <f t="shared" si="34"/>
        <v>-79584444.254834697</v>
      </c>
      <c r="N300" s="37" t="str">
        <f t="shared" si="35"/>
        <v/>
      </c>
      <c r="O300" s="17"/>
    </row>
    <row r="301" spans="1:15" x14ac:dyDescent="0.25">
      <c r="A301" s="4" t="s">
        <v>1349</v>
      </c>
      <c r="B301" s="37">
        <f t="shared" si="36"/>
        <v>0</v>
      </c>
      <c r="C301" s="37">
        <f t="shared" si="37"/>
        <v>0</v>
      </c>
      <c r="D301" s="37">
        <f t="shared" si="27"/>
        <v>0</v>
      </c>
      <c r="E301" s="37">
        <f t="shared" si="28"/>
        <v>0</v>
      </c>
      <c r="F301" s="21">
        <f t="shared" si="29"/>
        <v>60</v>
      </c>
      <c r="G301" s="36">
        <v>90</v>
      </c>
      <c r="H301" s="21">
        <f t="shared" si="26"/>
        <v>9810</v>
      </c>
      <c r="I301" s="21">
        <f t="shared" si="30"/>
        <v>99</v>
      </c>
      <c r="J301" s="21">
        <f t="shared" si="31"/>
        <v>80</v>
      </c>
      <c r="K301" s="37">
        <f t="shared" si="32"/>
        <v>0</v>
      </c>
      <c r="L301" s="37">
        <f t="shared" si="33"/>
        <v>3830963.5604353892</v>
      </c>
      <c r="M301" s="37">
        <f t="shared" si="34"/>
        <v>-79584444.254834697</v>
      </c>
      <c r="N301" s="37" t="str">
        <f t="shared" si="35"/>
        <v/>
      </c>
      <c r="O301" s="17"/>
    </row>
    <row r="302" spans="1:15" x14ac:dyDescent="0.25">
      <c r="A302" s="4" t="s">
        <v>1350</v>
      </c>
      <c r="B302" s="37">
        <f t="shared" si="36"/>
        <v>0</v>
      </c>
      <c r="C302" s="37">
        <f t="shared" si="37"/>
        <v>0</v>
      </c>
      <c r="D302" s="37">
        <f t="shared" si="27"/>
        <v>0</v>
      </c>
      <c r="E302" s="37">
        <f t="shared" si="28"/>
        <v>0</v>
      </c>
      <c r="F302" s="21">
        <f t="shared" si="29"/>
        <v>60</v>
      </c>
      <c r="G302" s="36">
        <v>91</v>
      </c>
      <c r="H302" s="21">
        <f t="shared" si="26"/>
        <v>9811</v>
      </c>
      <c r="I302" s="21">
        <f t="shared" si="30"/>
        <v>100</v>
      </c>
      <c r="J302" s="21">
        <f t="shared" si="31"/>
        <v>82</v>
      </c>
      <c r="K302" s="37">
        <f t="shared" si="32"/>
        <v>0</v>
      </c>
      <c r="L302" s="37">
        <f t="shared" si="33"/>
        <v>3830963.5604353892</v>
      </c>
      <c r="M302" s="37">
        <f t="shared" si="34"/>
        <v>-79584444.254834697</v>
      </c>
      <c r="N302" s="37" t="str">
        <f t="shared" si="35"/>
        <v/>
      </c>
      <c r="O302" s="17"/>
    </row>
    <row r="303" spans="1:15" x14ac:dyDescent="0.25">
      <c r="A303" s="4" t="s">
        <v>1351</v>
      </c>
      <c r="B303" s="37">
        <f t="shared" si="36"/>
        <v>0</v>
      </c>
      <c r="C303" s="37">
        <f t="shared" si="37"/>
        <v>0</v>
      </c>
      <c r="D303" s="37">
        <f t="shared" si="27"/>
        <v>0</v>
      </c>
      <c r="E303" s="37">
        <f t="shared" si="28"/>
        <v>0</v>
      </c>
      <c r="F303" s="21">
        <f t="shared" si="29"/>
        <v>60</v>
      </c>
      <c r="G303" s="36">
        <v>92</v>
      </c>
      <c r="H303" s="21">
        <f t="shared" si="26"/>
        <v>9812</v>
      </c>
      <c r="I303" s="21">
        <f t="shared" si="30"/>
        <v>101</v>
      </c>
      <c r="J303" s="21">
        <f t="shared" si="31"/>
        <v>83</v>
      </c>
      <c r="K303" s="37">
        <f t="shared" si="32"/>
        <v>0</v>
      </c>
      <c r="L303" s="37">
        <f t="shared" si="33"/>
        <v>3830963.5604353892</v>
      </c>
      <c r="M303" s="37">
        <f t="shared" si="34"/>
        <v>-79584444.254834697</v>
      </c>
      <c r="N303" s="37" t="str">
        <f t="shared" si="35"/>
        <v/>
      </c>
      <c r="O303" s="17"/>
    </row>
    <row r="304" spans="1:15" x14ac:dyDescent="0.25">
      <c r="A304" s="4" t="s">
        <v>1352</v>
      </c>
      <c r="B304" s="37">
        <f t="shared" si="36"/>
        <v>0</v>
      </c>
      <c r="C304" s="37">
        <f t="shared" si="37"/>
        <v>0</v>
      </c>
      <c r="D304" s="37">
        <f t="shared" si="27"/>
        <v>0</v>
      </c>
      <c r="E304" s="37">
        <f t="shared" si="28"/>
        <v>0</v>
      </c>
      <c r="F304" s="21">
        <f t="shared" si="29"/>
        <v>60</v>
      </c>
      <c r="G304" s="36">
        <v>93</v>
      </c>
      <c r="H304" s="21">
        <f t="shared" si="26"/>
        <v>9813</v>
      </c>
      <c r="I304" s="21">
        <f t="shared" si="30"/>
        <v>102</v>
      </c>
      <c r="J304" s="21">
        <f t="shared" si="31"/>
        <v>84</v>
      </c>
      <c r="K304" s="37">
        <f t="shared" si="32"/>
        <v>0</v>
      </c>
      <c r="L304" s="37">
        <f t="shared" si="33"/>
        <v>3830963.5604353892</v>
      </c>
      <c r="M304" s="37">
        <f t="shared" si="34"/>
        <v>-79584444.254834697</v>
      </c>
      <c r="N304" s="37" t="str">
        <f t="shared" si="35"/>
        <v/>
      </c>
      <c r="O304" s="17"/>
    </row>
    <row r="305" spans="1:15" x14ac:dyDescent="0.25">
      <c r="A305" s="4" t="s">
        <v>1353</v>
      </c>
      <c r="B305" s="37">
        <f t="shared" si="36"/>
        <v>0</v>
      </c>
      <c r="C305" s="37">
        <f t="shared" si="37"/>
        <v>0</v>
      </c>
      <c r="D305" s="37">
        <f t="shared" si="27"/>
        <v>0</v>
      </c>
      <c r="E305" s="37">
        <f t="shared" si="28"/>
        <v>0</v>
      </c>
      <c r="F305" s="21">
        <f t="shared" si="29"/>
        <v>60</v>
      </c>
      <c r="G305" s="36">
        <v>94</v>
      </c>
      <c r="H305" s="21">
        <f t="shared" si="26"/>
        <v>9814</v>
      </c>
      <c r="I305" s="21">
        <f t="shared" si="30"/>
        <v>103</v>
      </c>
      <c r="J305" s="21">
        <f t="shared" si="31"/>
        <v>85</v>
      </c>
      <c r="K305" s="37">
        <f t="shared" si="32"/>
        <v>0</v>
      </c>
      <c r="L305" s="37">
        <f t="shared" si="33"/>
        <v>3830963.5604353892</v>
      </c>
      <c r="M305" s="37">
        <f t="shared" si="34"/>
        <v>-79584444.254834697</v>
      </c>
      <c r="N305" s="37" t="str">
        <f t="shared" si="35"/>
        <v/>
      </c>
      <c r="O305" s="17"/>
    </row>
    <row r="306" spans="1:15" x14ac:dyDescent="0.25">
      <c r="A306" s="4" t="s">
        <v>1354</v>
      </c>
      <c r="B306" s="37">
        <f t="shared" si="36"/>
        <v>0</v>
      </c>
      <c r="C306" s="37">
        <f t="shared" si="37"/>
        <v>0</v>
      </c>
      <c r="D306" s="37">
        <f t="shared" si="27"/>
        <v>0</v>
      </c>
      <c r="E306" s="37">
        <f t="shared" si="28"/>
        <v>0</v>
      </c>
      <c r="F306" s="21">
        <f t="shared" si="29"/>
        <v>60</v>
      </c>
      <c r="G306" s="36">
        <v>95</v>
      </c>
      <c r="H306" s="21">
        <f t="shared" si="26"/>
        <v>9815</v>
      </c>
      <c r="I306" s="21">
        <f t="shared" si="30"/>
        <v>104</v>
      </c>
      <c r="J306" s="21">
        <f t="shared" si="31"/>
        <v>86</v>
      </c>
      <c r="K306" s="37">
        <f t="shared" si="32"/>
        <v>0</v>
      </c>
      <c r="L306" s="37">
        <f t="shared" si="33"/>
        <v>3830963.5604353892</v>
      </c>
      <c r="M306" s="37">
        <f t="shared" si="34"/>
        <v>-79584444.254834697</v>
      </c>
      <c r="N306" s="37" t="str">
        <f t="shared" si="35"/>
        <v/>
      </c>
      <c r="O306" s="17"/>
    </row>
    <row r="307" spans="1:15" x14ac:dyDescent="0.25">
      <c r="A307" s="4" t="s">
        <v>1355</v>
      </c>
      <c r="B307" s="37">
        <f t="shared" si="36"/>
        <v>0</v>
      </c>
      <c r="C307" s="37">
        <f t="shared" si="37"/>
        <v>0</v>
      </c>
      <c r="D307" s="37">
        <f t="shared" si="27"/>
        <v>0</v>
      </c>
      <c r="E307" s="37">
        <f t="shared" si="28"/>
        <v>0</v>
      </c>
      <c r="F307" s="21">
        <f t="shared" si="29"/>
        <v>60</v>
      </c>
      <c r="G307" s="36">
        <v>96</v>
      </c>
      <c r="H307" s="21">
        <f t="shared" ref="H307:H338" si="38">F307*162+G307</f>
        <v>9816</v>
      </c>
      <c r="I307" s="21">
        <f t="shared" si="30"/>
        <v>105</v>
      </c>
      <c r="J307" s="21">
        <f t="shared" si="31"/>
        <v>87</v>
      </c>
      <c r="K307" s="37">
        <f t="shared" si="32"/>
        <v>0</v>
      </c>
      <c r="L307" s="37">
        <f t="shared" si="33"/>
        <v>3830963.5604353892</v>
      </c>
      <c r="M307" s="37">
        <f t="shared" si="34"/>
        <v>-79584444.254834697</v>
      </c>
      <c r="N307" s="37" t="str">
        <f t="shared" si="35"/>
        <v/>
      </c>
      <c r="O307" s="17"/>
    </row>
    <row r="308" spans="1:15" x14ac:dyDescent="0.25">
      <c r="A308" s="4" t="s">
        <v>1356</v>
      </c>
      <c r="B308" s="37">
        <f t="shared" si="36"/>
        <v>0</v>
      </c>
      <c r="C308" s="37">
        <f t="shared" si="37"/>
        <v>0</v>
      </c>
      <c r="D308" s="37">
        <f t="shared" ref="D308:D339" si="39">IF(ISERROR(B308),C308,0)</f>
        <v>0</v>
      </c>
      <c r="E308" s="37">
        <f t="shared" ref="E308:E339" si="40">MAX($B$182,B308)*C308</f>
        <v>0</v>
      </c>
      <c r="F308" s="21">
        <f t="shared" ref="F308:F339" si="41">RANK(B308,B$212:B$373,1)</f>
        <v>60</v>
      </c>
      <c r="G308" s="36">
        <v>97</v>
      </c>
      <c r="H308" s="21">
        <f t="shared" si="38"/>
        <v>9817</v>
      </c>
      <c r="I308" s="21">
        <f t="shared" ref="I308:I339" si="42">RANK(H308,H$212:H$373,1)</f>
        <v>106</v>
      </c>
      <c r="J308" s="21">
        <f t="shared" ref="J308:J339" si="43">MATCH(G308,I$212:I$373,0)</f>
        <v>88</v>
      </c>
      <c r="K308" s="37">
        <f t="shared" ref="K308:K339" si="44">INDEX(B$212:B$373,J308,1)</f>
        <v>0</v>
      </c>
      <c r="L308" s="37">
        <f t="shared" ref="L308:L339" si="45">L307+INDEX(C$212:C$373,J308,1)</f>
        <v>3830963.5604353892</v>
      </c>
      <c r="M308" s="37">
        <f t="shared" ref="M308:M339" si="46">M307+(K308-K307)*L307</f>
        <v>-79584444.254834697</v>
      </c>
      <c r="N308" s="37" t="str">
        <f t="shared" ref="N308:N339" si="47">IF((M307&gt;0)=(M308&gt;0),"",K308-M308/L307)</f>
        <v/>
      </c>
      <c r="O308" s="17"/>
    </row>
    <row r="309" spans="1:15" x14ac:dyDescent="0.25">
      <c r="A309" s="4" t="s">
        <v>1357</v>
      </c>
      <c r="B309" s="37">
        <f t="shared" si="36"/>
        <v>0</v>
      </c>
      <c r="C309" s="37">
        <f t="shared" si="37"/>
        <v>0</v>
      </c>
      <c r="D309" s="37">
        <f t="shared" si="39"/>
        <v>0</v>
      </c>
      <c r="E309" s="37">
        <f t="shared" si="40"/>
        <v>0</v>
      </c>
      <c r="F309" s="21">
        <f t="shared" si="41"/>
        <v>60</v>
      </c>
      <c r="G309" s="36">
        <v>98</v>
      </c>
      <c r="H309" s="21">
        <f t="shared" si="38"/>
        <v>9818</v>
      </c>
      <c r="I309" s="21">
        <f t="shared" si="42"/>
        <v>107</v>
      </c>
      <c r="J309" s="21">
        <f t="shared" si="43"/>
        <v>89</v>
      </c>
      <c r="K309" s="37">
        <f t="shared" si="44"/>
        <v>0</v>
      </c>
      <c r="L309" s="37">
        <f t="shared" si="45"/>
        <v>3830963.5604353892</v>
      </c>
      <c r="M309" s="37">
        <f t="shared" si="46"/>
        <v>-79584444.254834697</v>
      </c>
      <c r="N309" s="37" t="str">
        <f t="shared" si="47"/>
        <v/>
      </c>
      <c r="O309" s="17"/>
    </row>
    <row r="310" spans="1:15" x14ac:dyDescent="0.25">
      <c r="A310" s="4" t="s">
        <v>1358</v>
      </c>
      <c r="B310" s="37">
        <f t="shared" si="36"/>
        <v>0</v>
      </c>
      <c r="C310" s="37">
        <f t="shared" si="37"/>
        <v>0</v>
      </c>
      <c r="D310" s="37">
        <f t="shared" si="39"/>
        <v>0</v>
      </c>
      <c r="E310" s="37">
        <f t="shared" si="40"/>
        <v>0</v>
      </c>
      <c r="F310" s="21">
        <f t="shared" si="41"/>
        <v>60</v>
      </c>
      <c r="G310" s="36">
        <v>99</v>
      </c>
      <c r="H310" s="21">
        <f t="shared" si="38"/>
        <v>9819</v>
      </c>
      <c r="I310" s="21">
        <f t="shared" si="42"/>
        <v>108</v>
      </c>
      <c r="J310" s="21">
        <f t="shared" si="43"/>
        <v>90</v>
      </c>
      <c r="K310" s="37">
        <f t="shared" si="44"/>
        <v>0</v>
      </c>
      <c r="L310" s="37">
        <f t="shared" si="45"/>
        <v>3830963.5604353892</v>
      </c>
      <c r="M310" s="37">
        <f t="shared" si="46"/>
        <v>-79584444.254834697</v>
      </c>
      <c r="N310" s="37" t="str">
        <f t="shared" si="47"/>
        <v/>
      </c>
      <c r="O310" s="17"/>
    </row>
    <row r="311" spans="1:15" x14ac:dyDescent="0.25">
      <c r="A311" s="4" t="s">
        <v>1359</v>
      </c>
      <c r="B311" s="37">
        <f t="shared" si="36"/>
        <v>0</v>
      </c>
      <c r="C311" s="37">
        <f t="shared" si="37"/>
        <v>0</v>
      </c>
      <c r="D311" s="37">
        <f t="shared" si="39"/>
        <v>0</v>
      </c>
      <c r="E311" s="37">
        <f t="shared" si="40"/>
        <v>0</v>
      </c>
      <c r="F311" s="21">
        <f t="shared" si="41"/>
        <v>60</v>
      </c>
      <c r="G311" s="36">
        <v>100</v>
      </c>
      <c r="H311" s="21">
        <f t="shared" si="38"/>
        <v>9820</v>
      </c>
      <c r="I311" s="21">
        <f t="shared" si="42"/>
        <v>109</v>
      </c>
      <c r="J311" s="21">
        <f t="shared" si="43"/>
        <v>91</v>
      </c>
      <c r="K311" s="37">
        <f t="shared" si="44"/>
        <v>0</v>
      </c>
      <c r="L311" s="37">
        <f t="shared" si="45"/>
        <v>3830963.5604353892</v>
      </c>
      <c r="M311" s="37">
        <f t="shared" si="46"/>
        <v>-79584444.254834697</v>
      </c>
      <c r="N311" s="37" t="str">
        <f t="shared" si="47"/>
        <v/>
      </c>
      <c r="O311" s="17"/>
    </row>
    <row r="312" spans="1:15" x14ac:dyDescent="0.25">
      <c r="A312" s="4" t="s">
        <v>1360</v>
      </c>
      <c r="B312" s="37">
        <f t="shared" si="36"/>
        <v>0</v>
      </c>
      <c r="C312" s="37">
        <f t="shared" si="37"/>
        <v>0</v>
      </c>
      <c r="D312" s="37">
        <f t="shared" si="39"/>
        <v>0</v>
      </c>
      <c r="E312" s="37">
        <f t="shared" si="40"/>
        <v>0</v>
      </c>
      <c r="F312" s="21">
        <f t="shared" si="41"/>
        <v>60</v>
      </c>
      <c r="G312" s="36">
        <v>101</v>
      </c>
      <c r="H312" s="21">
        <f t="shared" si="38"/>
        <v>9821</v>
      </c>
      <c r="I312" s="21">
        <f t="shared" si="42"/>
        <v>110</v>
      </c>
      <c r="J312" s="21">
        <f t="shared" si="43"/>
        <v>92</v>
      </c>
      <c r="K312" s="37">
        <f t="shared" si="44"/>
        <v>0</v>
      </c>
      <c r="L312" s="37">
        <f t="shared" si="45"/>
        <v>3830963.5604353892</v>
      </c>
      <c r="M312" s="37">
        <f t="shared" si="46"/>
        <v>-79584444.254834697</v>
      </c>
      <c r="N312" s="37" t="str">
        <f t="shared" si="47"/>
        <v/>
      </c>
      <c r="O312" s="17"/>
    </row>
    <row r="313" spans="1:15" x14ac:dyDescent="0.25">
      <c r="A313" s="4" t="s">
        <v>1361</v>
      </c>
      <c r="B313" s="37">
        <f t="shared" si="36"/>
        <v>0</v>
      </c>
      <c r="C313" s="37">
        <f t="shared" si="37"/>
        <v>0</v>
      </c>
      <c r="D313" s="37">
        <f t="shared" si="39"/>
        <v>0</v>
      </c>
      <c r="E313" s="37">
        <f t="shared" si="40"/>
        <v>0</v>
      </c>
      <c r="F313" s="21">
        <f t="shared" si="41"/>
        <v>60</v>
      </c>
      <c r="G313" s="36">
        <v>102</v>
      </c>
      <c r="H313" s="21">
        <f t="shared" si="38"/>
        <v>9822</v>
      </c>
      <c r="I313" s="21">
        <f t="shared" si="42"/>
        <v>111</v>
      </c>
      <c r="J313" s="21">
        <f t="shared" si="43"/>
        <v>93</v>
      </c>
      <c r="K313" s="37">
        <f t="shared" si="44"/>
        <v>0</v>
      </c>
      <c r="L313" s="37">
        <f t="shared" si="45"/>
        <v>3830963.5604353892</v>
      </c>
      <c r="M313" s="37">
        <f t="shared" si="46"/>
        <v>-79584444.254834697</v>
      </c>
      <c r="N313" s="37" t="str">
        <f t="shared" si="47"/>
        <v/>
      </c>
      <c r="O313" s="17"/>
    </row>
    <row r="314" spans="1:15" x14ac:dyDescent="0.25">
      <c r="A314" s="4" t="s">
        <v>1362</v>
      </c>
      <c r="B314" s="37">
        <f t="shared" si="36"/>
        <v>0</v>
      </c>
      <c r="C314" s="37">
        <f t="shared" si="37"/>
        <v>0</v>
      </c>
      <c r="D314" s="37">
        <f t="shared" si="39"/>
        <v>0</v>
      </c>
      <c r="E314" s="37">
        <f t="shared" si="40"/>
        <v>0</v>
      </c>
      <c r="F314" s="21">
        <f t="shared" si="41"/>
        <v>60</v>
      </c>
      <c r="G314" s="36">
        <v>103</v>
      </c>
      <c r="H314" s="21">
        <f t="shared" si="38"/>
        <v>9823</v>
      </c>
      <c r="I314" s="21">
        <f t="shared" si="42"/>
        <v>112</v>
      </c>
      <c r="J314" s="21">
        <f t="shared" si="43"/>
        <v>94</v>
      </c>
      <c r="K314" s="37">
        <f t="shared" si="44"/>
        <v>0</v>
      </c>
      <c r="L314" s="37">
        <f t="shared" si="45"/>
        <v>3830963.5604353892</v>
      </c>
      <c r="M314" s="37">
        <f t="shared" si="46"/>
        <v>-79584444.254834697</v>
      </c>
      <c r="N314" s="37" t="str">
        <f t="shared" si="47"/>
        <v/>
      </c>
      <c r="O314" s="17"/>
    </row>
    <row r="315" spans="1:15" x14ac:dyDescent="0.25">
      <c r="A315" s="4" t="s">
        <v>1363</v>
      </c>
      <c r="B315" s="37">
        <f t="shared" si="36"/>
        <v>0</v>
      </c>
      <c r="C315" s="37">
        <f t="shared" si="37"/>
        <v>0</v>
      </c>
      <c r="D315" s="37">
        <f t="shared" si="39"/>
        <v>0</v>
      </c>
      <c r="E315" s="37">
        <f t="shared" si="40"/>
        <v>0</v>
      </c>
      <c r="F315" s="21">
        <f t="shared" si="41"/>
        <v>60</v>
      </c>
      <c r="G315" s="36">
        <v>104</v>
      </c>
      <c r="H315" s="21">
        <f t="shared" si="38"/>
        <v>9824</v>
      </c>
      <c r="I315" s="21">
        <f t="shared" si="42"/>
        <v>113</v>
      </c>
      <c r="J315" s="21">
        <f t="shared" si="43"/>
        <v>95</v>
      </c>
      <c r="K315" s="37">
        <f t="shared" si="44"/>
        <v>0</v>
      </c>
      <c r="L315" s="37">
        <f t="shared" si="45"/>
        <v>3830963.5604353892</v>
      </c>
      <c r="M315" s="37">
        <f t="shared" si="46"/>
        <v>-79584444.254834697</v>
      </c>
      <c r="N315" s="37" t="str">
        <f t="shared" si="47"/>
        <v/>
      </c>
      <c r="O315" s="17"/>
    </row>
    <row r="316" spans="1:15" x14ac:dyDescent="0.25">
      <c r="A316" s="4" t="s">
        <v>1364</v>
      </c>
      <c r="B316" s="37">
        <f t="shared" si="36"/>
        <v>0</v>
      </c>
      <c r="C316" s="37">
        <f t="shared" si="37"/>
        <v>0</v>
      </c>
      <c r="D316" s="37">
        <f t="shared" si="39"/>
        <v>0</v>
      </c>
      <c r="E316" s="37">
        <f t="shared" si="40"/>
        <v>0</v>
      </c>
      <c r="F316" s="21">
        <f t="shared" si="41"/>
        <v>60</v>
      </c>
      <c r="G316" s="36">
        <v>105</v>
      </c>
      <c r="H316" s="21">
        <f t="shared" si="38"/>
        <v>9825</v>
      </c>
      <c r="I316" s="21">
        <f t="shared" si="42"/>
        <v>114</v>
      </c>
      <c r="J316" s="21">
        <f t="shared" si="43"/>
        <v>96</v>
      </c>
      <c r="K316" s="37">
        <f t="shared" si="44"/>
        <v>0</v>
      </c>
      <c r="L316" s="37">
        <f t="shared" si="45"/>
        <v>3830963.5604353892</v>
      </c>
      <c r="M316" s="37">
        <f t="shared" si="46"/>
        <v>-79584444.254834697</v>
      </c>
      <c r="N316" s="37" t="str">
        <f t="shared" si="47"/>
        <v/>
      </c>
      <c r="O316" s="17"/>
    </row>
    <row r="317" spans="1:15" x14ac:dyDescent="0.25">
      <c r="A317" s="4" t="s">
        <v>1365</v>
      </c>
      <c r="B317" s="37">
        <f t="shared" si="36"/>
        <v>0</v>
      </c>
      <c r="C317" s="37">
        <f t="shared" si="37"/>
        <v>0</v>
      </c>
      <c r="D317" s="37">
        <f t="shared" si="39"/>
        <v>0</v>
      </c>
      <c r="E317" s="37">
        <f t="shared" si="40"/>
        <v>0</v>
      </c>
      <c r="F317" s="21">
        <f t="shared" si="41"/>
        <v>60</v>
      </c>
      <c r="G317" s="36">
        <v>106</v>
      </c>
      <c r="H317" s="21">
        <f t="shared" si="38"/>
        <v>9826</v>
      </c>
      <c r="I317" s="21">
        <f t="shared" si="42"/>
        <v>115</v>
      </c>
      <c r="J317" s="21">
        <f t="shared" si="43"/>
        <v>97</v>
      </c>
      <c r="K317" s="37">
        <f t="shared" si="44"/>
        <v>0</v>
      </c>
      <c r="L317" s="37">
        <f t="shared" si="45"/>
        <v>3830963.5604353892</v>
      </c>
      <c r="M317" s="37">
        <f t="shared" si="46"/>
        <v>-79584444.254834697</v>
      </c>
      <c r="N317" s="37" t="str">
        <f t="shared" si="47"/>
        <v/>
      </c>
      <c r="O317" s="17"/>
    </row>
    <row r="318" spans="1:15" x14ac:dyDescent="0.25">
      <c r="A318" s="4" t="s">
        <v>1366</v>
      </c>
      <c r="B318" s="37">
        <f t="shared" si="36"/>
        <v>0</v>
      </c>
      <c r="C318" s="37">
        <f t="shared" si="37"/>
        <v>0</v>
      </c>
      <c r="D318" s="37">
        <f t="shared" si="39"/>
        <v>0</v>
      </c>
      <c r="E318" s="37">
        <f t="shared" si="40"/>
        <v>0</v>
      </c>
      <c r="F318" s="21">
        <f t="shared" si="41"/>
        <v>60</v>
      </c>
      <c r="G318" s="36">
        <v>107</v>
      </c>
      <c r="H318" s="21">
        <f t="shared" si="38"/>
        <v>9827</v>
      </c>
      <c r="I318" s="21">
        <f t="shared" si="42"/>
        <v>116</v>
      </c>
      <c r="J318" s="21">
        <f t="shared" si="43"/>
        <v>98</v>
      </c>
      <c r="K318" s="37">
        <f t="shared" si="44"/>
        <v>0</v>
      </c>
      <c r="L318" s="37">
        <f t="shared" si="45"/>
        <v>3830963.5604353892</v>
      </c>
      <c r="M318" s="37">
        <f t="shared" si="46"/>
        <v>-79584444.254834697</v>
      </c>
      <c r="N318" s="37" t="str">
        <f t="shared" si="47"/>
        <v/>
      </c>
      <c r="O318" s="17"/>
    </row>
    <row r="319" spans="1:15" x14ac:dyDescent="0.25">
      <c r="A319" s="4" t="s">
        <v>1367</v>
      </c>
      <c r="B319" s="37">
        <f t="shared" si="36"/>
        <v>0</v>
      </c>
      <c r="C319" s="37">
        <f t="shared" si="37"/>
        <v>0</v>
      </c>
      <c r="D319" s="37">
        <f t="shared" si="39"/>
        <v>0</v>
      </c>
      <c r="E319" s="37">
        <f t="shared" si="40"/>
        <v>0</v>
      </c>
      <c r="F319" s="21">
        <f t="shared" si="41"/>
        <v>60</v>
      </c>
      <c r="G319" s="36">
        <v>108</v>
      </c>
      <c r="H319" s="21">
        <f t="shared" si="38"/>
        <v>9828</v>
      </c>
      <c r="I319" s="21">
        <f t="shared" si="42"/>
        <v>117</v>
      </c>
      <c r="J319" s="21">
        <f t="shared" si="43"/>
        <v>99</v>
      </c>
      <c r="K319" s="37">
        <f t="shared" si="44"/>
        <v>0</v>
      </c>
      <c r="L319" s="37">
        <f t="shared" si="45"/>
        <v>3830963.5604353892</v>
      </c>
      <c r="M319" s="37">
        <f t="shared" si="46"/>
        <v>-79584444.254834697</v>
      </c>
      <c r="N319" s="37" t="str">
        <f t="shared" si="47"/>
        <v/>
      </c>
      <c r="O319" s="17"/>
    </row>
    <row r="320" spans="1:15" x14ac:dyDescent="0.25">
      <c r="A320" s="4" t="s">
        <v>1368</v>
      </c>
      <c r="B320" s="37">
        <f t="shared" ref="B320:B346" si="48">F128</f>
        <v>0</v>
      </c>
      <c r="C320" s="37">
        <f t="shared" ref="C320:C346" si="49">F82</f>
        <v>0</v>
      </c>
      <c r="D320" s="37">
        <f t="shared" si="39"/>
        <v>0</v>
      </c>
      <c r="E320" s="37">
        <f t="shared" si="40"/>
        <v>0</v>
      </c>
      <c r="F320" s="21">
        <f t="shared" si="41"/>
        <v>60</v>
      </c>
      <c r="G320" s="36">
        <v>109</v>
      </c>
      <c r="H320" s="21">
        <f t="shared" si="38"/>
        <v>9829</v>
      </c>
      <c r="I320" s="21">
        <f t="shared" si="42"/>
        <v>118</v>
      </c>
      <c r="J320" s="21">
        <f t="shared" si="43"/>
        <v>100</v>
      </c>
      <c r="K320" s="37">
        <f t="shared" si="44"/>
        <v>0</v>
      </c>
      <c r="L320" s="37">
        <f t="shared" si="45"/>
        <v>3830963.5604353892</v>
      </c>
      <c r="M320" s="37">
        <f t="shared" si="46"/>
        <v>-79584444.254834697</v>
      </c>
      <c r="N320" s="37" t="str">
        <f t="shared" si="47"/>
        <v/>
      </c>
      <c r="O320" s="17"/>
    </row>
    <row r="321" spans="1:15" x14ac:dyDescent="0.25">
      <c r="A321" s="4" t="s">
        <v>1369</v>
      </c>
      <c r="B321" s="37">
        <f t="shared" si="48"/>
        <v>0</v>
      </c>
      <c r="C321" s="37">
        <f t="shared" si="49"/>
        <v>0</v>
      </c>
      <c r="D321" s="37">
        <f t="shared" si="39"/>
        <v>0</v>
      </c>
      <c r="E321" s="37">
        <f t="shared" si="40"/>
        <v>0</v>
      </c>
      <c r="F321" s="21">
        <f t="shared" si="41"/>
        <v>60</v>
      </c>
      <c r="G321" s="36">
        <v>110</v>
      </c>
      <c r="H321" s="21">
        <f t="shared" si="38"/>
        <v>9830</v>
      </c>
      <c r="I321" s="21">
        <f t="shared" si="42"/>
        <v>119</v>
      </c>
      <c r="J321" s="21">
        <f t="shared" si="43"/>
        <v>101</v>
      </c>
      <c r="K321" s="37">
        <f t="shared" si="44"/>
        <v>0</v>
      </c>
      <c r="L321" s="37">
        <f t="shared" si="45"/>
        <v>3830963.5604353892</v>
      </c>
      <c r="M321" s="37">
        <f t="shared" si="46"/>
        <v>-79584444.254834697</v>
      </c>
      <c r="N321" s="37" t="str">
        <f t="shared" si="47"/>
        <v/>
      </c>
      <c r="O321" s="17"/>
    </row>
    <row r="322" spans="1:15" x14ac:dyDescent="0.25">
      <c r="A322" s="4" t="s">
        <v>1370</v>
      </c>
      <c r="B322" s="37">
        <f t="shared" si="48"/>
        <v>0</v>
      </c>
      <c r="C322" s="37">
        <f t="shared" si="49"/>
        <v>0</v>
      </c>
      <c r="D322" s="37">
        <f t="shared" si="39"/>
        <v>0</v>
      </c>
      <c r="E322" s="37">
        <f t="shared" si="40"/>
        <v>0</v>
      </c>
      <c r="F322" s="21">
        <f t="shared" si="41"/>
        <v>60</v>
      </c>
      <c r="G322" s="36">
        <v>111</v>
      </c>
      <c r="H322" s="21">
        <f t="shared" si="38"/>
        <v>9831</v>
      </c>
      <c r="I322" s="21">
        <f t="shared" si="42"/>
        <v>120</v>
      </c>
      <c r="J322" s="21">
        <f t="shared" si="43"/>
        <v>102</v>
      </c>
      <c r="K322" s="37">
        <f t="shared" si="44"/>
        <v>0</v>
      </c>
      <c r="L322" s="37">
        <f t="shared" si="45"/>
        <v>3830963.5604353892</v>
      </c>
      <c r="M322" s="37">
        <f t="shared" si="46"/>
        <v>-79584444.254834697</v>
      </c>
      <c r="N322" s="37" t="str">
        <f t="shared" si="47"/>
        <v/>
      </c>
      <c r="O322" s="17"/>
    </row>
    <row r="323" spans="1:15" x14ac:dyDescent="0.25">
      <c r="A323" s="4" t="s">
        <v>1371</v>
      </c>
      <c r="B323" s="37">
        <f t="shared" si="48"/>
        <v>0</v>
      </c>
      <c r="C323" s="37">
        <f t="shared" si="49"/>
        <v>0</v>
      </c>
      <c r="D323" s="37">
        <f t="shared" si="39"/>
        <v>0</v>
      </c>
      <c r="E323" s="37">
        <f t="shared" si="40"/>
        <v>0</v>
      </c>
      <c r="F323" s="21">
        <f t="shared" si="41"/>
        <v>60</v>
      </c>
      <c r="G323" s="36">
        <v>112</v>
      </c>
      <c r="H323" s="21">
        <f t="shared" si="38"/>
        <v>9832</v>
      </c>
      <c r="I323" s="21">
        <f t="shared" si="42"/>
        <v>121</v>
      </c>
      <c r="J323" s="21">
        <f t="shared" si="43"/>
        <v>103</v>
      </c>
      <c r="K323" s="37">
        <f t="shared" si="44"/>
        <v>0</v>
      </c>
      <c r="L323" s="37">
        <f t="shared" si="45"/>
        <v>3830963.5604353892</v>
      </c>
      <c r="M323" s="37">
        <f t="shared" si="46"/>
        <v>-79584444.254834697</v>
      </c>
      <c r="N323" s="37" t="str">
        <f t="shared" si="47"/>
        <v/>
      </c>
      <c r="O323" s="17"/>
    </row>
    <row r="324" spans="1:15" x14ac:dyDescent="0.25">
      <c r="A324" s="4" t="s">
        <v>1372</v>
      </c>
      <c r="B324" s="37">
        <f t="shared" si="48"/>
        <v>0</v>
      </c>
      <c r="C324" s="37">
        <f t="shared" si="49"/>
        <v>0</v>
      </c>
      <c r="D324" s="37">
        <f t="shared" si="39"/>
        <v>0</v>
      </c>
      <c r="E324" s="37">
        <f t="shared" si="40"/>
        <v>0</v>
      </c>
      <c r="F324" s="21">
        <f t="shared" si="41"/>
        <v>60</v>
      </c>
      <c r="G324" s="36">
        <v>113</v>
      </c>
      <c r="H324" s="21">
        <f t="shared" si="38"/>
        <v>9833</v>
      </c>
      <c r="I324" s="21">
        <f t="shared" si="42"/>
        <v>122</v>
      </c>
      <c r="J324" s="21">
        <f t="shared" si="43"/>
        <v>104</v>
      </c>
      <c r="K324" s="37">
        <f t="shared" si="44"/>
        <v>0</v>
      </c>
      <c r="L324" s="37">
        <f t="shared" si="45"/>
        <v>3830963.5604353892</v>
      </c>
      <c r="M324" s="37">
        <f t="shared" si="46"/>
        <v>-79584444.254834697</v>
      </c>
      <c r="N324" s="37" t="str">
        <f t="shared" si="47"/>
        <v/>
      </c>
      <c r="O324" s="17"/>
    </row>
    <row r="325" spans="1:15" x14ac:dyDescent="0.25">
      <c r="A325" s="4" t="s">
        <v>1373</v>
      </c>
      <c r="B325" s="37">
        <f t="shared" si="48"/>
        <v>0</v>
      </c>
      <c r="C325" s="37">
        <f t="shared" si="49"/>
        <v>0</v>
      </c>
      <c r="D325" s="37">
        <f t="shared" si="39"/>
        <v>0</v>
      </c>
      <c r="E325" s="37">
        <f t="shared" si="40"/>
        <v>0</v>
      </c>
      <c r="F325" s="21">
        <f t="shared" si="41"/>
        <v>60</v>
      </c>
      <c r="G325" s="36">
        <v>114</v>
      </c>
      <c r="H325" s="21">
        <f t="shared" si="38"/>
        <v>9834</v>
      </c>
      <c r="I325" s="21">
        <f t="shared" si="42"/>
        <v>123</v>
      </c>
      <c r="J325" s="21">
        <f t="shared" si="43"/>
        <v>105</v>
      </c>
      <c r="K325" s="37">
        <f t="shared" si="44"/>
        <v>0</v>
      </c>
      <c r="L325" s="37">
        <f t="shared" si="45"/>
        <v>3830963.5604353892</v>
      </c>
      <c r="M325" s="37">
        <f t="shared" si="46"/>
        <v>-79584444.254834697</v>
      </c>
      <c r="N325" s="37" t="str">
        <f t="shared" si="47"/>
        <v/>
      </c>
      <c r="O325" s="17"/>
    </row>
    <row r="326" spans="1:15" x14ac:dyDescent="0.25">
      <c r="A326" s="4" t="s">
        <v>1374</v>
      </c>
      <c r="B326" s="37">
        <f t="shared" si="48"/>
        <v>0</v>
      </c>
      <c r="C326" s="37">
        <f t="shared" si="49"/>
        <v>0</v>
      </c>
      <c r="D326" s="37">
        <f t="shared" si="39"/>
        <v>0</v>
      </c>
      <c r="E326" s="37">
        <f t="shared" si="40"/>
        <v>0</v>
      </c>
      <c r="F326" s="21">
        <f t="shared" si="41"/>
        <v>60</v>
      </c>
      <c r="G326" s="36">
        <v>115</v>
      </c>
      <c r="H326" s="21">
        <f t="shared" si="38"/>
        <v>9835</v>
      </c>
      <c r="I326" s="21">
        <f t="shared" si="42"/>
        <v>124</v>
      </c>
      <c r="J326" s="21">
        <f t="shared" si="43"/>
        <v>106</v>
      </c>
      <c r="K326" s="37">
        <f t="shared" si="44"/>
        <v>0</v>
      </c>
      <c r="L326" s="37">
        <f t="shared" si="45"/>
        <v>3830963.5604353892</v>
      </c>
      <c r="M326" s="37">
        <f t="shared" si="46"/>
        <v>-79584444.254834697</v>
      </c>
      <c r="N326" s="37" t="str">
        <f t="shared" si="47"/>
        <v/>
      </c>
      <c r="O326" s="17"/>
    </row>
    <row r="327" spans="1:15" x14ac:dyDescent="0.25">
      <c r="A327" s="4" t="s">
        <v>1375</v>
      </c>
      <c r="B327" s="37">
        <f t="shared" si="48"/>
        <v>0</v>
      </c>
      <c r="C327" s="37">
        <f t="shared" si="49"/>
        <v>0</v>
      </c>
      <c r="D327" s="37">
        <f t="shared" si="39"/>
        <v>0</v>
      </c>
      <c r="E327" s="37">
        <f t="shared" si="40"/>
        <v>0</v>
      </c>
      <c r="F327" s="21">
        <f t="shared" si="41"/>
        <v>60</v>
      </c>
      <c r="G327" s="36">
        <v>116</v>
      </c>
      <c r="H327" s="21">
        <f t="shared" si="38"/>
        <v>9836</v>
      </c>
      <c r="I327" s="21">
        <f t="shared" si="42"/>
        <v>125</v>
      </c>
      <c r="J327" s="21">
        <f t="shared" si="43"/>
        <v>107</v>
      </c>
      <c r="K327" s="37">
        <f t="shared" si="44"/>
        <v>0</v>
      </c>
      <c r="L327" s="37">
        <f t="shared" si="45"/>
        <v>3830963.5604353892</v>
      </c>
      <c r="M327" s="37">
        <f t="shared" si="46"/>
        <v>-79584444.254834697</v>
      </c>
      <c r="N327" s="37" t="str">
        <f t="shared" si="47"/>
        <v/>
      </c>
      <c r="O327" s="17"/>
    </row>
    <row r="328" spans="1:15" x14ac:dyDescent="0.25">
      <c r="A328" s="4" t="s">
        <v>1376</v>
      </c>
      <c r="B328" s="37">
        <f t="shared" si="48"/>
        <v>0</v>
      </c>
      <c r="C328" s="37">
        <f t="shared" si="49"/>
        <v>0</v>
      </c>
      <c r="D328" s="37">
        <f t="shared" si="39"/>
        <v>0</v>
      </c>
      <c r="E328" s="37">
        <f t="shared" si="40"/>
        <v>0</v>
      </c>
      <c r="F328" s="21">
        <f t="shared" si="41"/>
        <v>60</v>
      </c>
      <c r="G328" s="36">
        <v>117</v>
      </c>
      <c r="H328" s="21">
        <f t="shared" si="38"/>
        <v>9837</v>
      </c>
      <c r="I328" s="21">
        <f t="shared" si="42"/>
        <v>126</v>
      </c>
      <c r="J328" s="21">
        <f t="shared" si="43"/>
        <v>108</v>
      </c>
      <c r="K328" s="37">
        <f t="shared" si="44"/>
        <v>0</v>
      </c>
      <c r="L328" s="37">
        <f t="shared" si="45"/>
        <v>3830963.5604353892</v>
      </c>
      <c r="M328" s="37">
        <f t="shared" si="46"/>
        <v>-79584444.254834697</v>
      </c>
      <c r="N328" s="37" t="str">
        <f t="shared" si="47"/>
        <v/>
      </c>
      <c r="O328" s="17"/>
    </row>
    <row r="329" spans="1:15" x14ac:dyDescent="0.25">
      <c r="A329" s="4" t="s">
        <v>1377</v>
      </c>
      <c r="B329" s="37">
        <f t="shared" si="48"/>
        <v>0</v>
      </c>
      <c r="C329" s="37">
        <f t="shared" si="49"/>
        <v>0</v>
      </c>
      <c r="D329" s="37">
        <f t="shared" si="39"/>
        <v>0</v>
      </c>
      <c r="E329" s="37">
        <f t="shared" si="40"/>
        <v>0</v>
      </c>
      <c r="F329" s="21">
        <f t="shared" si="41"/>
        <v>60</v>
      </c>
      <c r="G329" s="36">
        <v>118</v>
      </c>
      <c r="H329" s="21">
        <f t="shared" si="38"/>
        <v>9838</v>
      </c>
      <c r="I329" s="21">
        <f t="shared" si="42"/>
        <v>127</v>
      </c>
      <c r="J329" s="21">
        <f t="shared" si="43"/>
        <v>109</v>
      </c>
      <c r="K329" s="37">
        <f t="shared" si="44"/>
        <v>0</v>
      </c>
      <c r="L329" s="37">
        <f t="shared" si="45"/>
        <v>3830963.5604353892</v>
      </c>
      <c r="M329" s="37">
        <f t="shared" si="46"/>
        <v>-79584444.254834697</v>
      </c>
      <c r="N329" s="37" t="str">
        <f t="shared" si="47"/>
        <v/>
      </c>
      <c r="O329" s="17"/>
    </row>
    <row r="330" spans="1:15" x14ac:dyDescent="0.25">
      <c r="A330" s="4" t="s">
        <v>1378</v>
      </c>
      <c r="B330" s="37">
        <f t="shared" si="48"/>
        <v>0</v>
      </c>
      <c r="C330" s="37">
        <f t="shared" si="49"/>
        <v>0</v>
      </c>
      <c r="D330" s="37">
        <f t="shared" si="39"/>
        <v>0</v>
      </c>
      <c r="E330" s="37">
        <f t="shared" si="40"/>
        <v>0</v>
      </c>
      <c r="F330" s="21">
        <f t="shared" si="41"/>
        <v>60</v>
      </c>
      <c r="G330" s="36">
        <v>119</v>
      </c>
      <c r="H330" s="21">
        <f t="shared" si="38"/>
        <v>9839</v>
      </c>
      <c r="I330" s="21">
        <f t="shared" si="42"/>
        <v>128</v>
      </c>
      <c r="J330" s="21">
        <f t="shared" si="43"/>
        <v>110</v>
      </c>
      <c r="K330" s="37">
        <f t="shared" si="44"/>
        <v>0</v>
      </c>
      <c r="L330" s="37">
        <f t="shared" si="45"/>
        <v>3830963.5604353892</v>
      </c>
      <c r="M330" s="37">
        <f t="shared" si="46"/>
        <v>-79584444.254834697</v>
      </c>
      <c r="N330" s="37" t="str">
        <f t="shared" si="47"/>
        <v/>
      </c>
      <c r="O330" s="17"/>
    </row>
    <row r="331" spans="1:15" x14ac:dyDescent="0.25">
      <c r="A331" s="4" t="s">
        <v>1379</v>
      </c>
      <c r="B331" s="37">
        <f t="shared" si="48"/>
        <v>0</v>
      </c>
      <c r="C331" s="37">
        <f t="shared" si="49"/>
        <v>0</v>
      </c>
      <c r="D331" s="37">
        <f t="shared" si="39"/>
        <v>0</v>
      </c>
      <c r="E331" s="37">
        <f t="shared" si="40"/>
        <v>0</v>
      </c>
      <c r="F331" s="21">
        <f t="shared" si="41"/>
        <v>60</v>
      </c>
      <c r="G331" s="36">
        <v>120</v>
      </c>
      <c r="H331" s="21">
        <f t="shared" si="38"/>
        <v>9840</v>
      </c>
      <c r="I331" s="21">
        <f t="shared" si="42"/>
        <v>129</v>
      </c>
      <c r="J331" s="21">
        <f t="shared" si="43"/>
        <v>111</v>
      </c>
      <c r="K331" s="37">
        <f t="shared" si="44"/>
        <v>0</v>
      </c>
      <c r="L331" s="37">
        <f t="shared" si="45"/>
        <v>3830963.5604353892</v>
      </c>
      <c r="M331" s="37">
        <f t="shared" si="46"/>
        <v>-79584444.254834697</v>
      </c>
      <c r="N331" s="37" t="str">
        <f t="shared" si="47"/>
        <v/>
      </c>
      <c r="O331" s="17"/>
    </row>
    <row r="332" spans="1:15" x14ac:dyDescent="0.25">
      <c r="A332" s="4" t="s">
        <v>1380</v>
      </c>
      <c r="B332" s="37">
        <f t="shared" si="48"/>
        <v>0</v>
      </c>
      <c r="C332" s="37">
        <f t="shared" si="49"/>
        <v>0</v>
      </c>
      <c r="D332" s="37">
        <f t="shared" si="39"/>
        <v>0</v>
      </c>
      <c r="E332" s="37">
        <f t="shared" si="40"/>
        <v>0</v>
      </c>
      <c r="F332" s="21">
        <f t="shared" si="41"/>
        <v>60</v>
      </c>
      <c r="G332" s="36">
        <v>121</v>
      </c>
      <c r="H332" s="21">
        <f t="shared" si="38"/>
        <v>9841</v>
      </c>
      <c r="I332" s="21">
        <f t="shared" si="42"/>
        <v>130</v>
      </c>
      <c r="J332" s="21">
        <f t="shared" si="43"/>
        <v>112</v>
      </c>
      <c r="K332" s="37">
        <f t="shared" si="44"/>
        <v>0</v>
      </c>
      <c r="L332" s="37">
        <f t="shared" si="45"/>
        <v>3830963.5604353892</v>
      </c>
      <c r="M332" s="37">
        <f t="shared" si="46"/>
        <v>-79584444.254834697</v>
      </c>
      <c r="N332" s="37" t="str">
        <f t="shared" si="47"/>
        <v/>
      </c>
      <c r="O332" s="17"/>
    </row>
    <row r="333" spans="1:15" x14ac:dyDescent="0.25">
      <c r="A333" s="4" t="s">
        <v>1381</v>
      </c>
      <c r="B333" s="37">
        <f t="shared" si="48"/>
        <v>0</v>
      </c>
      <c r="C333" s="37">
        <f t="shared" si="49"/>
        <v>0</v>
      </c>
      <c r="D333" s="37">
        <f t="shared" si="39"/>
        <v>0</v>
      </c>
      <c r="E333" s="37">
        <f t="shared" si="40"/>
        <v>0</v>
      </c>
      <c r="F333" s="21">
        <f t="shared" si="41"/>
        <v>60</v>
      </c>
      <c r="G333" s="36">
        <v>122</v>
      </c>
      <c r="H333" s="21">
        <f t="shared" si="38"/>
        <v>9842</v>
      </c>
      <c r="I333" s="21">
        <f t="shared" si="42"/>
        <v>131</v>
      </c>
      <c r="J333" s="21">
        <f t="shared" si="43"/>
        <v>113</v>
      </c>
      <c r="K333" s="37">
        <f t="shared" si="44"/>
        <v>0</v>
      </c>
      <c r="L333" s="37">
        <f t="shared" si="45"/>
        <v>3830963.5604353892</v>
      </c>
      <c r="M333" s="37">
        <f t="shared" si="46"/>
        <v>-79584444.254834697</v>
      </c>
      <c r="N333" s="37" t="str">
        <f t="shared" si="47"/>
        <v/>
      </c>
      <c r="O333" s="17"/>
    </row>
    <row r="334" spans="1:15" x14ac:dyDescent="0.25">
      <c r="A334" s="4" t="s">
        <v>1382</v>
      </c>
      <c r="B334" s="37">
        <f t="shared" si="48"/>
        <v>0</v>
      </c>
      <c r="C334" s="37">
        <f t="shared" si="49"/>
        <v>0</v>
      </c>
      <c r="D334" s="37">
        <f t="shared" si="39"/>
        <v>0</v>
      </c>
      <c r="E334" s="37">
        <f t="shared" si="40"/>
        <v>0</v>
      </c>
      <c r="F334" s="21">
        <f t="shared" si="41"/>
        <v>60</v>
      </c>
      <c r="G334" s="36">
        <v>123</v>
      </c>
      <c r="H334" s="21">
        <f t="shared" si="38"/>
        <v>9843</v>
      </c>
      <c r="I334" s="21">
        <f t="shared" si="42"/>
        <v>132</v>
      </c>
      <c r="J334" s="21">
        <f t="shared" si="43"/>
        <v>114</v>
      </c>
      <c r="K334" s="37">
        <f t="shared" si="44"/>
        <v>0</v>
      </c>
      <c r="L334" s="37">
        <f t="shared" si="45"/>
        <v>3830963.5604353892</v>
      </c>
      <c r="M334" s="37">
        <f t="shared" si="46"/>
        <v>-79584444.254834697</v>
      </c>
      <c r="N334" s="37" t="str">
        <f t="shared" si="47"/>
        <v/>
      </c>
      <c r="O334" s="17"/>
    </row>
    <row r="335" spans="1:15" x14ac:dyDescent="0.25">
      <c r="A335" s="4" t="s">
        <v>1383</v>
      </c>
      <c r="B335" s="37">
        <f t="shared" si="48"/>
        <v>0</v>
      </c>
      <c r="C335" s="37">
        <f t="shared" si="49"/>
        <v>0</v>
      </c>
      <c r="D335" s="37">
        <f t="shared" si="39"/>
        <v>0</v>
      </c>
      <c r="E335" s="37">
        <f t="shared" si="40"/>
        <v>0</v>
      </c>
      <c r="F335" s="21">
        <f t="shared" si="41"/>
        <v>60</v>
      </c>
      <c r="G335" s="36">
        <v>124</v>
      </c>
      <c r="H335" s="21">
        <f t="shared" si="38"/>
        <v>9844</v>
      </c>
      <c r="I335" s="21">
        <f t="shared" si="42"/>
        <v>133</v>
      </c>
      <c r="J335" s="21">
        <f t="shared" si="43"/>
        <v>115</v>
      </c>
      <c r="K335" s="37">
        <f t="shared" si="44"/>
        <v>0</v>
      </c>
      <c r="L335" s="37">
        <f t="shared" si="45"/>
        <v>3830963.5604353892</v>
      </c>
      <c r="M335" s="37">
        <f t="shared" si="46"/>
        <v>-79584444.254834697</v>
      </c>
      <c r="N335" s="37" t="str">
        <f t="shared" si="47"/>
        <v/>
      </c>
      <c r="O335" s="17"/>
    </row>
    <row r="336" spans="1:15" x14ac:dyDescent="0.25">
      <c r="A336" s="4" t="s">
        <v>1384</v>
      </c>
      <c r="B336" s="37">
        <f t="shared" si="48"/>
        <v>0</v>
      </c>
      <c r="C336" s="37">
        <f t="shared" si="49"/>
        <v>0</v>
      </c>
      <c r="D336" s="37">
        <f t="shared" si="39"/>
        <v>0</v>
      </c>
      <c r="E336" s="37">
        <f t="shared" si="40"/>
        <v>0</v>
      </c>
      <c r="F336" s="21">
        <f t="shared" si="41"/>
        <v>60</v>
      </c>
      <c r="G336" s="36">
        <v>125</v>
      </c>
      <c r="H336" s="21">
        <f t="shared" si="38"/>
        <v>9845</v>
      </c>
      <c r="I336" s="21">
        <f t="shared" si="42"/>
        <v>134</v>
      </c>
      <c r="J336" s="21">
        <f t="shared" si="43"/>
        <v>116</v>
      </c>
      <c r="K336" s="37">
        <f t="shared" si="44"/>
        <v>0</v>
      </c>
      <c r="L336" s="37">
        <f t="shared" si="45"/>
        <v>3830963.5604353892</v>
      </c>
      <c r="M336" s="37">
        <f t="shared" si="46"/>
        <v>-79584444.254834697</v>
      </c>
      <c r="N336" s="37" t="str">
        <f t="shared" si="47"/>
        <v/>
      </c>
      <c r="O336" s="17"/>
    </row>
    <row r="337" spans="1:15" x14ac:dyDescent="0.25">
      <c r="A337" s="4" t="s">
        <v>1385</v>
      </c>
      <c r="B337" s="37">
        <f t="shared" si="48"/>
        <v>0</v>
      </c>
      <c r="C337" s="37">
        <f t="shared" si="49"/>
        <v>0</v>
      </c>
      <c r="D337" s="37">
        <f t="shared" si="39"/>
        <v>0</v>
      </c>
      <c r="E337" s="37">
        <f t="shared" si="40"/>
        <v>0</v>
      </c>
      <c r="F337" s="21">
        <f t="shared" si="41"/>
        <v>60</v>
      </c>
      <c r="G337" s="36">
        <v>126</v>
      </c>
      <c r="H337" s="21">
        <f t="shared" si="38"/>
        <v>9846</v>
      </c>
      <c r="I337" s="21">
        <f t="shared" si="42"/>
        <v>135</v>
      </c>
      <c r="J337" s="21">
        <f t="shared" si="43"/>
        <v>117</v>
      </c>
      <c r="K337" s="37">
        <f t="shared" si="44"/>
        <v>0</v>
      </c>
      <c r="L337" s="37">
        <f t="shared" si="45"/>
        <v>3830963.5604353892</v>
      </c>
      <c r="M337" s="37">
        <f t="shared" si="46"/>
        <v>-79584444.254834697</v>
      </c>
      <c r="N337" s="37" t="str">
        <f t="shared" si="47"/>
        <v/>
      </c>
      <c r="O337" s="17"/>
    </row>
    <row r="338" spans="1:15" x14ac:dyDescent="0.25">
      <c r="A338" s="4" t="s">
        <v>1386</v>
      </c>
      <c r="B338" s="37">
        <f t="shared" si="48"/>
        <v>0</v>
      </c>
      <c r="C338" s="37">
        <f t="shared" si="49"/>
        <v>0</v>
      </c>
      <c r="D338" s="37">
        <f t="shared" si="39"/>
        <v>0</v>
      </c>
      <c r="E338" s="37">
        <f t="shared" si="40"/>
        <v>0</v>
      </c>
      <c r="F338" s="21">
        <f t="shared" si="41"/>
        <v>60</v>
      </c>
      <c r="G338" s="36">
        <v>127</v>
      </c>
      <c r="H338" s="21">
        <f t="shared" si="38"/>
        <v>9847</v>
      </c>
      <c r="I338" s="21">
        <f t="shared" si="42"/>
        <v>136</v>
      </c>
      <c r="J338" s="21">
        <f t="shared" si="43"/>
        <v>118</v>
      </c>
      <c r="K338" s="37">
        <f t="shared" si="44"/>
        <v>0</v>
      </c>
      <c r="L338" s="37">
        <f t="shared" si="45"/>
        <v>3830963.5604353892</v>
      </c>
      <c r="M338" s="37">
        <f t="shared" si="46"/>
        <v>-79584444.254834697</v>
      </c>
      <c r="N338" s="37" t="str">
        <f t="shared" si="47"/>
        <v/>
      </c>
      <c r="O338" s="17"/>
    </row>
    <row r="339" spans="1:15" x14ac:dyDescent="0.25">
      <c r="A339" s="4" t="s">
        <v>1387</v>
      </c>
      <c r="B339" s="37">
        <f t="shared" si="48"/>
        <v>0</v>
      </c>
      <c r="C339" s="37">
        <f t="shared" si="49"/>
        <v>0</v>
      </c>
      <c r="D339" s="37">
        <f t="shared" si="39"/>
        <v>0</v>
      </c>
      <c r="E339" s="37">
        <f t="shared" si="40"/>
        <v>0</v>
      </c>
      <c r="F339" s="21">
        <f t="shared" si="41"/>
        <v>60</v>
      </c>
      <c r="G339" s="36">
        <v>128</v>
      </c>
      <c r="H339" s="21">
        <f t="shared" ref="H339:H370" si="50">F339*162+G339</f>
        <v>9848</v>
      </c>
      <c r="I339" s="21">
        <f t="shared" si="42"/>
        <v>137</v>
      </c>
      <c r="J339" s="21">
        <f t="shared" si="43"/>
        <v>119</v>
      </c>
      <c r="K339" s="37">
        <f t="shared" si="44"/>
        <v>0</v>
      </c>
      <c r="L339" s="37">
        <f t="shared" si="45"/>
        <v>3830963.5604353892</v>
      </c>
      <c r="M339" s="37">
        <f t="shared" si="46"/>
        <v>-79584444.254834697</v>
      </c>
      <c r="N339" s="37" t="str">
        <f t="shared" si="47"/>
        <v/>
      </c>
      <c r="O339" s="17"/>
    </row>
    <row r="340" spans="1:15" x14ac:dyDescent="0.25">
      <c r="A340" s="4" t="s">
        <v>1388</v>
      </c>
      <c r="B340" s="37">
        <f t="shared" si="48"/>
        <v>0</v>
      </c>
      <c r="C340" s="37">
        <f t="shared" si="49"/>
        <v>0</v>
      </c>
      <c r="D340" s="37">
        <f t="shared" ref="D340:D371" si="51">IF(ISERROR(B340),C340,0)</f>
        <v>0</v>
      </c>
      <c r="E340" s="37">
        <f t="shared" ref="E340:E373" si="52">MAX($B$182,B340)*C340</f>
        <v>0</v>
      </c>
      <c r="F340" s="21">
        <f t="shared" ref="F340:F373" si="53">RANK(B340,B$212:B$373,1)</f>
        <v>60</v>
      </c>
      <c r="G340" s="36">
        <v>129</v>
      </c>
      <c r="H340" s="21">
        <f t="shared" si="50"/>
        <v>9849</v>
      </c>
      <c r="I340" s="21">
        <f t="shared" ref="I340:I371" si="54">RANK(H340,H$212:H$373,1)</f>
        <v>138</v>
      </c>
      <c r="J340" s="21">
        <f t="shared" ref="J340:J371" si="55">MATCH(G340,I$212:I$373,0)</f>
        <v>120</v>
      </c>
      <c r="K340" s="37">
        <f t="shared" ref="K340:K371" si="56">INDEX(B$212:B$373,J340,1)</f>
        <v>0</v>
      </c>
      <c r="L340" s="37">
        <f t="shared" ref="L340:L373" si="57">L339+INDEX(C$212:C$373,J340,1)</f>
        <v>3830963.5604353892</v>
      </c>
      <c r="M340" s="37">
        <f t="shared" ref="M340:M373" si="58">M339+(K340-K339)*L339</f>
        <v>-79584444.254834697</v>
      </c>
      <c r="N340" s="37" t="str">
        <f t="shared" ref="N340:N371" si="59">IF((M339&gt;0)=(M340&gt;0),"",K340-M340/L339)</f>
        <v/>
      </c>
      <c r="O340" s="17"/>
    </row>
    <row r="341" spans="1:15" x14ac:dyDescent="0.25">
      <c r="A341" s="4" t="s">
        <v>1389</v>
      </c>
      <c r="B341" s="37">
        <f t="shared" si="48"/>
        <v>0</v>
      </c>
      <c r="C341" s="37">
        <f t="shared" si="49"/>
        <v>0</v>
      </c>
      <c r="D341" s="37">
        <f t="shared" si="51"/>
        <v>0</v>
      </c>
      <c r="E341" s="37">
        <f t="shared" si="52"/>
        <v>0</v>
      </c>
      <c r="F341" s="21">
        <f t="shared" si="53"/>
        <v>60</v>
      </c>
      <c r="G341" s="36">
        <v>130</v>
      </c>
      <c r="H341" s="21">
        <f t="shared" si="50"/>
        <v>9850</v>
      </c>
      <c r="I341" s="21">
        <f t="shared" si="54"/>
        <v>139</v>
      </c>
      <c r="J341" s="21">
        <f t="shared" si="55"/>
        <v>121</v>
      </c>
      <c r="K341" s="37">
        <f t="shared" si="56"/>
        <v>0</v>
      </c>
      <c r="L341" s="37">
        <f t="shared" si="57"/>
        <v>3830963.5604353892</v>
      </c>
      <c r="M341" s="37">
        <f t="shared" si="58"/>
        <v>-79584444.254834697</v>
      </c>
      <c r="N341" s="37" t="str">
        <f t="shared" si="59"/>
        <v/>
      </c>
      <c r="O341" s="17"/>
    </row>
    <row r="342" spans="1:15" x14ac:dyDescent="0.25">
      <c r="A342" s="4" t="s">
        <v>1390</v>
      </c>
      <c r="B342" s="37">
        <f t="shared" si="48"/>
        <v>0</v>
      </c>
      <c r="C342" s="37">
        <f t="shared" si="49"/>
        <v>0</v>
      </c>
      <c r="D342" s="37">
        <f t="shared" si="51"/>
        <v>0</v>
      </c>
      <c r="E342" s="37">
        <f t="shared" si="52"/>
        <v>0</v>
      </c>
      <c r="F342" s="21">
        <f t="shared" si="53"/>
        <v>60</v>
      </c>
      <c r="G342" s="36">
        <v>131</v>
      </c>
      <c r="H342" s="21">
        <f t="shared" si="50"/>
        <v>9851</v>
      </c>
      <c r="I342" s="21">
        <f t="shared" si="54"/>
        <v>140</v>
      </c>
      <c r="J342" s="21">
        <f t="shared" si="55"/>
        <v>122</v>
      </c>
      <c r="K342" s="37">
        <f t="shared" si="56"/>
        <v>0</v>
      </c>
      <c r="L342" s="37">
        <f t="shared" si="57"/>
        <v>3830963.5604353892</v>
      </c>
      <c r="M342" s="37">
        <f t="shared" si="58"/>
        <v>-79584444.254834697</v>
      </c>
      <c r="N342" s="37" t="str">
        <f t="shared" si="59"/>
        <v/>
      </c>
      <c r="O342" s="17"/>
    </row>
    <row r="343" spans="1:15" x14ac:dyDescent="0.25">
      <c r="A343" s="4" t="s">
        <v>1391</v>
      </c>
      <c r="B343" s="37">
        <f t="shared" si="48"/>
        <v>0</v>
      </c>
      <c r="C343" s="37">
        <f t="shared" si="49"/>
        <v>0</v>
      </c>
      <c r="D343" s="37">
        <f t="shared" si="51"/>
        <v>0</v>
      </c>
      <c r="E343" s="37">
        <f t="shared" si="52"/>
        <v>0</v>
      </c>
      <c r="F343" s="21">
        <f t="shared" si="53"/>
        <v>60</v>
      </c>
      <c r="G343" s="36">
        <v>132</v>
      </c>
      <c r="H343" s="21">
        <f t="shared" si="50"/>
        <v>9852</v>
      </c>
      <c r="I343" s="21">
        <f t="shared" si="54"/>
        <v>141</v>
      </c>
      <c r="J343" s="21">
        <f t="shared" si="55"/>
        <v>123</v>
      </c>
      <c r="K343" s="37">
        <f t="shared" si="56"/>
        <v>0</v>
      </c>
      <c r="L343" s="37">
        <f t="shared" si="57"/>
        <v>3830963.5604353892</v>
      </c>
      <c r="M343" s="37">
        <f t="shared" si="58"/>
        <v>-79584444.254834697</v>
      </c>
      <c r="N343" s="37" t="str">
        <f t="shared" si="59"/>
        <v/>
      </c>
      <c r="O343" s="17"/>
    </row>
    <row r="344" spans="1:15" x14ac:dyDescent="0.25">
      <c r="A344" s="4" t="s">
        <v>1392</v>
      </c>
      <c r="B344" s="37">
        <f t="shared" si="48"/>
        <v>0</v>
      </c>
      <c r="C344" s="37">
        <f t="shared" si="49"/>
        <v>0</v>
      </c>
      <c r="D344" s="37">
        <f t="shared" si="51"/>
        <v>0</v>
      </c>
      <c r="E344" s="37">
        <f t="shared" si="52"/>
        <v>0</v>
      </c>
      <c r="F344" s="21">
        <f t="shared" si="53"/>
        <v>60</v>
      </c>
      <c r="G344" s="36">
        <v>133</v>
      </c>
      <c r="H344" s="21">
        <f t="shared" si="50"/>
        <v>9853</v>
      </c>
      <c r="I344" s="21">
        <f t="shared" si="54"/>
        <v>142</v>
      </c>
      <c r="J344" s="21">
        <f t="shared" si="55"/>
        <v>124</v>
      </c>
      <c r="K344" s="37">
        <f t="shared" si="56"/>
        <v>0</v>
      </c>
      <c r="L344" s="37">
        <f t="shared" si="57"/>
        <v>3830963.5604353892</v>
      </c>
      <c r="M344" s="37">
        <f t="shared" si="58"/>
        <v>-79584444.254834697</v>
      </c>
      <c r="N344" s="37" t="str">
        <f t="shared" si="59"/>
        <v/>
      </c>
      <c r="O344" s="17"/>
    </row>
    <row r="345" spans="1:15" x14ac:dyDescent="0.25">
      <c r="A345" s="4" t="s">
        <v>1393</v>
      </c>
      <c r="B345" s="37">
        <f t="shared" si="48"/>
        <v>0</v>
      </c>
      <c r="C345" s="37">
        <f t="shared" si="49"/>
        <v>0</v>
      </c>
      <c r="D345" s="37">
        <f t="shared" si="51"/>
        <v>0</v>
      </c>
      <c r="E345" s="37">
        <f t="shared" si="52"/>
        <v>0</v>
      </c>
      <c r="F345" s="21">
        <f t="shared" si="53"/>
        <v>60</v>
      </c>
      <c r="G345" s="36">
        <v>134</v>
      </c>
      <c r="H345" s="21">
        <f t="shared" si="50"/>
        <v>9854</v>
      </c>
      <c r="I345" s="21">
        <f t="shared" si="54"/>
        <v>143</v>
      </c>
      <c r="J345" s="21">
        <f t="shared" si="55"/>
        <v>125</v>
      </c>
      <c r="K345" s="37">
        <f t="shared" si="56"/>
        <v>0</v>
      </c>
      <c r="L345" s="37">
        <f t="shared" si="57"/>
        <v>3830963.5604353892</v>
      </c>
      <c r="M345" s="37">
        <f t="shared" si="58"/>
        <v>-79584444.254834697</v>
      </c>
      <c r="N345" s="37" t="str">
        <f t="shared" si="59"/>
        <v/>
      </c>
      <c r="O345" s="17"/>
    </row>
    <row r="346" spans="1:15" x14ac:dyDescent="0.25">
      <c r="A346" s="4" t="s">
        <v>1394</v>
      </c>
      <c r="B346" s="37">
        <f t="shared" si="48"/>
        <v>0</v>
      </c>
      <c r="C346" s="37">
        <f t="shared" si="49"/>
        <v>0</v>
      </c>
      <c r="D346" s="37">
        <f t="shared" si="51"/>
        <v>0</v>
      </c>
      <c r="E346" s="37">
        <f t="shared" si="52"/>
        <v>0</v>
      </c>
      <c r="F346" s="21">
        <f t="shared" si="53"/>
        <v>60</v>
      </c>
      <c r="G346" s="36">
        <v>135</v>
      </c>
      <c r="H346" s="21">
        <f t="shared" si="50"/>
        <v>9855</v>
      </c>
      <c r="I346" s="21">
        <f t="shared" si="54"/>
        <v>144</v>
      </c>
      <c r="J346" s="21">
        <f t="shared" si="55"/>
        <v>126</v>
      </c>
      <c r="K346" s="37">
        <f t="shared" si="56"/>
        <v>0</v>
      </c>
      <c r="L346" s="37">
        <f t="shared" si="57"/>
        <v>3830963.5604353892</v>
      </c>
      <c r="M346" s="37">
        <f t="shared" si="58"/>
        <v>-79584444.254834697</v>
      </c>
      <c r="N346" s="37" t="str">
        <f t="shared" si="59"/>
        <v/>
      </c>
      <c r="O346" s="17"/>
    </row>
    <row r="347" spans="1:15" x14ac:dyDescent="0.25">
      <c r="A347" s="4" t="s">
        <v>1395</v>
      </c>
      <c r="B347" s="37">
        <f t="shared" ref="B347:B373" si="60">G128</f>
        <v>0</v>
      </c>
      <c r="C347" s="37">
        <f t="shared" ref="C347:C373" si="61">G82</f>
        <v>0</v>
      </c>
      <c r="D347" s="37">
        <f t="shared" si="51"/>
        <v>0</v>
      </c>
      <c r="E347" s="37">
        <f t="shared" si="52"/>
        <v>0</v>
      </c>
      <c r="F347" s="21">
        <f t="shared" si="53"/>
        <v>60</v>
      </c>
      <c r="G347" s="36">
        <v>136</v>
      </c>
      <c r="H347" s="21">
        <f t="shared" si="50"/>
        <v>9856</v>
      </c>
      <c r="I347" s="21">
        <f t="shared" si="54"/>
        <v>145</v>
      </c>
      <c r="J347" s="21">
        <f t="shared" si="55"/>
        <v>127</v>
      </c>
      <c r="K347" s="37">
        <f t="shared" si="56"/>
        <v>0</v>
      </c>
      <c r="L347" s="37">
        <f t="shared" si="57"/>
        <v>3830963.5604353892</v>
      </c>
      <c r="M347" s="37">
        <f t="shared" si="58"/>
        <v>-79584444.254834697</v>
      </c>
      <c r="N347" s="37" t="str">
        <f t="shared" si="59"/>
        <v/>
      </c>
      <c r="O347" s="17"/>
    </row>
    <row r="348" spans="1:15" x14ac:dyDescent="0.25">
      <c r="A348" s="4" t="s">
        <v>1396</v>
      </c>
      <c r="B348" s="37">
        <f t="shared" si="60"/>
        <v>0</v>
      </c>
      <c r="C348" s="37">
        <f t="shared" si="61"/>
        <v>0</v>
      </c>
      <c r="D348" s="37">
        <f t="shared" si="51"/>
        <v>0</v>
      </c>
      <c r="E348" s="37">
        <f t="shared" si="52"/>
        <v>0</v>
      </c>
      <c r="F348" s="21">
        <f t="shared" si="53"/>
        <v>60</v>
      </c>
      <c r="G348" s="36">
        <v>137</v>
      </c>
      <c r="H348" s="21">
        <f t="shared" si="50"/>
        <v>9857</v>
      </c>
      <c r="I348" s="21">
        <f t="shared" si="54"/>
        <v>146</v>
      </c>
      <c r="J348" s="21">
        <f t="shared" si="55"/>
        <v>128</v>
      </c>
      <c r="K348" s="37">
        <f t="shared" si="56"/>
        <v>0</v>
      </c>
      <c r="L348" s="37">
        <f t="shared" si="57"/>
        <v>3830963.5604353892</v>
      </c>
      <c r="M348" s="37">
        <f t="shared" si="58"/>
        <v>-79584444.254834697</v>
      </c>
      <c r="N348" s="37" t="str">
        <f t="shared" si="59"/>
        <v/>
      </c>
      <c r="O348" s="17"/>
    </row>
    <row r="349" spans="1:15" x14ac:dyDescent="0.25">
      <c r="A349" s="4" t="s">
        <v>1397</v>
      </c>
      <c r="B349" s="37">
        <f t="shared" si="60"/>
        <v>0</v>
      </c>
      <c r="C349" s="37">
        <f t="shared" si="61"/>
        <v>0</v>
      </c>
      <c r="D349" s="37">
        <f t="shared" si="51"/>
        <v>0</v>
      </c>
      <c r="E349" s="37">
        <f t="shared" si="52"/>
        <v>0</v>
      </c>
      <c r="F349" s="21">
        <f t="shared" si="53"/>
        <v>60</v>
      </c>
      <c r="G349" s="36">
        <v>138</v>
      </c>
      <c r="H349" s="21">
        <f t="shared" si="50"/>
        <v>9858</v>
      </c>
      <c r="I349" s="21">
        <f t="shared" si="54"/>
        <v>147</v>
      </c>
      <c r="J349" s="21">
        <f t="shared" si="55"/>
        <v>129</v>
      </c>
      <c r="K349" s="37">
        <f t="shared" si="56"/>
        <v>0</v>
      </c>
      <c r="L349" s="37">
        <f t="shared" si="57"/>
        <v>3830963.5604353892</v>
      </c>
      <c r="M349" s="37">
        <f t="shared" si="58"/>
        <v>-79584444.254834697</v>
      </c>
      <c r="N349" s="37" t="str">
        <f t="shared" si="59"/>
        <v/>
      </c>
      <c r="O349" s="17"/>
    </row>
    <row r="350" spans="1:15" x14ac:dyDescent="0.25">
      <c r="A350" s="4" t="s">
        <v>1398</v>
      </c>
      <c r="B350" s="37">
        <f t="shared" si="60"/>
        <v>0</v>
      </c>
      <c r="C350" s="37">
        <f t="shared" si="61"/>
        <v>0</v>
      </c>
      <c r="D350" s="37">
        <f t="shared" si="51"/>
        <v>0</v>
      </c>
      <c r="E350" s="37">
        <f t="shared" si="52"/>
        <v>0</v>
      </c>
      <c r="F350" s="21">
        <f t="shared" si="53"/>
        <v>60</v>
      </c>
      <c r="G350" s="36">
        <v>139</v>
      </c>
      <c r="H350" s="21">
        <f t="shared" si="50"/>
        <v>9859</v>
      </c>
      <c r="I350" s="21">
        <f t="shared" si="54"/>
        <v>148</v>
      </c>
      <c r="J350" s="21">
        <f t="shared" si="55"/>
        <v>130</v>
      </c>
      <c r="K350" s="37">
        <f t="shared" si="56"/>
        <v>0</v>
      </c>
      <c r="L350" s="37">
        <f t="shared" si="57"/>
        <v>3830963.5604353892</v>
      </c>
      <c r="M350" s="37">
        <f t="shared" si="58"/>
        <v>-79584444.254834697</v>
      </c>
      <c r="N350" s="37" t="str">
        <f t="shared" si="59"/>
        <v/>
      </c>
      <c r="O350" s="17"/>
    </row>
    <row r="351" spans="1:15" x14ac:dyDescent="0.25">
      <c r="A351" s="4" t="s">
        <v>1399</v>
      </c>
      <c r="B351" s="37">
        <f t="shared" si="60"/>
        <v>0</v>
      </c>
      <c r="C351" s="37">
        <f t="shared" si="61"/>
        <v>0</v>
      </c>
      <c r="D351" s="37">
        <f t="shared" si="51"/>
        <v>0</v>
      </c>
      <c r="E351" s="37">
        <f t="shared" si="52"/>
        <v>0</v>
      </c>
      <c r="F351" s="21">
        <f t="shared" si="53"/>
        <v>60</v>
      </c>
      <c r="G351" s="36">
        <v>140</v>
      </c>
      <c r="H351" s="21">
        <f t="shared" si="50"/>
        <v>9860</v>
      </c>
      <c r="I351" s="21">
        <f t="shared" si="54"/>
        <v>149</v>
      </c>
      <c r="J351" s="21">
        <f t="shared" si="55"/>
        <v>131</v>
      </c>
      <c r="K351" s="37">
        <f t="shared" si="56"/>
        <v>0</v>
      </c>
      <c r="L351" s="37">
        <f t="shared" si="57"/>
        <v>3830963.5604353892</v>
      </c>
      <c r="M351" s="37">
        <f t="shared" si="58"/>
        <v>-79584444.254834697</v>
      </c>
      <c r="N351" s="37" t="str">
        <f t="shared" si="59"/>
        <v/>
      </c>
      <c r="O351" s="17"/>
    </row>
    <row r="352" spans="1:15" x14ac:dyDescent="0.25">
      <c r="A352" s="4" t="s">
        <v>1400</v>
      </c>
      <c r="B352" s="37">
        <f t="shared" si="60"/>
        <v>0</v>
      </c>
      <c r="C352" s="37">
        <f t="shared" si="61"/>
        <v>0</v>
      </c>
      <c r="D352" s="37">
        <f t="shared" si="51"/>
        <v>0</v>
      </c>
      <c r="E352" s="37">
        <f t="shared" si="52"/>
        <v>0</v>
      </c>
      <c r="F352" s="21">
        <f t="shared" si="53"/>
        <v>60</v>
      </c>
      <c r="G352" s="36">
        <v>141</v>
      </c>
      <c r="H352" s="21">
        <f t="shared" si="50"/>
        <v>9861</v>
      </c>
      <c r="I352" s="21">
        <f t="shared" si="54"/>
        <v>150</v>
      </c>
      <c r="J352" s="21">
        <f t="shared" si="55"/>
        <v>132</v>
      </c>
      <c r="K352" s="37">
        <f t="shared" si="56"/>
        <v>0</v>
      </c>
      <c r="L352" s="37">
        <f t="shared" si="57"/>
        <v>3830963.5604353892</v>
      </c>
      <c r="M352" s="37">
        <f t="shared" si="58"/>
        <v>-79584444.254834697</v>
      </c>
      <c r="N352" s="37" t="str">
        <f t="shared" si="59"/>
        <v/>
      </c>
      <c r="O352" s="17"/>
    </row>
    <row r="353" spans="1:15" x14ac:dyDescent="0.25">
      <c r="A353" s="4" t="s">
        <v>1401</v>
      </c>
      <c r="B353" s="37">
        <f t="shared" si="60"/>
        <v>0</v>
      </c>
      <c r="C353" s="37">
        <f t="shared" si="61"/>
        <v>0</v>
      </c>
      <c r="D353" s="37">
        <f t="shared" si="51"/>
        <v>0</v>
      </c>
      <c r="E353" s="37">
        <f t="shared" si="52"/>
        <v>0</v>
      </c>
      <c r="F353" s="21">
        <f t="shared" si="53"/>
        <v>60</v>
      </c>
      <c r="G353" s="36">
        <v>142</v>
      </c>
      <c r="H353" s="21">
        <f t="shared" si="50"/>
        <v>9862</v>
      </c>
      <c r="I353" s="21">
        <f t="shared" si="54"/>
        <v>151</v>
      </c>
      <c r="J353" s="21">
        <f t="shared" si="55"/>
        <v>133</v>
      </c>
      <c r="K353" s="37">
        <f t="shared" si="56"/>
        <v>0</v>
      </c>
      <c r="L353" s="37">
        <f t="shared" si="57"/>
        <v>3830963.5604353892</v>
      </c>
      <c r="M353" s="37">
        <f t="shared" si="58"/>
        <v>-79584444.254834697</v>
      </c>
      <c r="N353" s="37" t="str">
        <f t="shared" si="59"/>
        <v/>
      </c>
      <c r="O353" s="17"/>
    </row>
    <row r="354" spans="1:15" x14ac:dyDescent="0.25">
      <c r="A354" s="4" t="s">
        <v>1402</v>
      </c>
      <c r="B354" s="37">
        <f t="shared" si="60"/>
        <v>0</v>
      </c>
      <c r="C354" s="37">
        <f t="shared" si="61"/>
        <v>0</v>
      </c>
      <c r="D354" s="37">
        <f t="shared" si="51"/>
        <v>0</v>
      </c>
      <c r="E354" s="37">
        <f t="shared" si="52"/>
        <v>0</v>
      </c>
      <c r="F354" s="21">
        <f t="shared" si="53"/>
        <v>60</v>
      </c>
      <c r="G354" s="36">
        <v>143</v>
      </c>
      <c r="H354" s="21">
        <f t="shared" si="50"/>
        <v>9863</v>
      </c>
      <c r="I354" s="21">
        <f t="shared" si="54"/>
        <v>152</v>
      </c>
      <c r="J354" s="21">
        <f t="shared" si="55"/>
        <v>134</v>
      </c>
      <c r="K354" s="37">
        <f t="shared" si="56"/>
        <v>0</v>
      </c>
      <c r="L354" s="37">
        <f t="shared" si="57"/>
        <v>3830963.5604353892</v>
      </c>
      <c r="M354" s="37">
        <f t="shared" si="58"/>
        <v>-79584444.254834697</v>
      </c>
      <c r="N354" s="37" t="str">
        <f t="shared" si="59"/>
        <v/>
      </c>
      <c r="O354" s="17"/>
    </row>
    <row r="355" spans="1:15" x14ac:dyDescent="0.25">
      <c r="A355" s="4" t="s">
        <v>1403</v>
      </c>
      <c r="B355" s="37">
        <f t="shared" si="60"/>
        <v>0</v>
      </c>
      <c r="C355" s="37">
        <f t="shared" si="61"/>
        <v>0</v>
      </c>
      <c r="D355" s="37">
        <f t="shared" si="51"/>
        <v>0</v>
      </c>
      <c r="E355" s="37">
        <f t="shared" si="52"/>
        <v>0</v>
      </c>
      <c r="F355" s="21">
        <f t="shared" si="53"/>
        <v>60</v>
      </c>
      <c r="G355" s="36">
        <v>144</v>
      </c>
      <c r="H355" s="21">
        <f t="shared" si="50"/>
        <v>9864</v>
      </c>
      <c r="I355" s="21">
        <f t="shared" si="54"/>
        <v>153</v>
      </c>
      <c r="J355" s="21">
        <f t="shared" si="55"/>
        <v>135</v>
      </c>
      <c r="K355" s="37">
        <f t="shared" si="56"/>
        <v>0</v>
      </c>
      <c r="L355" s="37">
        <f t="shared" si="57"/>
        <v>3830963.5604353892</v>
      </c>
      <c r="M355" s="37">
        <f t="shared" si="58"/>
        <v>-79584444.254834697</v>
      </c>
      <c r="N355" s="37" t="str">
        <f t="shared" si="59"/>
        <v/>
      </c>
      <c r="O355" s="17"/>
    </row>
    <row r="356" spans="1:15" x14ac:dyDescent="0.25">
      <c r="A356" s="4" t="s">
        <v>1404</v>
      </c>
      <c r="B356" s="37">
        <f t="shared" si="60"/>
        <v>0</v>
      </c>
      <c r="C356" s="37">
        <f t="shared" si="61"/>
        <v>0</v>
      </c>
      <c r="D356" s="37">
        <f t="shared" si="51"/>
        <v>0</v>
      </c>
      <c r="E356" s="37">
        <f t="shared" si="52"/>
        <v>0</v>
      </c>
      <c r="F356" s="21">
        <f t="shared" si="53"/>
        <v>60</v>
      </c>
      <c r="G356" s="36">
        <v>145</v>
      </c>
      <c r="H356" s="21">
        <f t="shared" si="50"/>
        <v>9865</v>
      </c>
      <c r="I356" s="21">
        <f t="shared" si="54"/>
        <v>154</v>
      </c>
      <c r="J356" s="21">
        <f t="shared" si="55"/>
        <v>136</v>
      </c>
      <c r="K356" s="37">
        <f t="shared" si="56"/>
        <v>0</v>
      </c>
      <c r="L356" s="37">
        <f t="shared" si="57"/>
        <v>3830963.5604353892</v>
      </c>
      <c r="M356" s="37">
        <f t="shared" si="58"/>
        <v>-79584444.254834697</v>
      </c>
      <c r="N356" s="37" t="str">
        <f t="shared" si="59"/>
        <v/>
      </c>
      <c r="O356" s="17"/>
    </row>
    <row r="357" spans="1:15" x14ac:dyDescent="0.25">
      <c r="A357" s="4" t="s">
        <v>1405</v>
      </c>
      <c r="B357" s="37">
        <f t="shared" si="60"/>
        <v>0</v>
      </c>
      <c r="C357" s="37">
        <f t="shared" si="61"/>
        <v>0</v>
      </c>
      <c r="D357" s="37">
        <f t="shared" si="51"/>
        <v>0</v>
      </c>
      <c r="E357" s="37">
        <f t="shared" si="52"/>
        <v>0</v>
      </c>
      <c r="F357" s="21">
        <f t="shared" si="53"/>
        <v>60</v>
      </c>
      <c r="G357" s="36">
        <v>146</v>
      </c>
      <c r="H357" s="21">
        <f t="shared" si="50"/>
        <v>9866</v>
      </c>
      <c r="I357" s="21">
        <f t="shared" si="54"/>
        <v>155</v>
      </c>
      <c r="J357" s="21">
        <f t="shared" si="55"/>
        <v>137</v>
      </c>
      <c r="K357" s="37">
        <f t="shared" si="56"/>
        <v>0</v>
      </c>
      <c r="L357" s="37">
        <f t="shared" si="57"/>
        <v>3830963.5604353892</v>
      </c>
      <c r="M357" s="37">
        <f t="shared" si="58"/>
        <v>-79584444.254834697</v>
      </c>
      <c r="N357" s="37" t="str">
        <f t="shared" si="59"/>
        <v/>
      </c>
      <c r="O357" s="17"/>
    </row>
    <row r="358" spans="1:15" x14ac:dyDescent="0.25">
      <c r="A358" s="4" t="s">
        <v>1406</v>
      </c>
      <c r="B358" s="37">
        <f t="shared" si="60"/>
        <v>-62.127939443196958</v>
      </c>
      <c r="C358" s="37">
        <f t="shared" si="61"/>
        <v>8654.4120205424497</v>
      </c>
      <c r="D358" s="37">
        <f t="shared" si="51"/>
        <v>0</v>
      </c>
      <c r="E358" s="37">
        <f t="shared" si="52"/>
        <v>-537680.78592873714</v>
      </c>
      <c r="F358" s="21">
        <f t="shared" si="53"/>
        <v>41</v>
      </c>
      <c r="G358" s="36">
        <v>147</v>
      </c>
      <c r="H358" s="21">
        <f t="shared" si="50"/>
        <v>6789</v>
      </c>
      <c r="I358" s="21">
        <f t="shared" si="54"/>
        <v>41</v>
      </c>
      <c r="J358" s="21">
        <f t="shared" si="55"/>
        <v>138</v>
      </c>
      <c r="K358" s="37">
        <f t="shared" si="56"/>
        <v>0</v>
      </c>
      <c r="L358" s="37">
        <f t="shared" si="57"/>
        <v>3830963.5604353892</v>
      </c>
      <c r="M358" s="37">
        <f t="shared" si="58"/>
        <v>-79584444.254834697</v>
      </c>
      <c r="N358" s="37" t="str">
        <f t="shared" si="59"/>
        <v/>
      </c>
      <c r="O358" s="17"/>
    </row>
    <row r="359" spans="1:15" x14ac:dyDescent="0.25">
      <c r="A359" s="4" t="s">
        <v>1407</v>
      </c>
      <c r="B359" s="37">
        <f t="shared" si="60"/>
        <v>-50.817256632110258</v>
      </c>
      <c r="C359" s="37">
        <f t="shared" si="61"/>
        <v>3393.6882974393611</v>
      </c>
      <c r="D359" s="37">
        <f t="shared" si="51"/>
        <v>0</v>
      </c>
      <c r="E359" s="37">
        <f t="shared" si="52"/>
        <v>-172457.92914036533</v>
      </c>
      <c r="F359" s="21">
        <f t="shared" si="53"/>
        <v>51</v>
      </c>
      <c r="G359" s="36">
        <v>148</v>
      </c>
      <c r="H359" s="21">
        <f t="shared" si="50"/>
        <v>8410</v>
      </c>
      <c r="I359" s="21">
        <f t="shared" si="54"/>
        <v>51</v>
      </c>
      <c r="J359" s="21">
        <f t="shared" si="55"/>
        <v>139</v>
      </c>
      <c r="K359" s="37">
        <f t="shared" si="56"/>
        <v>0</v>
      </c>
      <c r="L359" s="37">
        <f t="shared" si="57"/>
        <v>3830963.5604353892</v>
      </c>
      <c r="M359" s="37">
        <f t="shared" si="58"/>
        <v>-79584444.254834697</v>
      </c>
      <c r="N359" s="37" t="str">
        <f t="shared" si="59"/>
        <v/>
      </c>
      <c r="O359" s="17"/>
    </row>
    <row r="360" spans="1:15" x14ac:dyDescent="0.25">
      <c r="A360" s="4" t="s">
        <v>1408</v>
      </c>
      <c r="B360" s="37">
        <f t="shared" si="60"/>
        <v>-37.739830517770464</v>
      </c>
      <c r="C360" s="37">
        <f t="shared" si="61"/>
        <v>9733.9583121880241</v>
      </c>
      <c r="D360" s="37">
        <f t="shared" si="51"/>
        <v>0</v>
      </c>
      <c r="E360" s="37">
        <f t="shared" si="52"/>
        <v>-367357.93696901907</v>
      </c>
      <c r="F360" s="21">
        <f t="shared" si="53"/>
        <v>55</v>
      </c>
      <c r="G360" s="36">
        <v>149</v>
      </c>
      <c r="H360" s="21">
        <f t="shared" si="50"/>
        <v>9059</v>
      </c>
      <c r="I360" s="21">
        <f t="shared" si="54"/>
        <v>55</v>
      </c>
      <c r="J360" s="21">
        <f t="shared" si="55"/>
        <v>140</v>
      </c>
      <c r="K360" s="37">
        <f t="shared" si="56"/>
        <v>0</v>
      </c>
      <c r="L360" s="37">
        <f t="shared" si="57"/>
        <v>3830963.5604353892</v>
      </c>
      <c r="M360" s="37">
        <f t="shared" si="58"/>
        <v>-79584444.254834697</v>
      </c>
      <c r="N360" s="37" t="str">
        <f t="shared" si="59"/>
        <v/>
      </c>
      <c r="O360" s="17"/>
    </row>
    <row r="361" spans="1:15" x14ac:dyDescent="0.25">
      <c r="A361" s="4" t="s">
        <v>1409</v>
      </c>
      <c r="B361" s="37">
        <f t="shared" si="60"/>
        <v>0</v>
      </c>
      <c r="C361" s="37">
        <f t="shared" si="61"/>
        <v>0</v>
      </c>
      <c r="D361" s="37">
        <f t="shared" si="51"/>
        <v>0</v>
      </c>
      <c r="E361" s="37">
        <f t="shared" si="52"/>
        <v>0</v>
      </c>
      <c r="F361" s="21">
        <f t="shared" si="53"/>
        <v>60</v>
      </c>
      <c r="G361" s="36">
        <v>150</v>
      </c>
      <c r="H361" s="21">
        <f t="shared" si="50"/>
        <v>9870</v>
      </c>
      <c r="I361" s="21">
        <f t="shared" si="54"/>
        <v>156</v>
      </c>
      <c r="J361" s="21">
        <f t="shared" si="55"/>
        <v>141</v>
      </c>
      <c r="K361" s="37">
        <f t="shared" si="56"/>
        <v>0</v>
      </c>
      <c r="L361" s="37">
        <f t="shared" si="57"/>
        <v>3830963.5604353892</v>
      </c>
      <c r="M361" s="37">
        <f t="shared" si="58"/>
        <v>-79584444.254834697</v>
      </c>
      <c r="N361" s="37" t="str">
        <f t="shared" si="59"/>
        <v/>
      </c>
      <c r="O361" s="17"/>
    </row>
    <row r="362" spans="1:15" x14ac:dyDescent="0.25">
      <c r="A362" s="4" t="s">
        <v>1410</v>
      </c>
      <c r="B362" s="37">
        <f t="shared" si="60"/>
        <v>0</v>
      </c>
      <c r="C362" s="37">
        <f t="shared" si="61"/>
        <v>0</v>
      </c>
      <c r="D362" s="37">
        <f t="shared" si="51"/>
        <v>0</v>
      </c>
      <c r="E362" s="37">
        <f t="shared" si="52"/>
        <v>0</v>
      </c>
      <c r="F362" s="21">
        <f t="shared" si="53"/>
        <v>60</v>
      </c>
      <c r="G362" s="36">
        <v>151</v>
      </c>
      <c r="H362" s="21">
        <f t="shared" si="50"/>
        <v>9871</v>
      </c>
      <c r="I362" s="21">
        <f t="shared" si="54"/>
        <v>157</v>
      </c>
      <c r="J362" s="21">
        <f t="shared" si="55"/>
        <v>142</v>
      </c>
      <c r="K362" s="37">
        <f t="shared" si="56"/>
        <v>0</v>
      </c>
      <c r="L362" s="37">
        <f t="shared" si="57"/>
        <v>3830963.5604353892</v>
      </c>
      <c r="M362" s="37">
        <f t="shared" si="58"/>
        <v>-79584444.254834697</v>
      </c>
      <c r="N362" s="37" t="str">
        <f t="shared" si="59"/>
        <v/>
      </c>
      <c r="O362" s="17"/>
    </row>
    <row r="363" spans="1:15" x14ac:dyDescent="0.25">
      <c r="A363" s="4" t="s">
        <v>1411</v>
      </c>
      <c r="B363" s="37">
        <f t="shared" si="60"/>
        <v>0</v>
      </c>
      <c r="C363" s="37">
        <f t="shared" si="61"/>
        <v>0</v>
      </c>
      <c r="D363" s="37">
        <f t="shared" si="51"/>
        <v>0</v>
      </c>
      <c r="E363" s="37">
        <f t="shared" si="52"/>
        <v>0</v>
      </c>
      <c r="F363" s="21">
        <f t="shared" si="53"/>
        <v>60</v>
      </c>
      <c r="G363" s="36">
        <v>152</v>
      </c>
      <c r="H363" s="21">
        <f t="shared" si="50"/>
        <v>9872</v>
      </c>
      <c r="I363" s="21">
        <f t="shared" si="54"/>
        <v>158</v>
      </c>
      <c r="J363" s="21">
        <f t="shared" si="55"/>
        <v>143</v>
      </c>
      <c r="K363" s="37">
        <f t="shared" si="56"/>
        <v>0</v>
      </c>
      <c r="L363" s="37">
        <f t="shared" si="57"/>
        <v>3830963.5604353892</v>
      </c>
      <c r="M363" s="37">
        <f t="shared" si="58"/>
        <v>-79584444.254834697</v>
      </c>
      <c r="N363" s="37" t="str">
        <f t="shared" si="59"/>
        <v/>
      </c>
      <c r="O363" s="17"/>
    </row>
    <row r="364" spans="1:15" x14ac:dyDescent="0.25">
      <c r="A364" s="4" t="s">
        <v>1412</v>
      </c>
      <c r="B364" s="37">
        <f t="shared" si="60"/>
        <v>0</v>
      </c>
      <c r="C364" s="37">
        <f t="shared" si="61"/>
        <v>0</v>
      </c>
      <c r="D364" s="37">
        <f t="shared" si="51"/>
        <v>0</v>
      </c>
      <c r="E364" s="37">
        <f t="shared" si="52"/>
        <v>0</v>
      </c>
      <c r="F364" s="21">
        <f t="shared" si="53"/>
        <v>60</v>
      </c>
      <c r="G364" s="36">
        <v>153</v>
      </c>
      <c r="H364" s="21">
        <f t="shared" si="50"/>
        <v>9873</v>
      </c>
      <c r="I364" s="21">
        <f t="shared" si="54"/>
        <v>159</v>
      </c>
      <c r="J364" s="21">
        <f t="shared" si="55"/>
        <v>144</v>
      </c>
      <c r="K364" s="37">
        <f t="shared" si="56"/>
        <v>0</v>
      </c>
      <c r="L364" s="37">
        <f t="shared" si="57"/>
        <v>3830963.5604353892</v>
      </c>
      <c r="M364" s="37">
        <f t="shared" si="58"/>
        <v>-79584444.254834697</v>
      </c>
      <c r="N364" s="37" t="str">
        <f t="shared" si="59"/>
        <v/>
      </c>
      <c r="O364" s="17"/>
    </row>
    <row r="365" spans="1:15" x14ac:dyDescent="0.25">
      <c r="A365" s="4" t="s">
        <v>1413</v>
      </c>
      <c r="B365" s="37">
        <f t="shared" si="60"/>
        <v>0</v>
      </c>
      <c r="C365" s="37">
        <f t="shared" si="61"/>
        <v>0</v>
      </c>
      <c r="D365" s="37">
        <f t="shared" si="51"/>
        <v>0</v>
      </c>
      <c r="E365" s="37">
        <f t="shared" si="52"/>
        <v>0</v>
      </c>
      <c r="F365" s="21">
        <f t="shared" si="53"/>
        <v>60</v>
      </c>
      <c r="G365" s="36">
        <v>154</v>
      </c>
      <c r="H365" s="21">
        <f t="shared" si="50"/>
        <v>9874</v>
      </c>
      <c r="I365" s="21">
        <f t="shared" si="54"/>
        <v>160</v>
      </c>
      <c r="J365" s="21">
        <f t="shared" si="55"/>
        <v>145</v>
      </c>
      <c r="K365" s="37">
        <f t="shared" si="56"/>
        <v>0</v>
      </c>
      <c r="L365" s="37">
        <f t="shared" si="57"/>
        <v>3830963.5604353892</v>
      </c>
      <c r="M365" s="37">
        <f t="shared" si="58"/>
        <v>-79584444.254834697</v>
      </c>
      <c r="N365" s="37" t="str">
        <f t="shared" si="59"/>
        <v/>
      </c>
      <c r="O365" s="17"/>
    </row>
    <row r="366" spans="1:15" x14ac:dyDescent="0.25">
      <c r="A366" s="4" t="s">
        <v>1414</v>
      </c>
      <c r="B366" s="37">
        <f t="shared" si="60"/>
        <v>0</v>
      </c>
      <c r="C366" s="37">
        <f t="shared" si="61"/>
        <v>0</v>
      </c>
      <c r="D366" s="37">
        <f t="shared" si="51"/>
        <v>0</v>
      </c>
      <c r="E366" s="37">
        <f t="shared" si="52"/>
        <v>0</v>
      </c>
      <c r="F366" s="21">
        <f t="shared" si="53"/>
        <v>60</v>
      </c>
      <c r="G366" s="36">
        <v>155</v>
      </c>
      <c r="H366" s="21">
        <f t="shared" si="50"/>
        <v>9875</v>
      </c>
      <c r="I366" s="21">
        <f t="shared" si="54"/>
        <v>161</v>
      </c>
      <c r="J366" s="21">
        <f t="shared" si="55"/>
        <v>146</v>
      </c>
      <c r="K366" s="37">
        <f t="shared" si="56"/>
        <v>0</v>
      </c>
      <c r="L366" s="37">
        <f t="shared" si="57"/>
        <v>3830963.5604353892</v>
      </c>
      <c r="M366" s="37">
        <f t="shared" si="58"/>
        <v>-79584444.254834697</v>
      </c>
      <c r="N366" s="37" t="str">
        <f t="shared" si="59"/>
        <v/>
      </c>
      <c r="O366" s="17"/>
    </row>
    <row r="367" spans="1:15" x14ac:dyDescent="0.25">
      <c r="A367" s="4" t="s">
        <v>1415</v>
      </c>
      <c r="B367" s="37">
        <f t="shared" si="60"/>
        <v>0</v>
      </c>
      <c r="C367" s="37">
        <f t="shared" si="61"/>
        <v>0</v>
      </c>
      <c r="D367" s="37">
        <f t="shared" si="51"/>
        <v>0</v>
      </c>
      <c r="E367" s="37">
        <f t="shared" si="52"/>
        <v>0</v>
      </c>
      <c r="F367" s="21">
        <f t="shared" si="53"/>
        <v>60</v>
      </c>
      <c r="G367" s="36">
        <v>156</v>
      </c>
      <c r="H367" s="21">
        <f t="shared" si="50"/>
        <v>9876</v>
      </c>
      <c r="I367" s="21">
        <f t="shared" si="54"/>
        <v>162</v>
      </c>
      <c r="J367" s="21">
        <f t="shared" si="55"/>
        <v>150</v>
      </c>
      <c r="K367" s="37">
        <f t="shared" si="56"/>
        <v>0</v>
      </c>
      <c r="L367" s="37">
        <f t="shared" si="57"/>
        <v>3830963.5604353892</v>
      </c>
      <c r="M367" s="37">
        <f t="shared" si="58"/>
        <v>-79584444.254834697</v>
      </c>
      <c r="N367" s="37" t="str">
        <f t="shared" si="59"/>
        <v/>
      </c>
      <c r="O367" s="17"/>
    </row>
    <row r="368" spans="1:15" x14ac:dyDescent="0.25">
      <c r="A368" s="4" t="s">
        <v>1416</v>
      </c>
      <c r="B368" s="37">
        <f t="shared" si="60"/>
        <v>-80.429610317195767</v>
      </c>
      <c r="C368" s="37">
        <f t="shared" si="61"/>
        <v>0</v>
      </c>
      <c r="D368" s="37">
        <f t="shared" si="51"/>
        <v>0</v>
      </c>
      <c r="E368" s="37">
        <f t="shared" si="52"/>
        <v>0</v>
      </c>
      <c r="F368" s="21">
        <f t="shared" si="53"/>
        <v>30</v>
      </c>
      <c r="G368" s="36">
        <v>157</v>
      </c>
      <c r="H368" s="21">
        <f t="shared" si="50"/>
        <v>5017</v>
      </c>
      <c r="I368" s="21">
        <f t="shared" si="54"/>
        <v>30</v>
      </c>
      <c r="J368" s="21">
        <f t="shared" si="55"/>
        <v>151</v>
      </c>
      <c r="K368" s="37">
        <f t="shared" si="56"/>
        <v>0</v>
      </c>
      <c r="L368" s="37">
        <f t="shared" si="57"/>
        <v>3830963.5604353892</v>
      </c>
      <c r="M368" s="37">
        <f t="shared" si="58"/>
        <v>-79584444.254834697</v>
      </c>
      <c r="N368" s="37" t="str">
        <f t="shared" si="59"/>
        <v/>
      </c>
      <c r="O368" s="17"/>
    </row>
    <row r="369" spans="1:15" x14ac:dyDescent="0.25">
      <c r="A369" s="4" t="s">
        <v>1417</v>
      </c>
      <c r="B369" s="37">
        <f t="shared" si="60"/>
        <v>-80.429610317195767</v>
      </c>
      <c r="C369" s="37">
        <f t="shared" si="61"/>
        <v>0</v>
      </c>
      <c r="D369" s="37">
        <f t="shared" si="51"/>
        <v>0</v>
      </c>
      <c r="E369" s="37">
        <f t="shared" si="52"/>
        <v>0</v>
      </c>
      <c r="F369" s="21">
        <f t="shared" si="53"/>
        <v>30</v>
      </c>
      <c r="G369" s="36">
        <v>158</v>
      </c>
      <c r="H369" s="21">
        <f t="shared" si="50"/>
        <v>5018</v>
      </c>
      <c r="I369" s="21">
        <f t="shared" si="54"/>
        <v>31</v>
      </c>
      <c r="J369" s="21">
        <f t="shared" si="55"/>
        <v>152</v>
      </c>
      <c r="K369" s="37">
        <f t="shared" si="56"/>
        <v>0</v>
      </c>
      <c r="L369" s="37">
        <f t="shared" si="57"/>
        <v>3830963.5604353892</v>
      </c>
      <c r="M369" s="37">
        <f t="shared" si="58"/>
        <v>-79584444.254834697</v>
      </c>
      <c r="N369" s="37" t="str">
        <f t="shared" si="59"/>
        <v/>
      </c>
      <c r="O369" s="17"/>
    </row>
    <row r="370" spans="1:15" x14ac:dyDescent="0.25">
      <c r="A370" s="4" t="s">
        <v>1418</v>
      </c>
      <c r="B370" s="37">
        <f t="shared" si="60"/>
        <v>-69.713335145811087</v>
      </c>
      <c r="C370" s="37">
        <f t="shared" si="61"/>
        <v>0</v>
      </c>
      <c r="D370" s="37">
        <f t="shared" si="51"/>
        <v>0</v>
      </c>
      <c r="E370" s="37">
        <f t="shared" si="52"/>
        <v>0</v>
      </c>
      <c r="F370" s="21">
        <f t="shared" si="53"/>
        <v>37</v>
      </c>
      <c r="G370" s="36">
        <v>159</v>
      </c>
      <c r="H370" s="21">
        <f t="shared" si="50"/>
        <v>6153</v>
      </c>
      <c r="I370" s="21">
        <f t="shared" si="54"/>
        <v>37</v>
      </c>
      <c r="J370" s="21">
        <f t="shared" si="55"/>
        <v>153</v>
      </c>
      <c r="K370" s="37">
        <f t="shared" si="56"/>
        <v>0</v>
      </c>
      <c r="L370" s="37">
        <f t="shared" si="57"/>
        <v>3830963.5604353892</v>
      </c>
      <c r="M370" s="37">
        <f t="shared" si="58"/>
        <v>-79584444.254834697</v>
      </c>
      <c r="N370" s="37" t="str">
        <f t="shared" si="59"/>
        <v/>
      </c>
      <c r="O370" s="17"/>
    </row>
    <row r="371" spans="1:15" x14ac:dyDescent="0.25">
      <c r="A371" s="4" t="s">
        <v>1419</v>
      </c>
      <c r="B371" s="37">
        <f t="shared" si="60"/>
        <v>-69.713335145811087</v>
      </c>
      <c r="C371" s="37">
        <f t="shared" si="61"/>
        <v>0</v>
      </c>
      <c r="D371" s="37">
        <f t="shared" si="51"/>
        <v>0</v>
      </c>
      <c r="E371" s="37">
        <f t="shared" si="52"/>
        <v>0</v>
      </c>
      <c r="F371" s="21">
        <f t="shared" si="53"/>
        <v>37</v>
      </c>
      <c r="G371" s="36">
        <v>160</v>
      </c>
      <c r="H371" s="21">
        <f t="shared" ref="H371:H402" si="62">F371*162+G371</f>
        <v>6154</v>
      </c>
      <c r="I371" s="21">
        <f t="shared" si="54"/>
        <v>38</v>
      </c>
      <c r="J371" s="21">
        <f t="shared" si="55"/>
        <v>154</v>
      </c>
      <c r="K371" s="37">
        <f t="shared" si="56"/>
        <v>0</v>
      </c>
      <c r="L371" s="37">
        <f t="shared" si="57"/>
        <v>3830963.5604353892</v>
      </c>
      <c r="M371" s="37">
        <f t="shared" si="58"/>
        <v>-79584444.254834697</v>
      </c>
      <c r="N371" s="37" t="str">
        <f t="shared" si="59"/>
        <v/>
      </c>
      <c r="O371" s="17"/>
    </row>
    <row r="372" spans="1:15" x14ac:dyDescent="0.25">
      <c r="A372" s="4" t="s">
        <v>1420</v>
      </c>
      <c r="B372" s="37">
        <f t="shared" si="60"/>
        <v>-52.684634050554031</v>
      </c>
      <c r="C372" s="37">
        <f t="shared" si="61"/>
        <v>0</v>
      </c>
      <c r="D372" s="37">
        <f t="shared" ref="D372:D403" si="63">IF(ISERROR(B372),C372,0)</f>
        <v>0</v>
      </c>
      <c r="E372" s="37">
        <f t="shared" si="52"/>
        <v>0</v>
      </c>
      <c r="F372" s="21">
        <f t="shared" si="53"/>
        <v>46</v>
      </c>
      <c r="G372" s="36">
        <v>161</v>
      </c>
      <c r="H372" s="21">
        <f t="shared" si="62"/>
        <v>7613</v>
      </c>
      <c r="I372" s="21">
        <f t="shared" ref="I372:I403" si="64">RANK(H372,H$212:H$373,1)</f>
        <v>46</v>
      </c>
      <c r="J372" s="21">
        <f t="shared" ref="J372:J403" si="65">MATCH(G372,I$212:I$373,0)</f>
        <v>155</v>
      </c>
      <c r="K372" s="37">
        <f t="shared" ref="K372:K403" si="66">INDEX(B$212:B$373,J372,1)</f>
        <v>0</v>
      </c>
      <c r="L372" s="37">
        <f t="shared" si="57"/>
        <v>3830963.5604353892</v>
      </c>
      <c r="M372" s="37">
        <f t="shared" si="58"/>
        <v>-79584444.254834697</v>
      </c>
      <c r="N372" s="37" t="str">
        <f t="shared" ref="N372:N403" si="67">IF((M371&gt;0)=(M372&gt;0),"",K372-M372/L371)</f>
        <v/>
      </c>
      <c r="O372" s="17"/>
    </row>
    <row r="373" spans="1:15" x14ac:dyDescent="0.25">
      <c r="A373" s="4" t="s">
        <v>1421</v>
      </c>
      <c r="B373" s="37">
        <f t="shared" si="60"/>
        <v>-52.684634050554031</v>
      </c>
      <c r="C373" s="37">
        <f t="shared" si="61"/>
        <v>0</v>
      </c>
      <c r="D373" s="37">
        <f t="shared" si="63"/>
        <v>0</v>
      </c>
      <c r="E373" s="37">
        <f t="shared" si="52"/>
        <v>0</v>
      </c>
      <c r="F373" s="21">
        <f t="shared" si="53"/>
        <v>46</v>
      </c>
      <c r="G373" s="36">
        <v>162</v>
      </c>
      <c r="H373" s="21">
        <f t="shared" si="62"/>
        <v>7614</v>
      </c>
      <c r="I373" s="21">
        <f t="shared" si="64"/>
        <v>47</v>
      </c>
      <c r="J373" s="21">
        <f t="shared" si="65"/>
        <v>156</v>
      </c>
      <c r="K373" s="37">
        <f t="shared" si="66"/>
        <v>0</v>
      </c>
      <c r="L373" s="37">
        <f t="shared" si="57"/>
        <v>3830963.5604353892</v>
      </c>
      <c r="M373" s="37">
        <f t="shared" si="58"/>
        <v>-79584444.254834697</v>
      </c>
      <c r="N373" s="37" t="str">
        <f t="shared" si="67"/>
        <v/>
      </c>
      <c r="O373" s="17"/>
    </row>
    <row r="375" spans="1:15" ht="21" customHeight="1" x14ac:dyDescent="0.3">
      <c r="A375" s="1" t="s">
        <v>1422</v>
      </c>
    </row>
    <row r="376" spans="1:15" x14ac:dyDescent="0.25">
      <c r="A376" s="2" t="s">
        <v>350</v>
      </c>
    </row>
    <row r="377" spans="1:15" x14ac:dyDescent="0.25">
      <c r="A377" s="32" t="s">
        <v>1423</v>
      </c>
    </row>
    <row r="378" spans="1:15" x14ac:dyDescent="0.25">
      <c r="A378" s="2" t="s">
        <v>1424</v>
      </c>
    </row>
    <row r="380" spans="1:15" x14ac:dyDescent="0.25">
      <c r="B380" s="15" t="s">
        <v>1425</v>
      </c>
    </row>
    <row r="381" spans="1:15" x14ac:dyDescent="0.25">
      <c r="A381" s="4" t="s">
        <v>1425</v>
      </c>
      <c r="B381" s="37">
        <f>MIN($N$211:$N$373)</f>
        <v>20.774001892565614</v>
      </c>
      <c r="C381" s="17"/>
    </row>
    <row r="383" spans="1:15" ht="21" customHeight="1" x14ac:dyDescent="0.3">
      <c r="A383" s="1" t="s">
        <v>1426</v>
      </c>
    </row>
    <row r="384" spans="1:15" x14ac:dyDescent="0.25">
      <c r="A384" s="2" t="s">
        <v>350</v>
      </c>
    </row>
    <row r="385" spans="1:1" x14ac:dyDescent="0.25">
      <c r="A385" s="32" t="s">
        <v>1044</v>
      </c>
    </row>
    <row r="386" spans="1:1" x14ac:dyDescent="0.25">
      <c r="A386" s="32" t="s">
        <v>1156</v>
      </c>
    </row>
    <row r="387" spans="1:1" x14ac:dyDescent="0.25">
      <c r="A387" s="32" t="s">
        <v>1427</v>
      </c>
    </row>
    <row r="388" spans="1:1" x14ac:dyDescent="0.25">
      <c r="A388" s="32" t="s">
        <v>1428</v>
      </c>
    </row>
    <row r="389" spans="1:1" x14ac:dyDescent="0.25">
      <c r="A389" s="32" t="s">
        <v>1429</v>
      </c>
    </row>
    <row r="390" spans="1:1" x14ac:dyDescent="0.25">
      <c r="A390" s="32" t="s">
        <v>1430</v>
      </c>
    </row>
    <row r="391" spans="1:1" x14ac:dyDescent="0.25">
      <c r="A391" s="32" t="s">
        <v>1431</v>
      </c>
    </row>
    <row r="392" spans="1:1" x14ac:dyDescent="0.25">
      <c r="A392" s="32" t="s">
        <v>1432</v>
      </c>
    </row>
    <row r="393" spans="1:1" x14ac:dyDescent="0.25">
      <c r="A393" s="32" t="s">
        <v>1433</v>
      </c>
    </row>
    <row r="394" spans="1:1" x14ac:dyDescent="0.25">
      <c r="A394" s="32" t="s">
        <v>1434</v>
      </c>
    </row>
    <row r="395" spans="1:1" x14ac:dyDescent="0.25">
      <c r="A395" s="32" t="s">
        <v>1165</v>
      </c>
    </row>
    <row r="396" spans="1:1" x14ac:dyDescent="0.25">
      <c r="A396" s="32" t="s">
        <v>1435</v>
      </c>
    </row>
    <row r="397" spans="1:1" x14ac:dyDescent="0.25">
      <c r="A397" s="32" t="s">
        <v>1167</v>
      </c>
    </row>
    <row r="398" spans="1:1" x14ac:dyDescent="0.25">
      <c r="A398" s="32" t="s">
        <v>1436</v>
      </c>
    </row>
    <row r="399" spans="1:1" x14ac:dyDescent="0.25">
      <c r="A399" s="32" t="s">
        <v>1437</v>
      </c>
    </row>
    <row r="400" spans="1:1" x14ac:dyDescent="0.25">
      <c r="A400" s="32" t="s">
        <v>1438</v>
      </c>
    </row>
    <row r="401" spans="1:9" x14ac:dyDescent="0.25">
      <c r="A401" s="32" t="s">
        <v>1439</v>
      </c>
    </row>
    <row r="402" spans="1:9" x14ac:dyDescent="0.25">
      <c r="A402" s="32" t="s">
        <v>1440</v>
      </c>
    </row>
    <row r="403" spans="1:9" x14ac:dyDescent="0.25">
      <c r="A403" s="32" t="s">
        <v>1441</v>
      </c>
    </row>
    <row r="404" spans="1:9" x14ac:dyDescent="0.25">
      <c r="A404" s="32" t="s">
        <v>1442</v>
      </c>
    </row>
    <row r="405" spans="1:9" x14ac:dyDescent="0.25">
      <c r="A405" s="32" t="s">
        <v>1443</v>
      </c>
    </row>
    <row r="406" spans="1:9" x14ac:dyDescent="0.25">
      <c r="A406" s="32" t="s">
        <v>1444</v>
      </c>
    </row>
    <row r="407" spans="1:9" x14ac:dyDescent="0.25">
      <c r="A407" s="32" t="s">
        <v>1445</v>
      </c>
    </row>
    <row r="408" spans="1:9" x14ac:dyDescent="0.25">
      <c r="A408" s="32" t="s">
        <v>1446</v>
      </c>
    </row>
    <row r="409" spans="1:9" x14ac:dyDescent="0.25">
      <c r="A409" s="32" t="s">
        <v>1447</v>
      </c>
    </row>
    <row r="410" spans="1:9" x14ac:dyDescent="0.25">
      <c r="A410" s="32" t="s">
        <v>1448</v>
      </c>
    </row>
    <row r="411" spans="1:9" x14ac:dyDescent="0.25">
      <c r="A411" s="32" t="s">
        <v>1449</v>
      </c>
    </row>
    <row r="412" spans="1:9" x14ac:dyDescent="0.25">
      <c r="A412" s="33" t="s">
        <v>353</v>
      </c>
      <c r="B412" s="33" t="s">
        <v>483</v>
      </c>
      <c r="C412" s="33" t="s">
        <v>483</v>
      </c>
      <c r="D412" s="33" t="s">
        <v>483</v>
      </c>
      <c r="E412" s="33" t="s">
        <v>483</v>
      </c>
      <c r="F412" s="33" t="s">
        <v>483</v>
      </c>
      <c r="G412" s="33" t="s">
        <v>483</v>
      </c>
      <c r="H412" s="33" t="s">
        <v>483</v>
      </c>
    </row>
    <row r="413" spans="1:9" ht="60" x14ac:dyDescent="0.25">
      <c r="A413" s="33" t="s">
        <v>356</v>
      </c>
      <c r="B413" s="33" t="s">
        <v>1450</v>
      </c>
      <c r="C413" s="33" t="s">
        <v>1451</v>
      </c>
      <c r="D413" s="33" t="s">
        <v>1452</v>
      </c>
      <c r="E413" s="33" t="s">
        <v>1453</v>
      </c>
      <c r="F413" s="33" t="s">
        <v>1454</v>
      </c>
      <c r="G413" s="33" t="s">
        <v>1455</v>
      </c>
      <c r="H413" s="33" t="s">
        <v>1456</v>
      </c>
    </row>
    <row r="415" spans="1:9" ht="30" x14ac:dyDescent="0.25">
      <c r="B415" s="15" t="s">
        <v>1457</v>
      </c>
      <c r="C415" s="15" t="s">
        <v>1458</v>
      </c>
      <c r="D415" s="15" t="s">
        <v>1459</v>
      </c>
      <c r="E415" s="15" t="s">
        <v>1460</v>
      </c>
      <c r="F415" s="15" t="s">
        <v>1461</v>
      </c>
      <c r="G415" s="15" t="s">
        <v>1462</v>
      </c>
      <c r="H415" s="15" t="s">
        <v>1463</v>
      </c>
    </row>
    <row r="416" spans="1:9" x14ac:dyDescent="0.25">
      <c r="A416" s="4" t="s">
        <v>171</v>
      </c>
      <c r="B416" s="37">
        <f>IF(Loads!$B46&lt;0,0,IF($B34*$B$381+Aggreg!$B238&gt;0,$B34*$B$381,0-Aggreg!$B238))</f>
        <v>0.51089372934665811</v>
      </c>
      <c r="C416" s="37">
        <f>IF(Loads!$B46&lt;0,0,IF($C34*$B$381+Aggreg!$C238&gt;0,$C34*$B$381,0-Aggreg!$C238))</f>
        <v>0</v>
      </c>
      <c r="D416" s="37">
        <f>IF(Loads!$B46&lt;0,0,IF($D34*$B$381+Aggreg!$D238&gt;0,$D34*$B$381,0-Aggreg!$D238))</f>
        <v>0</v>
      </c>
      <c r="E416" s="37">
        <f>IF(Loads!$B46&lt;0,0,IF($E34*$B$381+Aggreg!$E238&gt;0,$E34*$B$381,0-Aggreg!$E238))</f>
        <v>0</v>
      </c>
      <c r="F416" s="37">
        <f>IF(Loads!$B46&lt;0,0,IF($F34*$B$381+Aggreg!$F238&gt;0,$F34*$B$381,0-Aggreg!$F238))</f>
        <v>0</v>
      </c>
      <c r="G416" s="37">
        <f>IF(Loads!$B46&lt;0,0,IF($G34*$B$381+Aggreg!$G238&gt;0,$G34*$B$381,0-Aggreg!$G238))</f>
        <v>0</v>
      </c>
      <c r="H416" s="21">
        <f>0.01*Input!$F$58*(E416*Loads!$E302+F416*Loads!$F302)+10*(B416*Loads!$B302+C416*Loads!$C302+D416*Loads!$D302+G416*Loads!$G302)</f>
        <v>33940918.22882051</v>
      </c>
      <c r="I416" s="17"/>
    </row>
    <row r="417" spans="1:9" x14ac:dyDescent="0.25">
      <c r="A417" s="4" t="s">
        <v>172</v>
      </c>
      <c r="B417" s="37">
        <f>IF(Loads!$B47&lt;0,0,IF($B35*$B$381+Aggreg!$B239&gt;0,$B35*$B$381,0-Aggreg!$B239))</f>
        <v>0.61133764891440867</v>
      </c>
      <c r="C417" s="37">
        <f>IF(Loads!$B47&lt;0,0,IF($C35*$B$381+Aggreg!$C239&gt;0,$C35*$B$381,0-Aggreg!$C239))</f>
        <v>1.1636613957061068E-2</v>
      </c>
      <c r="D417" s="37">
        <f>IF(Loads!$B47&lt;0,0,IF($D35*$B$381+Aggreg!$D239&gt;0,$D35*$B$381,0-Aggreg!$D239))</f>
        <v>0</v>
      </c>
      <c r="E417" s="37">
        <f>IF(Loads!$B47&lt;0,0,IF($E35*$B$381+Aggreg!$E239&gt;0,$E35*$B$381,0-Aggreg!$E239))</f>
        <v>0</v>
      </c>
      <c r="F417" s="37">
        <f>IF(Loads!$B47&lt;0,0,IF($F35*$B$381+Aggreg!$F239&gt;0,$F35*$B$381,0-Aggreg!$F239))</f>
        <v>0</v>
      </c>
      <c r="G417" s="37">
        <f>IF(Loads!$B47&lt;0,0,IF($G35*$B$381+Aggreg!$G239&gt;0,$G35*$B$381,0-Aggreg!$G239))</f>
        <v>0</v>
      </c>
      <c r="H417" s="21">
        <f>0.01*Input!$F$58*(E417*Loads!$E303+F417*Loads!$F303)+10*(B417*Loads!$B303+C417*Loads!$C303+D417*Loads!$D303+G417*Loads!$G303)</f>
        <v>2958539.7018637201</v>
      </c>
      <c r="I417" s="17"/>
    </row>
    <row r="418" spans="1:9" x14ac:dyDescent="0.25">
      <c r="A418" s="4" t="s">
        <v>213</v>
      </c>
      <c r="B418" s="37">
        <f>IF(Loads!$B48&lt;0,0,IF($B36*$B$381+Aggreg!$B240&gt;0,$B36*$B$381,0-Aggreg!$B240))</f>
        <v>2.8403739376621304E-2</v>
      </c>
      <c r="C418" s="37">
        <f>IF(Loads!$B48&lt;0,0,IF($C36*$B$381+Aggreg!$C240&gt;0,$C36*$B$381,0-Aggreg!$C240))</f>
        <v>0</v>
      </c>
      <c r="D418" s="37">
        <f>IF(Loads!$B48&lt;0,0,IF($D36*$B$381+Aggreg!$D240&gt;0,$D36*$B$381,0-Aggreg!$D240))</f>
        <v>0</v>
      </c>
      <c r="E418" s="37">
        <f>IF(Loads!$B48&lt;0,0,IF($E36*$B$381+Aggreg!$E240&gt;0,$E36*$B$381,0-Aggreg!$E240))</f>
        <v>0</v>
      </c>
      <c r="F418" s="37">
        <f>IF(Loads!$B48&lt;0,0,IF($F36*$B$381+Aggreg!$F240&gt;0,$F36*$B$381,0-Aggreg!$F240))</f>
        <v>0</v>
      </c>
      <c r="G418" s="37">
        <f>IF(Loads!$B48&lt;0,0,IF($G36*$B$381+Aggreg!$G240&gt;0,$G36*$B$381,0-Aggreg!$G240))</f>
        <v>0</v>
      </c>
      <c r="H418" s="21">
        <f>0.01*Input!$F$58*(E418*Loads!$E304+F418*Loads!$F304)+10*(B418*Loads!$B304+C418*Loads!$C304+D418*Loads!$D304+G418*Loads!$G304)</f>
        <v>4731.4847030069832</v>
      </c>
      <c r="I418" s="17"/>
    </row>
    <row r="419" spans="1:9" x14ac:dyDescent="0.25">
      <c r="A419" s="4" t="s">
        <v>173</v>
      </c>
      <c r="B419" s="37">
        <f>IF(Loads!$B49&lt;0,0,IF($B37*$B$381+Aggreg!$B241&gt;0,$B37*$B$381,0-Aggreg!$B241))</f>
        <v>0.45831444874838378</v>
      </c>
      <c r="C419" s="37">
        <f>IF(Loads!$B49&lt;0,0,IF($C37*$B$381+Aggreg!$C241&gt;0,$C37*$B$381,0-Aggreg!$C241))</f>
        <v>0</v>
      </c>
      <c r="D419" s="37">
        <f>IF(Loads!$B49&lt;0,0,IF($D37*$B$381+Aggreg!$D241&gt;0,$D37*$B$381,0-Aggreg!$D241))</f>
        <v>0</v>
      </c>
      <c r="E419" s="37">
        <f>IF(Loads!$B49&lt;0,0,IF($E37*$B$381+Aggreg!$E241&gt;0,$E37*$B$381,0-Aggreg!$E241))</f>
        <v>0</v>
      </c>
      <c r="F419" s="37">
        <f>IF(Loads!$B49&lt;0,0,IF($F37*$B$381+Aggreg!$F241&gt;0,$F37*$B$381,0-Aggreg!$F241))</f>
        <v>0</v>
      </c>
      <c r="G419" s="37">
        <f>IF(Loads!$B49&lt;0,0,IF($G37*$B$381+Aggreg!$G241&gt;0,$G37*$B$381,0-Aggreg!$G241))</f>
        <v>0</v>
      </c>
      <c r="H419" s="21">
        <f>0.01*Input!$F$58*(E419*Loads!$E305+F419*Loads!$F305)+10*(B419*Loads!$B305+C419*Loads!$C305+D419*Loads!$D305+G419*Loads!$G305)</f>
        <v>7222822.0026825638</v>
      </c>
      <c r="I419" s="17"/>
    </row>
    <row r="420" spans="1:9" x14ac:dyDescent="0.25">
      <c r="A420" s="4" t="s">
        <v>174</v>
      </c>
      <c r="B420" s="37">
        <f>IF(Loads!$B50&lt;0,0,IF($B38*$B$381+Aggreg!$B242&gt;0,$B38*$B$381,0-Aggreg!$B242))</f>
        <v>0.47908529056110583</v>
      </c>
      <c r="C420" s="37">
        <f>IF(Loads!$B50&lt;0,0,IF($C38*$B$381+Aggreg!$C242&gt;0,$C38*$B$381,0-Aggreg!$C242))</f>
        <v>9.7592437946372942E-3</v>
      </c>
      <c r="D420" s="37">
        <f>IF(Loads!$B50&lt;0,0,IF($D38*$B$381+Aggreg!$D242&gt;0,$D38*$B$381,0-Aggreg!$D242))</f>
        <v>0</v>
      </c>
      <c r="E420" s="37">
        <f>IF(Loads!$B50&lt;0,0,IF($E38*$B$381+Aggreg!$E242&gt;0,$E38*$B$381,0-Aggreg!$E242))</f>
        <v>0</v>
      </c>
      <c r="F420" s="37">
        <f>IF(Loads!$B50&lt;0,0,IF($F38*$B$381+Aggreg!$F242&gt;0,$F38*$B$381,0-Aggreg!$F242))</f>
        <v>0</v>
      </c>
      <c r="G420" s="37">
        <f>IF(Loads!$B50&lt;0,0,IF($G38*$B$381+Aggreg!$G242&gt;0,$G38*$B$381,0-Aggreg!$G242))</f>
        <v>0</v>
      </c>
      <c r="H420" s="21">
        <f>0.01*Input!$F$58*(E420*Loads!$E306+F420*Loads!$F306)+10*(B420*Loads!$B306+C420*Loads!$C306+D420*Loads!$D306+G420*Loads!$G306)</f>
        <v>2747571.824282506</v>
      </c>
      <c r="I420" s="17"/>
    </row>
    <row r="421" spans="1:9" x14ac:dyDescent="0.25">
      <c r="A421" s="4" t="s">
        <v>214</v>
      </c>
      <c r="B421" s="37">
        <f>IF(Loads!$B51&lt;0,0,IF($B39*$B$381+Aggreg!$B243&gt;0,$B39*$B$381,0-Aggreg!$B243))</f>
        <v>1.5421958349284722E-2</v>
      </c>
      <c r="C421" s="37">
        <f>IF(Loads!$B51&lt;0,0,IF($C39*$B$381+Aggreg!$C243&gt;0,$C39*$B$381,0-Aggreg!$C243))</f>
        <v>0</v>
      </c>
      <c r="D421" s="37">
        <f>IF(Loads!$B51&lt;0,0,IF($D39*$B$381+Aggreg!$D243&gt;0,$D39*$B$381,0-Aggreg!$D243))</f>
        <v>0</v>
      </c>
      <c r="E421" s="37">
        <f>IF(Loads!$B51&lt;0,0,IF($E39*$B$381+Aggreg!$E243&gt;0,$E39*$B$381,0-Aggreg!$E243))</f>
        <v>0</v>
      </c>
      <c r="F421" s="37">
        <f>IF(Loads!$B51&lt;0,0,IF($F39*$B$381+Aggreg!$F243&gt;0,$F39*$B$381,0-Aggreg!$F243))</f>
        <v>0</v>
      </c>
      <c r="G421" s="37">
        <f>IF(Loads!$B51&lt;0,0,IF($G39*$B$381+Aggreg!$G243&gt;0,$G39*$B$381,0-Aggreg!$G243))</f>
        <v>0</v>
      </c>
      <c r="H421" s="21">
        <f>0.01*Input!$F$58*(E421*Loads!$E307+F421*Loads!$F307)+10*(B421*Loads!$B307+C421*Loads!$C307+D421*Loads!$D307+G421*Loads!$G307)</f>
        <v>2810.5078111876169</v>
      </c>
      <c r="I421" s="17"/>
    </row>
    <row r="422" spans="1:9" x14ac:dyDescent="0.25">
      <c r="A422" s="4" t="s">
        <v>175</v>
      </c>
      <c r="B422" s="37">
        <f>IF(Loads!$B52&lt;0,0,IF($B40*$B$381+Aggreg!$B244&gt;0,$B40*$B$381,0-Aggreg!$B244))</f>
        <v>0.39992443770389596</v>
      </c>
      <c r="C422" s="37">
        <f>IF(Loads!$B52&lt;0,0,IF($C40*$B$381+Aggreg!$C244&gt;0,$C40*$B$381,0-Aggreg!$C244))</f>
        <v>7.3861551936968304E-3</v>
      </c>
      <c r="D422" s="37">
        <f>IF(Loads!$B52&lt;0,0,IF($D40*$B$381+Aggreg!$D244&gt;0,$D40*$B$381,0-Aggreg!$D244))</f>
        <v>0</v>
      </c>
      <c r="E422" s="37">
        <f>IF(Loads!$B52&lt;0,0,IF($E40*$B$381+Aggreg!$E244&gt;0,$E40*$B$381,0-Aggreg!$E244))</f>
        <v>0</v>
      </c>
      <c r="F422" s="37">
        <f>IF(Loads!$B52&lt;0,0,IF($F40*$B$381+Aggreg!$F244&gt;0,$F40*$B$381,0-Aggreg!$F244))</f>
        <v>0</v>
      </c>
      <c r="G422" s="37">
        <f>IF(Loads!$B52&lt;0,0,IF($G40*$B$381+Aggreg!$G244&gt;0,$G40*$B$381,0-Aggreg!$G244))</f>
        <v>0</v>
      </c>
      <c r="H422" s="21">
        <f>0.01*Input!$F$58*(E422*Loads!$E308+F422*Loads!$F308)+10*(B422*Loads!$B308+C422*Loads!$C308+D422*Loads!$D308+G422*Loads!$G308)</f>
        <v>0</v>
      </c>
      <c r="I422" s="17"/>
    </row>
    <row r="423" spans="1:9" x14ac:dyDescent="0.25">
      <c r="A423" s="4" t="s">
        <v>176</v>
      </c>
      <c r="B423" s="37">
        <f>IF(Loads!$B53&lt;0,0,IF($B41*$B$381+Aggreg!$B245&gt;0,$B41*$B$381,0-Aggreg!$B245))</f>
        <v>0.37514208050028358</v>
      </c>
      <c r="C423" s="37">
        <f>IF(Loads!$B53&lt;0,0,IF($C41*$B$381+Aggreg!$C245&gt;0,$C41*$B$381,0-Aggreg!$C245))</f>
        <v>7.0359958173919438E-3</v>
      </c>
      <c r="D423" s="37">
        <f>IF(Loads!$B53&lt;0,0,IF($D41*$B$381+Aggreg!$D245&gt;0,$D41*$B$381,0-Aggreg!$D245))</f>
        <v>0</v>
      </c>
      <c r="E423" s="37">
        <f>IF(Loads!$B53&lt;0,0,IF($E41*$B$381+Aggreg!$E245&gt;0,$E41*$B$381,0-Aggreg!$E245))</f>
        <v>0</v>
      </c>
      <c r="F423" s="37">
        <f>IF(Loads!$B53&lt;0,0,IF($F41*$B$381+Aggreg!$F245&gt;0,$F41*$B$381,0-Aggreg!$F245))</f>
        <v>0</v>
      </c>
      <c r="G423" s="37">
        <f>IF(Loads!$B53&lt;0,0,IF($G41*$B$381+Aggreg!$G245&gt;0,$G41*$B$381,0-Aggreg!$G245))</f>
        <v>0</v>
      </c>
      <c r="H423" s="21">
        <f>0.01*Input!$F$58*(E423*Loads!$E309+F423*Loads!$F309)+10*(B423*Loads!$B309+C423*Loads!$C309+D423*Loads!$D309+G423*Loads!$G309)</f>
        <v>0</v>
      </c>
      <c r="I423" s="17"/>
    </row>
    <row r="424" spans="1:9" x14ac:dyDescent="0.25">
      <c r="A424" s="4" t="s">
        <v>192</v>
      </c>
      <c r="B424" s="37">
        <f>IF(Loads!$B54&lt;0,0,IF($B42*$B$381+Aggreg!$B246&gt;0,$B42*$B$381,0-Aggreg!$B246))</f>
        <v>0.45986890570775052</v>
      </c>
      <c r="C424" s="37">
        <f>IF(Loads!$B54&lt;0,0,IF($C42*$B$381+Aggreg!$C246&gt;0,$C42*$B$381,0-Aggreg!$C246))</f>
        <v>8.7748104844488656E-3</v>
      </c>
      <c r="D424" s="37">
        <f>IF(Loads!$B54&lt;0,0,IF($D42*$B$381+Aggreg!$D246&gt;0,$D42*$B$381,0-Aggreg!$D246))</f>
        <v>0</v>
      </c>
      <c r="E424" s="37">
        <f>IF(Loads!$B54&lt;0,0,IF($E42*$B$381+Aggreg!$E246&gt;0,$E42*$B$381,0-Aggreg!$E246))</f>
        <v>0</v>
      </c>
      <c r="F424" s="37">
        <f>IF(Loads!$B54&lt;0,0,IF($F42*$B$381+Aggreg!$F246&gt;0,$F42*$B$381,0-Aggreg!$F246))</f>
        <v>0</v>
      </c>
      <c r="G424" s="37">
        <f>IF(Loads!$B54&lt;0,0,IF($G42*$B$381+Aggreg!$G246&gt;0,$G42*$B$381,0-Aggreg!$G246))</f>
        <v>0</v>
      </c>
      <c r="H424" s="21">
        <f>0.01*Input!$F$58*(E424*Loads!$E310+F424*Loads!$F310)+10*(B424*Loads!$B310+C424*Loads!$C310+D424*Loads!$D310+G424*Loads!$G310)</f>
        <v>26444.231800403199</v>
      </c>
      <c r="I424" s="17"/>
    </row>
    <row r="425" spans="1:9" x14ac:dyDescent="0.25">
      <c r="A425" s="4" t="s">
        <v>177</v>
      </c>
      <c r="B425" s="37">
        <f>IF(Loads!$B55&lt;0,0,IF($B43*$B$381+Aggreg!$B247&gt;0,$B43*$B$381,0-Aggreg!$B247))</f>
        <v>3.7128411162443777</v>
      </c>
      <c r="C425" s="37">
        <f>IF(Loads!$B55&lt;0,0,IF($C43*$B$381+Aggreg!$C247&gt;0,$C43*$B$381,0-Aggreg!$C247))</f>
        <v>0.11828203723583841</v>
      </c>
      <c r="D425" s="37">
        <f>IF(Loads!$B55&lt;0,0,IF($D43*$B$381+Aggreg!$D247&gt;0,$D43*$B$381,0-Aggreg!$D247))</f>
        <v>1.0457896473389764E-2</v>
      </c>
      <c r="E425" s="37">
        <f>IF(Loads!$B55&lt;0,0,IF($E43*$B$381+Aggreg!$E247&gt;0,$E43*$B$381,0-Aggreg!$E247))</f>
        <v>0</v>
      </c>
      <c r="F425" s="37">
        <f>IF(Loads!$B55&lt;0,0,IF($F43*$B$381+Aggreg!$F247&gt;0,$F43*$B$381,0-Aggreg!$F247))</f>
        <v>0</v>
      </c>
      <c r="G425" s="37">
        <f>IF(Loads!$B55&lt;0,0,IF($G43*$B$381+Aggreg!$G247&gt;0,$G43*$B$381,0-Aggreg!$G247))</f>
        <v>0</v>
      </c>
      <c r="H425" s="21">
        <f>0.01*Input!$F$58*(E425*Loads!$E311+F425*Loads!$F311)+10*(B425*Loads!$B311+C425*Loads!$C311+D425*Loads!$D311+G425*Loads!$G311)</f>
        <v>0</v>
      </c>
      <c r="I425" s="17"/>
    </row>
    <row r="426" spans="1:9" x14ac:dyDescent="0.25">
      <c r="A426" s="4" t="s">
        <v>178</v>
      </c>
      <c r="B426" s="37">
        <f>IF(Loads!$B56&lt;0,0,IF($B44*$B$381+Aggreg!$B248&gt;0,$B44*$B$381,0-Aggreg!$B248))</f>
        <v>3.6125989807278542</v>
      </c>
      <c r="C426" s="37">
        <f>IF(Loads!$B56&lt;0,0,IF($C44*$B$381+Aggreg!$C248&gt;0,$C44*$B$381,0-Aggreg!$C248))</f>
        <v>0.1150885679667417</v>
      </c>
      <c r="D426" s="37">
        <f>IF(Loads!$B56&lt;0,0,IF($D44*$B$381+Aggreg!$D248&gt;0,$D44*$B$381,0-Aggreg!$D248))</f>
        <v>1.01755461538685E-2</v>
      </c>
      <c r="E426" s="37">
        <f>IF(Loads!$B56&lt;0,0,IF($E44*$B$381+Aggreg!$E248&gt;0,$E44*$B$381,0-Aggreg!$E248))</f>
        <v>0</v>
      </c>
      <c r="F426" s="37">
        <f>IF(Loads!$B56&lt;0,0,IF($F44*$B$381+Aggreg!$F248&gt;0,$F44*$B$381,0-Aggreg!$F248))</f>
        <v>0</v>
      </c>
      <c r="G426" s="37">
        <f>IF(Loads!$B56&lt;0,0,IF($G44*$B$381+Aggreg!$G248&gt;0,$G44*$B$381,0-Aggreg!$G248))</f>
        <v>0</v>
      </c>
      <c r="H426" s="21">
        <f>0.01*Input!$F$58*(E426*Loads!$E312+F426*Loads!$F312)+10*(B426*Loads!$B312+C426*Loads!$C312+D426*Loads!$D312+G426*Loads!$G312)</f>
        <v>2275999.9475043025</v>
      </c>
      <c r="I426" s="17"/>
    </row>
    <row r="427" spans="1:9" x14ac:dyDescent="0.25">
      <c r="A427" s="4" t="s">
        <v>179</v>
      </c>
      <c r="B427" s="37">
        <f>IF(Loads!$B57&lt;0,0,IF($B45*$B$381+Aggreg!$B249&gt;0,$B45*$B$381,0-Aggreg!$B249))</f>
        <v>3.1431288502202182</v>
      </c>
      <c r="C427" s="37">
        <f>IF(Loads!$B57&lt;0,0,IF($C45*$B$381+Aggreg!$C249&gt;0,$C45*$B$381,0-Aggreg!$C249))</f>
        <v>0.10013239782122571</v>
      </c>
      <c r="D427" s="37">
        <f>IF(Loads!$B57&lt;0,0,IF($D45*$B$381+Aggreg!$D249&gt;0,$D45*$B$381,0-Aggreg!$D249))</f>
        <v>8.8531976157861878E-3</v>
      </c>
      <c r="E427" s="37">
        <f>IF(Loads!$B57&lt;0,0,IF($E45*$B$381+Aggreg!$E249&gt;0,$E45*$B$381,0-Aggreg!$E249))</f>
        <v>0</v>
      </c>
      <c r="F427" s="37">
        <f>IF(Loads!$B57&lt;0,0,IF($F45*$B$381+Aggreg!$F249&gt;0,$F45*$B$381,0-Aggreg!$F249))</f>
        <v>0</v>
      </c>
      <c r="G427" s="37">
        <f>IF(Loads!$B57&lt;0,0,IF($G45*$B$381+Aggreg!$G249&gt;0,$G45*$B$381,0-Aggreg!$G249))</f>
        <v>6.7411060683693597E-2</v>
      </c>
      <c r="H427" s="21">
        <f>0.01*Input!$F$58*(E427*Loads!$E313+F427*Loads!$F313)+10*(B427*Loads!$B313+C427*Loads!$C313+D427*Loads!$D313+G427*Loads!$G313)</f>
        <v>8900056.065430861</v>
      </c>
      <c r="I427" s="17"/>
    </row>
    <row r="428" spans="1:9" x14ac:dyDescent="0.25">
      <c r="A428" s="4" t="s">
        <v>180</v>
      </c>
      <c r="B428" s="37">
        <f>IF(Loads!$B58&lt;0,0,IF($B46*$B$381+Aggreg!$B250&gt;0,$B46*$B$381,0-Aggreg!$B250))</f>
        <v>2.9697729741612622</v>
      </c>
      <c r="C428" s="37">
        <f>IF(Loads!$B58&lt;0,0,IF($C46*$B$381+Aggreg!$C250&gt;0,$C46*$B$381,0-Aggreg!$C250))</f>
        <v>9.4609703597294606E-2</v>
      </c>
      <c r="D428" s="37">
        <f>IF(Loads!$B58&lt;0,0,IF($D46*$B$381+Aggreg!$D250&gt;0,$D46*$B$381,0-Aggreg!$D250))</f>
        <v>8.3649090658273959E-3</v>
      </c>
      <c r="E428" s="37">
        <f>IF(Loads!$B58&lt;0,0,IF($E46*$B$381+Aggreg!$E250&gt;0,$E46*$B$381,0-Aggreg!$E250))</f>
        <v>0</v>
      </c>
      <c r="F428" s="37">
        <f>IF(Loads!$B58&lt;0,0,IF($F46*$B$381+Aggreg!$F250&gt;0,$F46*$B$381,0-Aggreg!$F250))</f>
        <v>0</v>
      </c>
      <c r="G428" s="37">
        <f>IF(Loads!$B58&lt;0,0,IF($G46*$B$381+Aggreg!$G250&gt;0,$G46*$B$381,0-Aggreg!$G250))</f>
        <v>6.1561643569962292E-2</v>
      </c>
      <c r="H428" s="21">
        <f>0.01*Input!$F$58*(E428*Loads!$E314+F428*Loads!$F314)+10*(B428*Loads!$B314+C428*Loads!$C314+D428*Loads!$D314+G428*Loads!$G314)</f>
        <v>4658554.761416126</v>
      </c>
      <c r="I428" s="17"/>
    </row>
    <row r="429" spans="1:9" x14ac:dyDescent="0.25">
      <c r="A429" s="4" t="s">
        <v>193</v>
      </c>
      <c r="B429" s="37">
        <f>IF(Loads!$B59&lt;0,0,IF($B47*$B$381+Aggreg!$B251&gt;0,$B47*$B$381,0-Aggreg!$B251))</f>
        <v>2.6491136105085675</v>
      </c>
      <c r="C429" s="37">
        <f>IF(Loads!$B59&lt;0,0,IF($C47*$B$381+Aggreg!$C251&gt;0,$C47*$B$381,0-Aggreg!$C251))</f>
        <v>8.4394280527978469E-2</v>
      </c>
      <c r="D429" s="37">
        <f>IF(Loads!$B59&lt;0,0,IF($D47*$B$381+Aggreg!$D251&gt;0,$D47*$B$381,0-Aggreg!$D251))</f>
        <v>7.461713285746456E-3</v>
      </c>
      <c r="E429" s="37">
        <f>IF(Loads!$B59&lt;0,0,IF($E47*$B$381+Aggreg!$E251&gt;0,$E47*$B$381,0-Aggreg!$E251))</f>
        <v>0</v>
      </c>
      <c r="F429" s="37">
        <f>IF(Loads!$B59&lt;0,0,IF($F47*$B$381+Aggreg!$F251&gt;0,$F47*$B$381,0-Aggreg!$F251))</f>
        <v>0</v>
      </c>
      <c r="G429" s="37">
        <f>IF(Loads!$B59&lt;0,0,IF($G47*$B$381+Aggreg!$G251&gt;0,$G47*$B$381,0-Aggreg!$G251))</f>
        <v>5.203428211083936E-2</v>
      </c>
      <c r="H429" s="21">
        <f>0.01*Input!$F$58*(E429*Loads!$E315+F429*Loads!$F315)+10*(B429*Loads!$B315+C429*Loads!$C315+D429*Loads!$D315+G429*Loads!$G315)</f>
        <v>15404540.54052224</v>
      </c>
      <c r="I429" s="17"/>
    </row>
    <row r="430" spans="1:9" x14ac:dyDescent="0.25">
      <c r="A430" s="4" t="s">
        <v>215</v>
      </c>
      <c r="B430" s="37">
        <f>IF(Loads!$B60&lt;0,0,IF($B48*$B$381+Aggreg!$B252&gt;0,$B48*$B$381,0-Aggreg!$B252))</f>
        <v>0.28816135908580476</v>
      </c>
      <c r="C430" s="37">
        <f>IF(Loads!$B60&lt;0,0,IF($C48*$B$381+Aggreg!$C252&gt;0,$C48*$B$381,0-Aggreg!$C252))</f>
        <v>0</v>
      </c>
      <c r="D430" s="37">
        <f>IF(Loads!$B60&lt;0,0,IF($D48*$B$381+Aggreg!$D252&gt;0,$D48*$B$381,0-Aggreg!$D252))</f>
        <v>0</v>
      </c>
      <c r="E430" s="37">
        <f>IF(Loads!$B60&lt;0,0,IF($E48*$B$381+Aggreg!$E252&gt;0,$E48*$B$381,0-Aggreg!$E252))</f>
        <v>0</v>
      </c>
      <c r="F430" s="37">
        <f>IF(Loads!$B60&lt;0,0,IF($F48*$B$381+Aggreg!$F252&gt;0,$F48*$B$381,0-Aggreg!$F252))</f>
        <v>0</v>
      </c>
      <c r="G430" s="37">
        <f>IF(Loads!$B60&lt;0,0,IF($G48*$B$381+Aggreg!$G252&gt;0,$G48*$B$381,0-Aggreg!$G252))</f>
        <v>0</v>
      </c>
      <c r="H430" s="21">
        <f>0.01*Input!$F$58*(E430*Loads!$E316+F430*Loads!$F316)+10*(B430*Loads!$B316+C430*Loads!$C316+D430*Loads!$D316+G430*Loads!$G316)</f>
        <v>105672.32257138987</v>
      </c>
      <c r="I430" s="17"/>
    </row>
    <row r="431" spans="1:9" x14ac:dyDescent="0.25">
      <c r="A431" s="4" t="s">
        <v>216</v>
      </c>
      <c r="B431" s="37">
        <f>IF(Loads!$B61&lt;0,0,IF($B49*$B$381+Aggreg!$B253&gt;0,$B49*$B$381,0-Aggreg!$B253))</f>
        <v>0.44957425090468056</v>
      </c>
      <c r="C431" s="37">
        <f>IF(Loads!$B61&lt;0,0,IF($C49*$B$381+Aggreg!$C253&gt;0,$C49*$B$381,0-Aggreg!$C253))</f>
        <v>0</v>
      </c>
      <c r="D431" s="37">
        <f>IF(Loads!$B61&lt;0,0,IF($D49*$B$381+Aggreg!$D253&gt;0,$D49*$B$381,0-Aggreg!$D253))</f>
        <v>0</v>
      </c>
      <c r="E431" s="37">
        <f>IF(Loads!$B61&lt;0,0,IF($E49*$B$381+Aggreg!$E253&gt;0,$E49*$B$381,0-Aggreg!$E253))</f>
        <v>0</v>
      </c>
      <c r="F431" s="37">
        <f>IF(Loads!$B61&lt;0,0,IF($F49*$B$381+Aggreg!$F253&gt;0,$F49*$B$381,0-Aggreg!$F253))</f>
        <v>0</v>
      </c>
      <c r="G431" s="37">
        <f>IF(Loads!$B61&lt;0,0,IF($G49*$B$381+Aggreg!$G253&gt;0,$G49*$B$381,0-Aggreg!$G253))</f>
        <v>0</v>
      </c>
      <c r="H431" s="21">
        <f>0.01*Input!$F$58*(E431*Loads!$E317+F431*Loads!$F317)+10*(B431*Loads!$B317+C431*Loads!$C317+D431*Loads!$D317+G431*Loads!$G317)</f>
        <v>45627.617933522226</v>
      </c>
      <c r="I431" s="17"/>
    </row>
    <row r="432" spans="1:9" x14ac:dyDescent="0.25">
      <c r="A432" s="4" t="s">
        <v>217</v>
      </c>
      <c r="B432" s="37">
        <f>IF(Loads!$B62&lt;0,0,IF($B50*$B$381+Aggreg!$B254&gt;0,$B50*$B$381,0-Aggreg!$B254))</f>
        <v>0.85393971020657833</v>
      </c>
      <c r="C432" s="37">
        <f>IF(Loads!$B62&lt;0,0,IF($C50*$B$381+Aggreg!$C254&gt;0,$C50*$B$381,0-Aggreg!$C254))</f>
        <v>0</v>
      </c>
      <c r="D432" s="37">
        <f>IF(Loads!$B62&lt;0,0,IF($D50*$B$381+Aggreg!$D254&gt;0,$D50*$B$381,0-Aggreg!$D254))</f>
        <v>0</v>
      </c>
      <c r="E432" s="37">
        <f>IF(Loads!$B62&lt;0,0,IF($E50*$B$381+Aggreg!$E254&gt;0,$E50*$B$381,0-Aggreg!$E254))</f>
        <v>0</v>
      </c>
      <c r="F432" s="37">
        <f>IF(Loads!$B62&lt;0,0,IF($F50*$B$381+Aggreg!$F254&gt;0,$F50*$B$381,0-Aggreg!$F254))</f>
        <v>0</v>
      </c>
      <c r="G432" s="37">
        <f>IF(Loads!$B62&lt;0,0,IF($G50*$B$381+Aggreg!$G254&gt;0,$G50*$B$381,0-Aggreg!$G254))</f>
        <v>0</v>
      </c>
      <c r="H432" s="21">
        <f>0.01*Input!$F$58*(E432*Loads!$E318+F432*Loads!$F318)+10*(B432*Loads!$B318+C432*Loads!$C318+D432*Loads!$D318+G432*Loads!$G318)</f>
        <v>2269.8416650457211</v>
      </c>
      <c r="I432" s="17"/>
    </row>
    <row r="433" spans="1:9" x14ac:dyDescent="0.25">
      <c r="A433" s="4" t="s">
        <v>218</v>
      </c>
      <c r="B433" s="37">
        <f>IF(Loads!$B63&lt;0,0,IF($B51*$B$381+Aggreg!$B255&gt;0,$B51*$B$381,0-Aggreg!$B255))</f>
        <v>0.19208698771034191</v>
      </c>
      <c r="C433" s="37">
        <f>IF(Loads!$B63&lt;0,0,IF($C51*$B$381+Aggreg!$C255&gt;0,$C51*$B$381,0-Aggreg!$C255))</f>
        <v>0</v>
      </c>
      <c r="D433" s="37">
        <f>IF(Loads!$B63&lt;0,0,IF($D51*$B$381+Aggreg!$D255&gt;0,$D51*$B$381,0-Aggreg!$D255))</f>
        <v>0</v>
      </c>
      <c r="E433" s="37">
        <f>IF(Loads!$B63&lt;0,0,IF($E51*$B$381+Aggreg!$E255&gt;0,$E51*$B$381,0-Aggreg!$E255))</f>
        <v>0</v>
      </c>
      <c r="F433" s="37">
        <f>IF(Loads!$B63&lt;0,0,IF($F51*$B$381+Aggreg!$F255&gt;0,$F51*$B$381,0-Aggreg!$F255))</f>
        <v>0</v>
      </c>
      <c r="G433" s="37">
        <f>IF(Loads!$B63&lt;0,0,IF($G51*$B$381+Aggreg!$G255&gt;0,$G51*$B$381,0-Aggreg!$G255))</f>
        <v>0</v>
      </c>
      <c r="H433" s="21">
        <f>0.01*Input!$F$58*(E433*Loads!$E319+F433*Loads!$F319)+10*(B433*Loads!$B319+C433*Loads!$C319+D433*Loads!$D319+G433*Loads!$G319)</f>
        <v>0.15105312557580289</v>
      </c>
      <c r="I433" s="17"/>
    </row>
    <row r="434" spans="1:9" x14ac:dyDescent="0.25">
      <c r="A434" s="4" t="s">
        <v>219</v>
      </c>
      <c r="B434" s="37">
        <f>IF(Loads!$B64&lt;0,0,IF($B52*$B$381+Aggreg!$B256&gt;0,$B52*$B$381,0-Aggreg!$B256))</f>
        <v>8.7135178660147314</v>
      </c>
      <c r="C434" s="37">
        <f>IF(Loads!$B64&lt;0,0,IF($C52*$B$381+Aggreg!$C256&gt;0,$C52*$B$381,0-Aggreg!$C256))</f>
        <v>7.5928374434802645E-2</v>
      </c>
      <c r="D434" s="37">
        <f>IF(Loads!$B64&lt;0,0,IF($D52*$B$381+Aggreg!$D256&gt;0,$D52*$B$381,0-Aggreg!$D256))</f>
        <v>8.116542380301961E-3</v>
      </c>
      <c r="E434" s="37">
        <f>IF(Loads!$B64&lt;0,0,IF($E52*$B$381+Aggreg!$E256&gt;0,$E52*$B$381,0-Aggreg!$E256))</f>
        <v>0</v>
      </c>
      <c r="F434" s="37">
        <f>IF(Loads!$B64&lt;0,0,IF($F52*$B$381+Aggreg!$F256&gt;0,$F52*$B$381,0-Aggreg!$F256))</f>
        <v>0</v>
      </c>
      <c r="G434" s="37">
        <f>IF(Loads!$B64&lt;0,0,IF($G52*$B$381+Aggreg!$G256&gt;0,$G52*$B$381,0-Aggreg!$G256))</f>
        <v>0</v>
      </c>
      <c r="H434" s="21">
        <f>0.01*Input!$F$58*(E434*Loads!$E320+F434*Loads!$F320)+10*(B434*Loads!$B320+C434*Loads!$C320+D434*Loads!$D320+G434*Loads!$G320)</f>
        <v>1287885.0247741647</v>
      </c>
      <c r="I434" s="17"/>
    </row>
    <row r="435" spans="1:9" x14ac:dyDescent="0.25">
      <c r="A435" s="4" t="s">
        <v>181</v>
      </c>
      <c r="B435" s="37">
        <f>IF(Loads!$B65&lt;0,0,IF($B53*$B$381+Aggreg!$B257&gt;0,$B53*$B$381,0-Aggreg!$B257))</f>
        <v>0</v>
      </c>
      <c r="C435" s="37">
        <f>IF(Loads!$B65&lt;0,0,IF($C53*$B$381+Aggreg!$C257&gt;0,$C53*$B$381,0-Aggreg!$C257))</f>
        <v>0</v>
      </c>
      <c r="D435" s="37">
        <f>IF(Loads!$B65&lt;0,0,IF($D53*$B$381+Aggreg!$D257&gt;0,$D53*$B$381,0-Aggreg!$D257))</f>
        <v>0</v>
      </c>
      <c r="E435" s="37">
        <f>IF(Loads!$B65&lt;0,0,IF($E53*$B$381+Aggreg!$E257&gt;0,$E53*$B$381,0-Aggreg!$E257))</f>
        <v>0</v>
      </c>
      <c r="F435" s="37">
        <f>IF(Loads!$B65&lt;0,0,IF($F53*$B$381+Aggreg!$F257&gt;0,$F53*$B$381,0-Aggreg!$F257))</f>
        <v>0</v>
      </c>
      <c r="G435" s="37">
        <f>IF(Loads!$B65&lt;0,0,IF($G53*$B$381+Aggreg!$G257&gt;0,$G53*$B$381,0-Aggreg!$G257))</f>
        <v>0</v>
      </c>
      <c r="H435" s="21">
        <f>0.01*Input!$F$58*(E435*Loads!$E321+F435*Loads!$F321)+10*(B435*Loads!$B321+C435*Loads!$C321+D435*Loads!$D321+G435*Loads!$G321)</f>
        <v>0</v>
      </c>
      <c r="I435" s="17"/>
    </row>
    <row r="436" spans="1:9" x14ac:dyDescent="0.25">
      <c r="A436" s="4" t="s">
        <v>182</v>
      </c>
      <c r="B436" s="37">
        <f>IF(Loads!$B66&lt;0,0,IF($B54*$B$381+Aggreg!$B258&gt;0,$B54*$B$381,0-Aggreg!$B258))</f>
        <v>0</v>
      </c>
      <c r="C436" s="37">
        <f>IF(Loads!$B66&lt;0,0,IF($C54*$B$381+Aggreg!$C258&gt;0,$C54*$B$381,0-Aggreg!$C258))</f>
        <v>0</v>
      </c>
      <c r="D436" s="37">
        <f>IF(Loads!$B66&lt;0,0,IF($D54*$B$381+Aggreg!$D258&gt;0,$D54*$B$381,0-Aggreg!$D258))</f>
        <v>0</v>
      </c>
      <c r="E436" s="37">
        <f>IF(Loads!$B66&lt;0,0,IF($E54*$B$381+Aggreg!$E258&gt;0,$E54*$B$381,0-Aggreg!$E258))</f>
        <v>0</v>
      </c>
      <c r="F436" s="37">
        <f>IF(Loads!$B66&lt;0,0,IF($F54*$B$381+Aggreg!$F258&gt;0,$F54*$B$381,0-Aggreg!$F258))</f>
        <v>0</v>
      </c>
      <c r="G436" s="37">
        <f>IF(Loads!$B66&lt;0,0,IF($G54*$B$381+Aggreg!$G258&gt;0,$G54*$B$381,0-Aggreg!$G258))</f>
        <v>0</v>
      </c>
      <c r="H436" s="21">
        <f>0.01*Input!$F$58*(E436*Loads!$E322+F436*Loads!$F322)+10*(B436*Loads!$B322+C436*Loads!$C322+D436*Loads!$D322+G436*Loads!$G322)</f>
        <v>0</v>
      </c>
      <c r="I436" s="17"/>
    </row>
    <row r="437" spans="1:9" x14ac:dyDescent="0.25">
      <c r="A437" s="4" t="s">
        <v>183</v>
      </c>
      <c r="B437" s="37">
        <f>IF(Loads!$B67&lt;0,0,IF($B55*$B$381+Aggreg!$B259&gt;0,$B55*$B$381,0-Aggreg!$B259))</f>
        <v>0</v>
      </c>
      <c r="C437" s="37">
        <f>IF(Loads!$B67&lt;0,0,IF($C55*$B$381+Aggreg!$C259&gt;0,$C55*$B$381,0-Aggreg!$C259))</f>
        <v>0</v>
      </c>
      <c r="D437" s="37">
        <f>IF(Loads!$B67&lt;0,0,IF($D55*$B$381+Aggreg!$D259&gt;0,$D55*$B$381,0-Aggreg!$D259))</f>
        <v>0</v>
      </c>
      <c r="E437" s="37">
        <f>IF(Loads!$B67&lt;0,0,IF($E55*$B$381+Aggreg!$E259&gt;0,$E55*$B$381,0-Aggreg!$E259))</f>
        <v>0</v>
      </c>
      <c r="F437" s="37">
        <f>IF(Loads!$B67&lt;0,0,IF($F55*$B$381+Aggreg!$F259&gt;0,$F55*$B$381,0-Aggreg!$F259))</f>
        <v>0</v>
      </c>
      <c r="G437" s="37">
        <f>IF(Loads!$B67&lt;0,0,IF($G55*$B$381+Aggreg!$G259&gt;0,$G55*$B$381,0-Aggreg!$G259))</f>
        <v>0</v>
      </c>
      <c r="H437" s="21">
        <f>0.01*Input!$F$58*(E437*Loads!$E323+F437*Loads!$F323)+10*(B437*Loads!$B323+C437*Loads!$C323+D437*Loads!$D323+G437*Loads!$G323)</f>
        <v>0</v>
      </c>
      <c r="I437" s="17"/>
    </row>
    <row r="438" spans="1:9" x14ac:dyDescent="0.25">
      <c r="A438" s="4" t="s">
        <v>184</v>
      </c>
      <c r="B438" s="37">
        <f>IF(Loads!$B68&lt;0,0,IF($B56*$B$381+Aggreg!$B260&gt;0,$B56*$B$381,0-Aggreg!$B260))</f>
        <v>0</v>
      </c>
      <c r="C438" s="37">
        <f>IF(Loads!$B68&lt;0,0,IF($C56*$B$381+Aggreg!$C260&gt;0,$C56*$B$381,0-Aggreg!$C260))</f>
        <v>0</v>
      </c>
      <c r="D438" s="37">
        <f>IF(Loads!$B68&lt;0,0,IF($D56*$B$381+Aggreg!$D260&gt;0,$D56*$B$381,0-Aggreg!$D260))</f>
        <v>0</v>
      </c>
      <c r="E438" s="37">
        <f>IF(Loads!$B68&lt;0,0,IF($E56*$B$381+Aggreg!$E260&gt;0,$E56*$B$381,0-Aggreg!$E260))</f>
        <v>0</v>
      </c>
      <c r="F438" s="37">
        <f>IF(Loads!$B68&lt;0,0,IF($F56*$B$381+Aggreg!$F260&gt;0,$F56*$B$381,0-Aggreg!$F260))</f>
        <v>0</v>
      </c>
      <c r="G438" s="37">
        <f>IF(Loads!$B68&lt;0,0,IF($G56*$B$381+Aggreg!$G260&gt;0,$G56*$B$381,0-Aggreg!$G260))</f>
        <v>0</v>
      </c>
      <c r="H438" s="21">
        <f>0.01*Input!$F$58*(E438*Loads!$E324+F438*Loads!$F324)+10*(B438*Loads!$B324+C438*Loads!$C324+D438*Loads!$D324+G438*Loads!$G324)</f>
        <v>0</v>
      </c>
      <c r="I438" s="17"/>
    </row>
    <row r="439" spans="1:9" x14ac:dyDescent="0.25">
      <c r="A439" s="4" t="s">
        <v>185</v>
      </c>
      <c r="B439" s="37">
        <f>IF(Loads!$B69&lt;0,0,IF($B57*$B$381+Aggreg!$B261&gt;0,$B57*$B$381,0-Aggreg!$B261))</f>
        <v>0</v>
      </c>
      <c r="C439" s="37">
        <f>IF(Loads!$B69&lt;0,0,IF($C57*$B$381+Aggreg!$C261&gt;0,$C57*$B$381,0-Aggreg!$C261))</f>
        <v>0</v>
      </c>
      <c r="D439" s="37">
        <f>IF(Loads!$B69&lt;0,0,IF($D57*$B$381+Aggreg!$D261&gt;0,$D57*$B$381,0-Aggreg!$D261))</f>
        <v>0</v>
      </c>
      <c r="E439" s="37">
        <f>IF(Loads!$B69&lt;0,0,IF($E57*$B$381+Aggreg!$E261&gt;0,$E57*$B$381,0-Aggreg!$E261))</f>
        <v>0</v>
      </c>
      <c r="F439" s="37">
        <f>IF(Loads!$B69&lt;0,0,IF($F57*$B$381+Aggreg!$F261&gt;0,$F57*$B$381,0-Aggreg!$F261))</f>
        <v>0</v>
      </c>
      <c r="G439" s="37">
        <f>IF(Loads!$B69&lt;0,0,IF($G57*$B$381+Aggreg!$G261&gt;0,$G57*$B$381,0-Aggreg!$G261))</f>
        <v>0</v>
      </c>
      <c r="H439" s="21">
        <f>0.01*Input!$F$58*(E439*Loads!$E325+F439*Loads!$F325)+10*(B439*Loads!$B325+C439*Loads!$C325+D439*Loads!$D325+G439*Loads!$G325)</f>
        <v>0</v>
      </c>
      <c r="I439" s="17"/>
    </row>
    <row r="440" spans="1:9" x14ac:dyDescent="0.25">
      <c r="A440" s="4" t="s">
        <v>186</v>
      </c>
      <c r="B440" s="37">
        <f>IF(Loads!$B70&lt;0,0,IF($B58*$B$381+Aggreg!$B262&gt;0,$B58*$B$381,0-Aggreg!$B262))</f>
        <v>0</v>
      </c>
      <c r="C440" s="37">
        <f>IF(Loads!$B70&lt;0,0,IF($C58*$B$381+Aggreg!$C262&gt;0,$C58*$B$381,0-Aggreg!$C262))</f>
        <v>0</v>
      </c>
      <c r="D440" s="37">
        <f>IF(Loads!$B70&lt;0,0,IF($D58*$B$381+Aggreg!$D262&gt;0,$D58*$B$381,0-Aggreg!$D262))</f>
        <v>0</v>
      </c>
      <c r="E440" s="37">
        <f>IF(Loads!$B70&lt;0,0,IF($E58*$B$381+Aggreg!$E262&gt;0,$E58*$B$381,0-Aggreg!$E262))</f>
        <v>0</v>
      </c>
      <c r="F440" s="37">
        <f>IF(Loads!$B70&lt;0,0,IF($F58*$B$381+Aggreg!$F262&gt;0,$F58*$B$381,0-Aggreg!$F262))</f>
        <v>0</v>
      </c>
      <c r="G440" s="37">
        <f>IF(Loads!$B70&lt;0,0,IF($G58*$B$381+Aggreg!$G262&gt;0,$G58*$B$381,0-Aggreg!$G262))</f>
        <v>0</v>
      </c>
      <c r="H440" s="21">
        <f>0.01*Input!$F$58*(E440*Loads!$E326+F440*Loads!$F326)+10*(B440*Loads!$B326+C440*Loads!$C326+D440*Loads!$D326+G440*Loads!$G326)</f>
        <v>0</v>
      </c>
      <c r="I440" s="17"/>
    </row>
    <row r="441" spans="1:9" x14ac:dyDescent="0.25">
      <c r="A441" s="4" t="s">
        <v>194</v>
      </c>
      <c r="B441" s="37">
        <f>IF(Loads!$B71&lt;0,0,IF($B59*$B$381+Aggreg!$B263&gt;0,$B59*$B$381,0-Aggreg!$B263))</f>
        <v>0</v>
      </c>
      <c r="C441" s="37">
        <f>IF(Loads!$B71&lt;0,0,IF($C59*$B$381+Aggreg!$C263&gt;0,$C59*$B$381,0-Aggreg!$C263))</f>
        <v>0</v>
      </c>
      <c r="D441" s="37">
        <f>IF(Loads!$B71&lt;0,0,IF($D59*$B$381+Aggreg!$D263&gt;0,$D59*$B$381,0-Aggreg!$D263))</f>
        <v>0</v>
      </c>
      <c r="E441" s="37">
        <f>IF(Loads!$B71&lt;0,0,IF($E59*$B$381+Aggreg!$E263&gt;0,$E59*$B$381,0-Aggreg!$E263))</f>
        <v>0</v>
      </c>
      <c r="F441" s="37">
        <f>IF(Loads!$B71&lt;0,0,IF($F59*$B$381+Aggreg!$F263&gt;0,$F59*$B$381,0-Aggreg!$F263))</f>
        <v>0</v>
      </c>
      <c r="G441" s="37">
        <f>IF(Loads!$B71&lt;0,0,IF($G59*$B$381+Aggreg!$G263&gt;0,$G59*$B$381,0-Aggreg!$G263))</f>
        <v>0</v>
      </c>
      <c r="H441" s="21">
        <f>0.01*Input!$F$58*(E441*Loads!$E327+F441*Loads!$F327)+10*(B441*Loads!$B327+C441*Loads!$C327+D441*Loads!$D327+G441*Loads!$G327)</f>
        <v>0</v>
      </c>
      <c r="I441" s="17"/>
    </row>
    <row r="442" spans="1:9" x14ac:dyDescent="0.25">
      <c r="A442" s="4" t="s">
        <v>195</v>
      </c>
      <c r="B442" s="37">
        <f>IF(Loads!$B72&lt;0,0,IF($B60*$B$381+Aggreg!$B264&gt;0,$B60*$B$381,0-Aggreg!$B264))</f>
        <v>0</v>
      </c>
      <c r="C442" s="37">
        <f>IF(Loads!$B72&lt;0,0,IF($C60*$B$381+Aggreg!$C264&gt;0,$C60*$B$381,0-Aggreg!$C264))</f>
        <v>0</v>
      </c>
      <c r="D442" s="37">
        <f>IF(Loads!$B72&lt;0,0,IF($D60*$B$381+Aggreg!$D264&gt;0,$D60*$B$381,0-Aggreg!$D264))</f>
        <v>0</v>
      </c>
      <c r="E442" s="37">
        <f>IF(Loads!$B72&lt;0,0,IF($E60*$B$381+Aggreg!$E264&gt;0,$E60*$B$381,0-Aggreg!$E264))</f>
        <v>0</v>
      </c>
      <c r="F442" s="37">
        <f>IF(Loads!$B72&lt;0,0,IF($F60*$B$381+Aggreg!$F264&gt;0,$F60*$B$381,0-Aggreg!$F264))</f>
        <v>0</v>
      </c>
      <c r="G442" s="37">
        <f>IF(Loads!$B72&lt;0,0,IF($G60*$B$381+Aggreg!$G264&gt;0,$G60*$B$381,0-Aggreg!$G264))</f>
        <v>0</v>
      </c>
      <c r="H442" s="21">
        <f>0.01*Input!$F$58*(E442*Loads!$E328+F442*Loads!$F328)+10*(B442*Loads!$B328+C442*Loads!$C328+D442*Loads!$D328+G442*Loads!$G328)</f>
        <v>0</v>
      </c>
      <c r="I442" s="17"/>
    </row>
  </sheetData>
  <sheetProtection sheet="1" objects="1" scenarios="1"/>
  <hyperlinks>
    <hyperlink ref="A6" location="'Yard'!B10" display="x1 = 2901. Unit cost at each level, £/kW/year (relative to system simultaneous maximum load)"/>
    <hyperlink ref="A14" location="'Scaler'!B9" display="x1 = 3501. Factor to scale to £1/kW at transmission exit level"/>
    <hyperlink ref="A23" location="'Aggreg'!B14" display="x1 = 3301. Unit rate 1 p/kWh (elements)"/>
    <hyperlink ref="A24" location="'Scaler'!B18" display="x2 = 3502. Applicability factor for £1/kW scaler"/>
    <hyperlink ref="A25" location="'Aggreg'!B52" display="x3 = 3302. Unit rate 2 p/kWh (elements)"/>
    <hyperlink ref="A26" location="'Aggreg'!B90" display="x4 = 3303. Unit rate 3 p/kWh (elements)"/>
    <hyperlink ref="A27" location="'Aggreg'!B128" display="x5 = 3304. Fixed charge p/MPAN/day (elements)"/>
    <hyperlink ref="A28" location="'Aggreg'!B162" display="x6 = 3305. Capacity charge p/kVA/day (elements)"/>
    <hyperlink ref="A29" location="'Aggreg'!B197" display="x7 = 3306. Reactive power charge p/kVArh (elements)"/>
    <hyperlink ref="A64" location="'Loads'!B45" display="x1 = 2302. Load coefficient"/>
    <hyperlink ref="A65" location="'Scaler'!B33" display="x2 = 3503. Unit rate 1 p/kWh scalable part (in Scalable elements of tariff components)"/>
    <hyperlink ref="A66" location="'Loads'!B301" display="x3 = 2305. Rate 1 units (MWh) (in Equivalent volume for each end user)"/>
    <hyperlink ref="A67" location="'Scaler'!C33" display="x4 = 3503. Unit rate 2 p/kWh scalable part (in Scalable elements of tariff components)"/>
    <hyperlink ref="A68" location="'Loads'!C301" display="x5 = 2305. Rate 2 units (MWh) (in Equivalent volume for each end user)"/>
    <hyperlink ref="A69" location="'Scaler'!D33" display="x6 = 3503. Unit rate 3 p/kWh scalable part (in Scalable elements of tariff components)"/>
    <hyperlink ref="A70" location="'Loads'!D301" display="x7 = 2305. Rate 3 units (MWh) (in Equivalent volume for each end user)"/>
    <hyperlink ref="A71" location="'Scaler'!E33" display="x8 = 3503. Fixed charge p/MPAN/day scalable part (in Scalable elements of tariff components)"/>
    <hyperlink ref="A72" location="'Input'!F57" display="x9 = 1010. Days in the charging year (in Financial and general assumptions)"/>
    <hyperlink ref="A73" location="'Loads'!E301" display="x10 = 2305. MPANs (in Equivalent volume for each end user)"/>
    <hyperlink ref="A74" location="'Scaler'!F33" display="x11 = 3503. Capacity charge p/kVA/day scalable part (in Scalable elements of tariff components)"/>
    <hyperlink ref="A75" location="'Loads'!F301" display="x12 = 2305. Import capacity (kVA) (in Equivalent volume for each end user)"/>
    <hyperlink ref="A76" location="'Scaler'!G33" display="x13 = 3503. Reactive power charge p/kVArh scalable part (in Scalable elements of tariff components)"/>
    <hyperlink ref="A77" location="'Loads'!G301" display="x14 = 2305. Reactive power units (MVArh) (in Equivalent volume for each end user)"/>
    <hyperlink ref="A112" location="'Scaler'!B33" display="x1 = 3503. Unit rate 1 p/kWh scalable part (in Scalable elements of tariff components)"/>
    <hyperlink ref="A113" location="'Aggreg'!B237" display="x2 = 3307. Unit rate 1 p/kWh (total) (in Summary of charges before revenue matching)"/>
    <hyperlink ref="A114" location="'Scaler'!C33" display="x3 = 3503. Unit rate 2 p/kWh scalable part (in Scalable elements of tariff components)"/>
    <hyperlink ref="A115" location="'Aggreg'!C237" display="x4 = 3307. Unit rate 2 p/kWh (total) (in Summary of charges before revenue matching)"/>
    <hyperlink ref="A116" location="'Scaler'!D33" display="x5 = 3503. Unit rate 3 p/kWh scalable part (in Scalable elements of tariff components)"/>
    <hyperlink ref="A117" location="'Aggreg'!D237" display="x6 = 3307. Unit rate 3 p/kWh (total) (in Summary of charges before revenue matching)"/>
    <hyperlink ref="A118" location="'Scaler'!E33" display="x7 = 3503. Fixed charge p/MPAN/day scalable part (in Scalable elements of tariff components)"/>
    <hyperlink ref="A119" location="'Aggreg'!E237" display="x8 = 3307. Fixed charge p/MPAN/day (total) (in Summary of charges before revenue matching)"/>
    <hyperlink ref="A120" location="'Scaler'!F33" display="x9 = 3503. Capacity charge p/kVA/day scalable part (in Scalable elements of tariff components)"/>
    <hyperlink ref="A121" location="'Aggreg'!F237" display="x10 = 3307. Capacity charge p/kVA/day (total) (in Summary of charges before revenue matching)"/>
    <hyperlink ref="A122" location="'Scaler'!G33" display="x11 = 3503. Reactive power charge p/kVArh scalable part (in Scalable elements of tariff components)"/>
    <hyperlink ref="A123" location="'Aggreg'!G237" display="x12 = 3307. Reactive power charge p/kVArh (in Summary of charges before revenue matching)"/>
    <hyperlink ref="A158" location="'Revenue'!C68" display="x1 = 3403. Revenue shortfall (surplus) £ (in Revenue surplus or shortfall)"/>
    <hyperlink ref="A159" location="'Scaler'!B81" display="x2 = 3504. Effect through Unit rate 1 p/kWh (in Marginal revenue effect of scaler)"/>
    <hyperlink ref="A160" location="'Scaler'!C81" display="x3 = 3504. Effect through Unit rate 2 p/kWh (in Marginal revenue effect of scaler)"/>
    <hyperlink ref="A161" location="'Scaler'!D81" display="x4 = 3504. Effect through Unit rate 3 p/kWh (in Marginal revenue effect of scaler)"/>
    <hyperlink ref="A162" location="'Scaler'!E81" display="x5 = 3504. Effect through Fixed charge p/MPAN/day (in Marginal revenue effect of scaler)"/>
    <hyperlink ref="A163" location="'Scaler'!F81" display="x6 = 3504. Effect through Capacity charge p/kVA/day (in Marginal revenue effect of scaler)"/>
    <hyperlink ref="A164" location="'Scaler'!G81" display="x7 = 3504. Effect through Reactive power charge p/kVArh (in Marginal revenue effect of scaler)"/>
    <hyperlink ref="A172" location="'Scaler'!B167" display="x1 = 3506. Constraint-free solution"/>
    <hyperlink ref="A173" location="'Scaler'!B127" display="x2 = 3505. Scaler threshold for Unit rate 1 p/kWh (in Scaler value at which the minimum is breached)"/>
    <hyperlink ref="A174" location="'Scaler'!C127" display="x3 = 3505. Scaler threshold for Unit rate 2 p/kWh (in Scaler value at which the minimum is breached)"/>
    <hyperlink ref="A175" location="'Scaler'!D127" display="x4 = 3505. Scaler threshold for Unit rate 3 p/kWh (in Scaler value at which the minimum is breached)"/>
    <hyperlink ref="A176" location="'Scaler'!E127" display="x5 = 3505. Scaler threshold for Fixed charge p/MPAN/day (in Scaler value at which the minimum is breached)"/>
    <hyperlink ref="A177" location="'Scaler'!F127" display="x6 = 3505. Scaler threshold for Capacity charge p/kVA/day (in Scaler value at which the minimum is breached)"/>
    <hyperlink ref="A178" location="'Scaler'!G127" display="x7 = 3505. Scaler threshold for Reactive power charge p/kVArh (in Scaler value at which the minimum is breached)"/>
    <hyperlink ref="A186" location="'Scaler'!B181" display="x1 = 3507. Starting point"/>
    <hyperlink ref="A187" location="'Scaler'!B81" display="x2 = 3504. Effect through Unit rate 1 p/kWh (in Marginal revenue effect of scaler)"/>
    <hyperlink ref="A188" location="'Scaler'!C81" display="x3 = 3504. Effect through Unit rate 2 p/kWh (in Marginal revenue effect of scaler)"/>
    <hyperlink ref="A189" location="'Scaler'!D81" display="x4 = 3504. Effect through Unit rate 3 p/kWh (in Marginal revenue effect of scaler)"/>
    <hyperlink ref="A190" location="'Scaler'!E81" display="x5 = 3504. Effect through Fixed charge p/MPAN/day (in Marginal revenue effect of scaler)"/>
    <hyperlink ref="A191" location="'Scaler'!F81" display="x6 = 3504. Effect through Capacity charge p/kVA/day (in Marginal revenue effect of scaler)"/>
    <hyperlink ref="A192" location="'Scaler'!G81" display="x7 = 3504. Effect through Reactive power charge p/kVArh (in Marginal revenue effect of scaler)"/>
    <hyperlink ref="A193" location="'Scaler'!B210" display="x8 = Location (in Solve for General scaler rate)"/>
    <hyperlink ref="A194" location="'Scaler'!C210" display="x9 = Kink (in Solve for General scaler rate)"/>
    <hyperlink ref="A195" location="'Scaler'!F210" display="x10 = Ranking before tie break (in Solve for General scaler rate)"/>
    <hyperlink ref="A196" location="'Scaler'!G210" display="x11 = Counter (in Solve for General scaler rate)"/>
    <hyperlink ref="A197" location="'Scaler'!H210" display="x12 = Tie breaker (in Solve for General scaler rate)"/>
    <hyperlink ref="A198" location="'Scaler'!I210" display="x13 = Ranking (in Solve for General scaler rate)"/>
    <hyperlink ref="A199" location="'Scaler'!J210" display="x14 = Kink reordering (in Solve for General scaler rate)"/>
    <hyperlink ref="A200" location="'Scaler'!D210" display="x15 = Starting slope contributions (in Solve for General scaler rate)"/>
    <hyperlink ref="A201" location="'Scaler'!L210" display="x16 = New slope (in Solve for General scaler rate)"/>
    <hyperlink ref="A202" location="'Scaler'!K210" display="x17 = Location (ordered) (in Solve for General scaler rate)"/>
    <hyperlink ref="A203" location="'Scaler'!E210" display="x18 = Starting values (in Solve for General scaler rate)"/>
    <hyperlink ref="A204" location="'Revenue'!C68" display="x19 = 3403. Revenue shortfall (surplus) £ (in Revenue surplus or shortfall)"/>
    <hyperlink ref="A205" location="'Scaler'!B167" display="x20 = 3506. Constraint-free solution"/>
    <hyperlink ref="A206" location="'Scaler'!M210" display="x21 = Value (in Solve for General scaler rate)"/>
    <hyperlink ref="A377" location="'Scaler'!N210" display="x1 = 3508. Root (in Solve for General scaler rate)"/>
    <hyperlink ref="A385" location="'Loads'!B45" display="x1 = 2302. Load coefficient"/>
    <hyperlink ref="A386" location="'Scaler'!B33" display="x2 = 3503. Unit rate 1 p/kWh scalable part (in Scalable elements of tariff components)"/>
    <hyperlink ref="A387" location="'Scaler'!B380" display="x3 = 3509. General scaler rate"/>
    <hyperlink ref="A388" location="'Aggreg'!B237" display="x4 = 3307. Unit rate 1 p/kWh (total) (in Summary of charges before revenue matching)"/>
    <hyperlink ref="A389" location="'Scaler'!C33" display="x5 = 3503. Unit rate 2 p/kWh scalable part (in Scalable elements of tariff components)"/>
    <hyperlink ref="A390" location="'Aggreg'!C237" display="x6 = 3307. Unit rate 2 p/kWh (total) (in Summary of charges before revenue matching)"/>
    <hyperlink ref="A391" location="'Scaler'!D33" display="x7 = 3503. Unit rate 3 p/kWh scalable part (in Scalable elements of tariff components)"/>
    <hyperlink ref="A392" location="'Aggreg'!D237" display="x8 = 3307. Unit rate 3 p/kWh (total) (in Summary of charges before revenue matching)"/>
    <hyperlink ref="A393" location="'Scaler'!E33" display="x9 = 3503. Fixed charge p/MPAN/day scalable part (in Scalable elements of tariff components)"/>
    <hyperlink ref="A394" location="'Aggreg'!E237" display="x10 = 3307. Fixed charge p/MPAN/day (total) (in Summary of charges before revenue matching)"/>
    <hyperlink ref="A395" location="'Scaler'!F33" display="x11 = 3503. Capacity charge p/kVA/day scalable part (in Scalable elements of tariff components)"/>
    <hyperlink ref="A396" location="'Aggreg'!F237" display="x12 = 3307. Capacity charge p/kVA/day (total) (in Summary of charges before revenue matching)"/>
    <hyperlink ref="A397" location="'Scaler'!G33" display="x13 = 3503. Reactive power charge p/kVArh scalable part (in Scalable elements of tariff components)"/>
    <hyperlink ref="A398" location="'Aggreg'!G237" display="x14 = 3307. Reactive power charge p/kVArh (in Summary of charges before revenue matching)"/>
    <hyperlink ref="A399" location="'Input'!F57" display="x15 = 1010. Days in the charging year (in Financial and general assumptions)"/>
    <hyperlink ref="A400" location="'Scaler'!E415" display="x16 = Fixed charge p/MPAN/day scaler (in Scaler)"/>
    <hyperlink ref="A401" location="'Loads'!E301" display="x17 = 2305. MPANs (in Equivalent volume for each end user)"/>
    <hyperlink ref="A402" location="'Scaler'!F415" display="x18 = Capacity charge p/kVA/day scaler (in Scaler)"/>
    <hyperlink ref="A403" location="'Loads'!F301" display="x19 = 2305. Import capacity (kVA) (in Equivalent volume for each end user)"/>
    <hyperlink ref="A404" location="'Scaler'!B415" display="x20 = Unit rate 1 p/kWh scaler (in Scaler)"/>
    <hyperlink ref="A405" location="'Loads'!B301" display="x21 = 2305. Rate 1 units (MWh) (in Equivalent volume for each end user)"/>
    <hyperlink ref="A406" location="'Scaler'!C415" display="x22 = Unit rate 2 p/kWh scaler (in Scaler)"/>
    <hyperlink ref="A407" location="'Loads'!C301" display="x23 = 2305. Rate 2 units (MWh) (in Equivalent volume for each end user)"/>
    <hyperlink ref="A408" location="'Scaler'!D415" display="x24 = Unit rate 3 p/kWh scaler (in Scaler)"/>
    <hyperlink ref="A409" location="'Loads'!D301" display="x25 = 2305. Rate 3 units (MWh) (in Equivalent volume for each end user)"/>
    <hyperlink ref="A410" location="'Scaler'!G415" display="x26 = Reactive power charge p/kVArh scaler (in Scaler)"/>
    <hyperlink ref="A411" location="'Loads'!G301" display="x27 = 2305. Reactive power units (MVArh) (in Equivalent volume for each end user)"/>
  </hyperlinks>
  <pageMargins left="0.7" right="0.7" top="0.75" bottom="0.75" header="0.3" footer="0.3"/>
  <pageSetup paperSize="9" fitToHeight="0" orientation="landscape"/>
  <headerFooter>
    <oddHeader>&amp;L&amp;A&amp;C&amp;R&amp;P of &amp;N</oddHeader>
    <oddFooter>&amp;F</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2290"/>
  <sheetViews>
    <sheetView showGridLines="0" topLeftCell="A2254" workbookViewId="0"/>
  </sheetViews>
  <sheetFormatPr defaultRowHeight="15" x14ac:dyDescent="0.25"/>
  <cols>
    <col min="1" max="1" width="48.7109375" customWidth="1"/>
    <col min="2" max="251" width="16.7109375" customWidth="1"/>
  </cols>
  <sheetData>
    <row r="1" spans="1:24" ht="21" customHeight="1" x14ac:dyDescent="0.3">
      <c r="A1" s="1" t="str">
        <f>"Model G calculations for "&amp;Input!B7&amp;" in "&amp;Input!C7&amp;" ("&amp;Input!D7&amp;")"</f>
        <v>Model G calculations for Electricity North West in 2017/2018 (December 2015)</v>
      </c>
    </row>
    <row r="3" spans="1:24" ht="21" customHeight="1" x14ac:dyDescent="0.3">
      <c r="A3" s="1" t="s">
        <v>1464</v>
      </c>
    </row>
    <row r="5" spans="1:24" ht="30" x14ac:dyDescent="0.25">
      <c r="B5" s="15" t="s">
        <v>139</v>
      </c>
      <c r="C5" s="15" t="s">
        <v>313</v>
      </c>
      <c r="D5" s="15" t="s">
        <v>314</v>
      </c>
      <c r="E5" s="15" t="s">
        <v>315</v>
      </c>
      <c r="F5" s="15" t="s">
        <v>316</v>
      </c>
      <c r="G5" s="15" t="s">
        <v>317</v>
      </c>
      <c r="H5" s="15" t="s">
        <v>318</v>
      </c>
      <c r="I5" s="15" t="s">
        <v>319</v>
      </c>
      <c r="J5" s="15" t="s">
        <v>320</v>
      </c>
      <c r="K5" s="15" t="s">
        <v>462</v>
      </c>
      <c r="L5" s="15" t="s">
        <v>474</v>
      </c>
      <c r="M5" s="15" t="s">
        <v>301</v>
      </c>
      <c r="N5" s="15" t="s">
        <v>876</v>
      </c>
      <c r="O5" s="15" t="s">
        <v>877</v>
      </c>
      <c r="P5" s="15" t="s">
        <v>878</v>
      </c>
      <c r="Q5" s="15" t="s">
        <v>879</v>
      </c>
      <c r="R5" s="15" t="s">
        <v>880</v>
      </c>
      <c r="S5" s="15" t="s">
        <v>881</v>
      </c>
      <c r="T5" s="15" t="s">
        <v>882</v>
      </c>
      <c r="U5" s="15" t="s">
        <v>883</v>
      </c>
      <c r="V5" s="15" t="s">
        <v>884</v>
      </c>
      <c r="W5" s="15" t="s">
        <v>885</v>
      </c>
    </row>
    <row r="6" spans="1:24" x14ac:dyDescent="0.25">
      <c r="A6" s="4" t="s">
        <v>1465</v>
      </c>
      <c r="B6" s="28">
        <v>0</v>
      </c>
      <c r="C6" s="28">
        <v>1</v>
      </c>
      <c r="D6" s="28">
        <v>1</v>
      </c>
      <c r="E6" s="28">
        <v>1</v>
      </c>
      <c r="F6" s="28">
        <v>1</v>
      </c>
      <c r="G6" s="28">
        <v>1</v>
      </c>
      <c r="H6" s="28">
        <v>1</v>
      </c>
      <c r="I6" s="28">
        <v>1</v>
      </c>
      <c r="J6" s="28">
        <v>1</v>
      </c>
      <c r="K6" s="28">
        <v>1</v>
      </c>
      <c r="L6" s="28">
        <v>1</v>
      </c>
      <c r="M6" s="28">
        <v>0</v>
      </c>
      <c r="N6" s="28">
        <v>0</v>
      </c>
      <c r="O6" s="28">
        <v>0</v>
      </c>
      <c r="P6" s="28">
        <v>0</v>
      </c>
      <c r="Q6" s="28">
        <v>0</v>
      </c>
      <c r="R6" s="28">
        <v>0</v>
      </c>
      <c r="S6" s="28">
        <v>0</v>
      </c>
      <c r="T6" s="28">
        <v>0</v>
      </c>
      <c r="U6" s="28">
        <v>0</v>
      </c>
      <c r="V6" s="28">
        <v>0</v>
      </c>
      <c r="W6" s="28">
        <v>0</v>
      </c>
      <c r="X6" s="17"/>
    </row>
    <row r="8" spans="1:24" ht="21" customHeight="1" x14ac:dyDescent="0.3">
      <c r="A8" s="1" t="s">
        <v>1466</v>
      </c>
    </row>
    <row r="9" spans="1:24" x14ac:dyDescent="0.25">
      <c r="A9" s="2" t="s">
        <v>350</v>
      </c>
    </row>
    <row r="10" spans="1:24" x14ac:dyDescent="0.25">
      <c r="A10" s="32" t="s">
        <v>1087</v>
      </c>
    </row>
    <row r="11" spans="1:24" x14ac:dyDescent="0.25">
      <c r="A11" s="32" t="s">
        <v>1467</v>
      </c>
    </row>
    <row r="12" spans="1:24" x14ac:dyDescent="0.25">
      <c r="A12" s="32" t="s">
        <v>1139</v>
      </c>
    </row>
    <row r="13" spans="1:24" x14ac:dyDescent="0.25">
      <c r="A13" s="32" t="s">
        <v>1140</v>
      </c>
    </row>
    <row r="14" spans="1:24" x14ac:dyDescent="0.25">
      <c r="A14" s="32" t="s">
        <v>1141</v>
      </c>
    </row>
    <row r="15" spans="1:24" x14ac:dyDescent="0.25">
      <c r="A15" s="32" t="s">
        <v>1142</v>
      </c>
    </row>
    <row r="16" spans="1:24" x14ac:dyDescent="0.25">
      <c r="A16" s="32" t="s">
        <v>1143</v>
      </c>
    </row>
    <row r="17" spans="1:8" ht="30" x14ac:dyDescent="0.25">
      <c r="A17" s="33" t="s">
        <v>353</v>
      </c>
      <c r="B17" s="33" t="s">
        <v>355</v>
      </c>
      <c r="C17" s="33" t="s">
        <v>355</v>
      </c>
      <c r="D17" s="33" t="s">
        <v>355</v>
      </c>
      <c r="E17" s="33" t="s">
        <v>355</v>
      </c>
      <c r="F17" s="33" t="s">
        <v>355</v>
      </c>
      <c r="G17" s="33" t="s">
        <v>355</v>
      </c>
    </row>
    <row r="18" spans="1:8" ht="30" x14ac:dyDescent="0.25">
      <c r="A18" s="33" t="s">
        <v>356</v>
      </c>
      <c r="B18" s="33" t="s">
        <v>358</v>
      </c>
      <c r="C18" s="33" t="s">
        <v>1144</v>
      </c>
      <c r="D18" s="33" t="s">
        <v>1145</v>
      </c>
      <c r="E18" s="33" t="s">
        <v>1146</v>
      </c>
      <c r="F18" s="33" t="s">
        <v>1147</v>
      </c>
      <c r="G18" s="33" t="s">
        <v>1148</v>
      </c>
    </row>
    <row r="20" spans="1:8" ht="60" x14ac:dyDescent="0.25">
      <c r="B20" s="15" t="s">
        <v>1468</v>
      </c>
      <c r="C20" s="15" t="s">
        <v>1469</v>
      </c>
      <c r="D20" s="15" t="s">
        <v>1470</v>
      </c>
      <c r="E20" s="15" t="s">
        <v>1471</v>
      </c>
      <c r="F20" s="15" t="s">
        <v>1472</v>
      </c>
      <c r="G20" s="15" t="s">
        <v>1473</v>
      </c>
    </row>
    <row r="21" spans="1:8" x14ac:dyDescent="0.25">
      <c r="A21" s="4" t="s">
        <v>171</v>
      </c>
      <c r="B21" s="37">
        <f>SUMPRODUCT(Aggreg!$B15:$W15,$B$6:$W$6)</f>
        <v>1.09236810483614</v>
      </c>
      <c r="C21" s="37">
        <f>SUMPRODUCT(Aggreg!$B53:$W53,$B$6:$W$6)</f>
        <v>0</v>
      </c>
      <c r="D21" s="37">
        <f>SUMPRODUCT(Aggreg!$B91:$W91,$B$6:$W$6)</f>
        <v>0</v>
      </c>
      <c r="E21" s="37">
        <f>SUMPRODUCT(Aggreg!$B129:$W129,$B$6:$W$6)</f>
        <v>3.6519822693171271E-2</v>
      </c>
      <c r="F21" s="37">
        <f>SUMPRODUCT(Aggreg!$B163:$W163,$B$6:$W$6)</f>
        <v>0</v>
      </c>
      <c r="G21" s="37">
        <f>SUMPRODUCT(Aggreg!$B198:$W198,$B$6:$W$6)</f>
        <v>0</v>
      </c>
      <c r="H21" s="17"/>
    </row>
    <row r="22" spans="1:8" x14ac:dyDescent="0.25">
      <c r="A22" s="4" t="s">
        <v>172</v>
      </c>
      <c r="B22" s="37">
        <f>SUMPRODUCT(Aggreg!$B16:$W16,$B$6:$W$6)</f>
        <v>1.2967207716440277</v>
      </c>
      <c r="C22" s="37">
        <f>SUMPRODUCT(Aggreg!$B54:$W54,$B$6:$W$6)</f>
        <v>0.12592858741572505</v>
      </c>
      <c r="D22" s="37">
        <f>SUMPRODUCT(Aggreg!$B92:$W92,$B$6:$W$6)</f>
        <v>0</v>
      </c>
      <c r="E22" s="37">
        <f>SUMPRODUCT(Aggreg!$B130:$W130,$B$6:$W$6)</f>
        <v>3.6519822693171271E-2</v>
      </c>
      <c r="F22" s="37">
        <f>SUMPRODUCT(Aggreg!$B164:$W164,$B$6:$W$6)</f>
        <v>0</v>
      </c>
      <c r="G22" s="37">
        <f>SUMPRODUCT(Aggreg!$B199:$W199,$B$6:$W$6)</f>
        <v>0</v>
      </c>
      <c r="H22" s="17"/>
    </row>
    <row r="23" spans="1:8" x14ac:dyDescent="0.25">
      <c r="A23" s="4" t="s">
        <v>213</v>
      </c>
      <c r="B23" s="37">
        <f>SUMPRODUCT(Aggreg!$B17:$W17,$B$6:$W$6)</f>
        <v>0.15063518765635731</v>
      </c>
      <c r="C23" s="37">
        <f>SUMPRODUCT(Aggreg!$B55:$W55,$B$6:$W$6)</f>
        <v>0</v>
      </c>
      <c r="D23" s="37">
        <f>SUMPRODUCT(Aggreg!$B93:$W93,$B$6:$W$6)</f>
        <v>0</v>
      </c>
      <c r="E23" s="37">
        <f>SUMPRODUCT(Aggreg!$B131:$W131,$B$6:$W$6)</f>
        <v>0</v>
      </c>
      <c r="F23" s="37">
        <f>SUMPRODUCT(Aggreg!$B165:$W165,$B$6:$W$6)</f>
        <v>0</v>
      </c>
      <c r="G23" s="37">
        <f>SUMPRODUCT(Aggreg!$B200:$W200,$B$6:$W$6)</f>
        <v>0</v>
      </c>
      <c r="H23" s="17"/>
    </row>
    <row r="24" spans="1:8" x14ac:dyDescent="0.25">
      <c r="A24" s="4" t="s">
        <v>173</v>
      </c>
      <c r="B24" s="37">
        <f>SUMPRODUCT(Aggreg!$B18:$W18,$B$6:$W$6)</f>
        <v>1.0725253549411269</v>
      </c>
      <c r="C24" s="37">
        <f>SUMPRODUCT(Aggreg!$B56:$W56,$B$6:$W$6)</f>
        <v>0</v>
      </c>
      <c r="D24" s="37">
        <f>SUMPRODUCT(Aggreg!$B94:$W94,$B$6:$W$6)</f>
        <v>0</v>
      </c>
      <c r="E24" s="37">
        <f>SUMPRODUCT(Aggreg!$B132:$W132,$B$6:$W$6)</f>
        <v>3.6519822693171271E-2</v>
      </c>
      <c r="F24" s="37">
        <f>SUMPRODUCT(Aggreg!$B166:$W166,$B$6:$W$6)</f>
        <v>0</v>
      </c>
      <c r="G24" s="37">
        <f>SUMPRODUCT(Aggreg!$B201:$W201,$B$6:$W$6)</f>
        <v>0</v>
      </c>
      <c r="H24" s="17"/>
    </row>
    <row r="25" spans="1:8" x14ac:dyDescent="0.25">
      <c r="A25" s="4" t="s">
        <v>174</v>
      </c>
      <c r="B25" s="37">
        <f>SUMPRODUCT(Aggreg!$B19:$W19,$B$6:$W$6)</f>
        <v>1.0929102148510026</v>
      </c>
      <c r="C25" s="37">
        <f>SUMPRODUCT(Aggreg!$B57:$W57,$B$6:$W$6)</f>
        <v>0.10560936229507283</v>
      </c>
      <c r="D25" s="37">
        <f>SUMPRODUCT(Aggreg!$B95:$W95,$B$6:$W$6)</f>
        <v>0</v>
      </c>
      <c r="E25" s="37">
        <f>SUMPRODUCT(Aggreg!$B133:$W133,$B$6:$W$6)</f>
        <v>3.6519822693171271E-2</v>
      </c>
      <c r="F25" s="37">
        <f>SUMPRODUCT(Aggreg!$B167:$W167,$B$6:$W$6)</f>
        <v>0</v>
      </c>
      <c r="G25" s="37">
        <f>SUMPRODUCT(Aggreg!$B202:$W202,$B$6:$W$6)</f>
        <v>0</v>
      </c>
      <c r="H25" s="17"/>
    </row>
    <row r="26" spans="1:8" x14ac:dyDescent="0.25">
      <c r="A26" s="4" t="s">
        <v>214</v>
      </c>
      <c r="B26" s="37">
        <f>SUMPRODUCT(Aggreg!$B20:$W20,$B$6:$W$6)</f>
        <v>0.11309843014534633</v>
      </c>
      <c r="C26" s="37">
        <f>SUMPRODUCT(Aggreg!$B58:$W58,$B$6:$W$6)</f>
        <v>0</v>
      </c>
      <c r="D26" s="37">
        <f>SUMPRODUCT(Aggreg!$B96:$W96,$B$6:$W$6)</f>
        <v>0</v>
      </c>
      <c r="E26" s="37">
        <f>SUMPRODUCT(Aggreg!$B134:$W134,$B$6:$W$6)</f>
        <v>0</v>
      </c>
      <c r="F26" s="37">
        <f>SUMPRODUCT(Aggreg!$B168:$W168,$B$6:$W$6)</f>
        <v>0</v>
      </c>
      <c r="G26" s="37">
        <f>SUMPRODUCT(Aggreg!$B203:$W203,$B$6:$W$6)</f>
        <v>0</v>
      </c>
      <c r="H26" s="17"/>
    </row>
    <row r="27" spans="1:8" x14ac:dyDescent="0.25">
      <c r="A27" s="4" t="s">
        <v>175</v>
      </c>
      <c r="B27" s="37">
        <f>SUMPRODUCT(Aggreg!$B21:$W21,$B$6:$W$6)</f>
        <v>0.89607830674829014</v>
      </c>
      <c r="C27" s="37">
        <f>SUMPRODUCT(Aggreg!$B59:$W59,$B$6:$W$6)</f>
        <v>7.9931163258291638E-2</v>
      </c>
      <c r="D27" s="37">
        <f>SUMPRODUCT(Aggreg!$B97:$W97,$B$6:$W$6)</f>
        <v>0</v>
      </c>
      <c r="E27" s="37">
        <f>SUMPRODUCT(Aggreg!$B135:$W135,$B$6:$W$6)</f>
        <v>0</v>
      </c>
      <c r="F27" s="37">
        <f>SUMPRODUCT(Aggreg!$B169:$W169,$B$6:$W$6)</f>
        <v>0</v>
      </c>
      <c r="G27" s="37">
        <f>SUMPRODUCT(Aggreg!$B204:$W204,$B$6:$W$6)</f>
        <v>0</v>
      </c>
      <c r="H27" s="17"/>
    </row>
    <row r="28" spans="1:8" x14ac:dyDescent="0.25">
      <c r="A28" s="4" t="s">
        <v>176</v>
      </c>
      <c r="B28" s="37">
        <f>SUMPRODUCT(Aggreg!$B22:$W22,$B$6:$W$6)</f>
        <v>0.70860148348224472</v>
      </c>
      <c r="C28" s="37">
        <f>SUMPRODUCT(Aggreg!$B60:$W60,$B$6:$W$6)</f>
        <v>6.2835102069462481E-2</v>
      </c>
      <c r="D28" s="37">
        <f>SUMPRODUCT(Aggreg!$B98:$W98,$B$6:$W$6)</f>
        <v>0</v>
      </c>
      <c r="E28" s="37">
        <f>SUMPRODUCT(Aggreg!$B136:$W136,$B$6:$W$6)</f>
        <v>0</v>
      </c>
      <c r="F28" s="37">
        <f>SUMPRODUCT(Aggreg!$B170:$W170,$B$6:$W$6)</f>
        <v>0</v>
      </c>
      <c r="G28" s="37">
        <f>SUMPRODUCT(Aggreg!$B205:$W205,$B$6:$W$6)</f>
        <v>0</v>
      </c>
      <c r="H28" s="17"/>
    </row>
    <row r="29" spans="1:8" x14ac:dyDescent="0.25">
      <c r="A29" s="4" t="s">
        <v>192</v>
      </c>
      <c r="B29" s="37">
        <f>SUMPRODUCT(Aggreg!$B23:$W23,$B$6:$W$6)</f>
        <v>0.50284340225439605</v>
      </c>
      <c r="C29" s="37">
        <f>SUMPRODUCT(Aggreg!$B61:$W61,$B$6:$W$6)</f>
        <v>4.1142278084503991E-2</v>
      </c>
      <c r="D29" s="37">
        <f>SUMPRODUCT(Aggreg!$B99:$W99,$B$6:$W$6)</f>
        <v>0</v>
      </c>
      <c r="E29" s="37">
        <f>SUMPRODUCT(Aggreg!$B137:$W137,$B$6:$W$6)</f>
        <v>35.317518259265746</v>
      </c>
      <c r="F29" s="37">
        <f>SUMPRODUCT(Aggreg!$B171:$W171,$B$6:$W$6)</f>
        <v>0</v>
      </c>
      <c r="G29" s="37">
        <f>SUMPRODUCT(Aggreg!$B206:$W206,$B$6:$W$6)</f>
        <v>0</v>
      </c>
      <c r="H29" s="17"/>
    </row>
    <row r="30" spans="1:8" x14ac:dyDescent="0.25">
      <c r="A30" s="4" t="s">
        <v>177</v>
      </c>
      <c r="B30" s="37">
        <f>SUMPRODUCT(Aggreg!$B24:$W24,$B$6:$W$6)</f>
        <v>6.0017161820075327</v>
      </c>
      <c r="C30" s="37">
        <f>SUMPRODUCT(Aggreg!$B62:$W62,$B$6:$W$6)</f>
        <v>0.84586002143167405</v>
      </c>
      <c r="D30" s="37">
        <f>SUMPRODUCT(Aggreg!$B100:$W100,$B$6:$W$6)</f>
        <v>0.11322791995797681</v>
      </c>
      <c r="E30" s="37">
        <f>SUMPRODUCT(Aggreg!$B138:$W138,$B$6:$W$6)</f>
        <v>3.6519822693171271E-2</v>
      </c>
      <c r="F30" s="37">
        <f>SUMPRODUCT(Aggreg!$B172:$W172,$B$6:$W$6)</f>
        <v>0</v>
      </c>
      <c r="G30" s="37">
        <f>SUMPRODUCT(Aggreg!$B207:$W207,$B$6:$W$6)</f>
        <v>0</v>
      </c>
      <c r="H30" s="17"/>
    </row>
    <row r="31" spans="1:8" x14ac:dyDescent="0.25">
      <c r="A31" s="4" t="s">
        <v>178</v>
      </c>
      <c r="B31" s="37">
        <f>SUMPRODUCT(Aggreg!$B25:$W25,$B$6:$W$6)</f>
        <v>5.8352674938204814</v>
      </c>
      <c r="C31" s="37">
        <f>SUMPRODUCT(Aggreg!$B63:$W63,$B$6:$W$6)</f>
        <v>0.82237656687380578</v>
      </c>
      <c r="D31" s="37">
        <f>SUMPRODUCT(Aggreg!$B101:$W101,$B$6:$W$6)</f>
        <v>0.11008430584368287</v>
      </c>
      <c r="E31" s="37">
        <f>SUMPRODUCT(Aggreg!$B139:$W139,$B$6:$W$6)</f>
        <v>3.6519822693171271E-2</v>
      </c>
      <c r="F31" s="37">
        <f>SUMPRODUCT(Aggreg!$B173:$W173,$B$6:$W$6)</f>
        <v>0</v>
      </c>
      <c r="G31" s="37">
        <f>SUMPRODUCT(Aggreg!$B208:$W208,$B$6:$W$6)</f>
        <v>0</v>
      </c>
      <c r="H31" s="17"/>
    </row>
    <row r="32" spans="1:8" x14ac:dyDescent="0.25">
      <c r="A32" s="4" t="s">
        <v>179</v>
      </c>
      <c r="B32" s="37">
        <f>SUMPRODUCT(Aggreg!$B26:$W26,$B$6:$W$6)</f>
        <v>4.1419087090390629</v>
      </c>
      <c r="C32" s="37">
        <f>SUMPRODUCT(Aggreg!$B64:$W64,$B$6:$W$6)</f>
        <v>0.56362176982805889</v>
      </c>
      <c r="D32" s="37">
        <f>SUMPRODUCT(Aggreg!$B102:$W102,$B$6:$W$6)</f>
        <v>7.5375345192198476E-2</v>
      </c>
      <c r="E32" s="37">
        <f>SUMPRODUCT(Aggreg!$B140:$W140,$B$6:$W$6)</f>
        <v>0</v>
      </c>
      <c r="F32" s="37">
        <f>SUMPRODUCT(Aggreg!$B174:$W174,$B$6:$W$6)</f>
        <v>1.6966760158610064</v>
      </c>
      <c r="G32" s="37">
        <f>SUMPRODUCT(Aggreg!$B209:$W209,$B$6:$W$6)</f>
        <v>0.13309115024807536</v>
      </c>
      <c r="H32" s="17"/>
    </row>
    <row r="33" spans="1:8" x14ac:dyDescent="0.25">
      <c r="A33" s="4" t="s">
        <v>180</v>
      </c>
      <c r="B33" s="37">
        <f>SUMPRODUCT(Aggreg!$B27:$W27,$B$6:$W$6)</f>
        <v>3.2745347055602916</v>
      </c>
      <c r="C33" s="37">
        <f>SUMPRODUCT(Aggreg!$B65:$W65,$B$6:$W$6)</f>
        <v>0.42876716260435727</v>
      </c>
      <c r="D33" s="37">
        <f>SUMPRODUCT(Aggreg!$B103:$W103,$B$6:$W$6)</f>
        <v>5.7278543116742402E-2</v>
      </c>
      <c r="E33" s="37">
        <f>SUMPRODUCT(Aggreg!$B141:$W141,$B$6:$W$6)</f>
        <v>0</v>
      </c>
      <c r="F33" s="37">
        <f>SUMPRODUCT(Aggreg!$B175:$W175,$B$6:$W$6)</f>
        <v>1.4902622793798981</v>
      </c>
      <c r="G33" s="37">
        <f>SUMPRODUCT(Aggreg!$B210:$W210,$B$6:$W$6)</f>
        <v>9.9503054925931991E-2</v>
      </c>
      <c r="H33" s="17"/>
    </row>
    <row r="34" spans="1:8" x14ac:dyDescent="0.25">
      <c r="A34" s="4" t="s">
        <v>193</v>
      </c>
      <c r="B34" s="37">
        <f>SUMPRODUCT(Aggreg!$B28:$W28,$B$6:$W$6)</f>
        <v>2.1826291893870966</v>
      </c>
      <c r="C34" s="37">
        <f>SUMPRODUCT(Aggreg!$B66:$W66,$B$6:$W$6)</f>
        <v>0.26255778892377923</v>
      </c>
      <c r="D34" s="37">
        <f>SUMPRODUCT(Aggreg!$B104:$W104,$B$6:$W$6)</f>
        <v>3.4985585561429978E-2</v>
      </c>
      <c r="E34" s="37">
        <f>SUMPRODUCT(Aggreg!$B142:$W142,$B$6:$W$6)</f>
        <v>0</v>
      </c>
      <c r="F34" s="37">
        <f>SUMPRODUCT(Aggreg!$B176:$W176,$B$6:$W$6)</f>
        <v>1.2687305603510253</v>
      </c>
      <c r="G34" s="37">
        <f>SUMPRODUCT(Aggreg!$B211:$W211,$B$6:$W$6)</f>
        <v>6.0099227264383992E-2</v>
      </c>
      <c r="H34" s="17"/>
    </row>
    <row r="35" spans="1:8" x14ac:dyDescent="0.25">
      <c r="A35" s="4" t="s">
        <v>215</v>
      </c>
      <c r="B35" s="37">
        <f>SUMPRODUCT(Aggreg!$B29:$W29,$B$6:$W$6)</f>
        <v>0.66142751623511231</v>
      </c>
      <c r="C35" s="37">
        <f>SUMPRODUCT(Aggreg!$B67:$W67,$B$6:$W$6)</f>
        <v>0</v>
      </c>
      <c r="D35" s="37">
        <f>SUMPRODUCT(Aggreg!$B105:$W105,$B$6:$W$6)</f>
        <v>0</v>
      </c>
      <c r="E35" s="37">
        <f>SUMPRODUCT(Aggreg!$B143:$W143,$B$6:$W$6)</f>
        <v>0</v>
      </c>
      <c r="F35" s="37">
        <f>SUMPRODUCT(Aggreg!$B177:$W177,$B$6:$W$6)</f>
        <v>0</v>
      </c>
      <c r="G35" s="37">
        <f>SUMPRODUCT(Aggreg!$B212:$W212,$B$6:$W$6)</f>
        <v>0</v>
      </c>
      <c r="H35" s="17"/>
    </row>
    <row r="36" spans="1:8" x14ac:dyDescent="0.25">
      <c r="A36" s="4" t="s">
        <v>216</v>
      </c>
      <c r="B36" s="37">
        <f>SUMPRODUCT(Aggreg!$B30:$W30,$B$6:$W$6)</f>
        <v>0.78132199151210124</v>
      </c>
      <c r="C36" s="37">
        <f>SUMPRODUCT(Aggreg!$B68:$W68,$B$6:$W$6)</f>
        <v>0</v>
      </c>
      <c r="D36" s="37">
        <f>SUMPRODUCT(Aggreg!$B106:$W106,$B$6:$W$6)</f>
        <v>0</v>
      </c>
      <c r="E36" s="37">
        <f>SUMPRODUCT(Aggreg!$B144:$W144,$B$6:$W$6)</f>
        <v>0</v>
      </c>
      <c r="F36" s="37">
        <f>SUMPRODUCT(Aggreg!$B178:$W178,$B$6:$W$6)</f>
        <v>0</v>
      </c>
      <c r="G36" s="37">
        <f>SUMPRODUCT(Aggreg!$B213:$W213,$B$6:$W$6)</f>
        <v>0</v>
      </c>
      <c r="H36" s="17"/>
    </row>
    <row r="37" spans="1:8" x14ac:dyDescent="0.25">
      <c r="A37" s="4" t="s">
        <v>217</v>
      </c>
      <c r="B37" s="37">
        <f>SUMPRODUCT(Aggreg!$B31:$W31,$B$6:$W$6)</f>
        <v>1.4180116676371768</v>
      </c>
      <c r="C37" s="37">
        <f>SUMPRODUCT(Aggreg!$B69:$W69,$B$6:$W$6)</f>
        <v>0</v>
      </c>
      <c r="D37" s="37">
        <f>SUMPRODUCT(Aggreg!$B107:$W107,$B$6:$W$6)</f>
        <v>0</v>
      </c>
      <c r="E37" s="37">
        <f>SUMPRODUCT(Aggreg!$B145:$W145,$B$6:$W$6)</f>
        <v>0</v>
      </c>
      <c r="F37" s="37">
        <f>SUMPRODUCT(Aggreg!$B179:$W179,$B$6:$W$6)</f>
        <v>0</v>
      </c>
      <c r="G37" s="37">
        <f>SUMPRODUCT(Aggreg!$B214:$W214,$B$6:$W$6)</f>
        <v>0</v>
      </c>
      <c r="H37" s="17"/>
    </row>
    <row r="38" spans="1:8" x14ac:dyDescent="0.25">
      <c r="A38" s="4" t="s">
        <v>218</v>
      </c>
      <c r="B38" s="37">
        <f>SUMPRODUCT(Aggreg!$B32:$W32,$B$6:$W$6)</f>
        <v>0.61759856980449601</v>
      </c>
      <c r="C38" s="37">
        <f>SUMPRODUCT(Aggreg!$B70:$W70,$B$6:$W$6)</f>
        <v>0</v>
      </c>
      <c r="D38" s="37">
        <f>SUMPRODUCT(Aggreg!$B108:$W108,$B$6:$W$6)</f>
        <v>0</v>
      </c>
      <c r="E38" s="37">
        <f>SUMPRODUCT(Aggreg!$B146:$W146,$B$6:$W$6)</f>
        <v>0</v>
      </c>
      <c r="F38" s="37">
        <f>SUMPRODUCT(Aggreg!$B180:$W180,$B$6:$W$6)</f>
        <v>0</v>
      </c>
      <c r="G38" s="37">
        <f>SUMPRODUCT(Aggreg!$B215:$W215,$B$6:$W$6)</f>
        <v>0</v>
      </c>
      <c r="H38" s="17"/>
    </row>
    <row r="39" spans="1:8" x14ac:dyDescent="0.25">
      <c r="A39" s="4" t="s">
        <v>219</v>
      </c>
      <c r="B39" s="37">
        <f>SUMPRODUCT(Aggreg!$B33:$W33,$B$6:$W$6)</f>
        <v>13.009741877941064</v>
      </c>
      <c r="C39" s="37">
        <f>SUMPRODUCT(Aggreg!$B71:$W71,$B$6:$W$6)</f>
        <v>0.6405533322133381</v>
      </c>
      <c r="D39" s="37">
        <f>SUMPRODUCT(Aggreg!$B109:$W109,$B$6:$W$6)</f>
        <v>8.8199932274477227E-2</v>
      </c>
      <c r="E39" s="37">
        <f>SUMPRODUCT(Aggreg!$B147:$W147,$B$6:$W$6)</f>
        <v>0</v>
      </c>
      <c r="F39" s="37">
        <f>SUMPRODUCT(Aggreg!$B181:$W181,$B$6:$W$6)</f>
        <v>0</v>
      </c>
      <c r="G39" s="37">
        <f>SUMPRODUCT(Aggreg!$B216:$W216,$B$6:$W$6)</f>
        <v>0</v>
      </c>
      <c r="H39" s="17"/>
    </row>
    <row r="40" spans="1:8" x14ac:dyDescent="0.25">
      <c r="A40" s="4" t="s">
        <v>181</v>
      </c>
      <c r="B40" s="37">
        <f>SUMPRODUCT(Aggreg!$B34:$W34,$B$6:$W$6)</f>
        <v>-0.59914631070922297</v>
      </c>
      <c r="C40" s="37">
        <f>SUMPRODUCT(Aggreg!$B72:$W72,$B$6:$W$6)</f>
        <v>0</v>
      </c>
      <c r="D40" s="37">
        <f>SUMPRODUCT(Aggreg!$B110:$W110,$B$6:$W$6)</f>
        <v>0</v>
      </c>
      <c r="E40" s="37">
        <f>SUMPRODUCT(Aggreg!$B148:$W148,$B$6:$W$6)</f>
        <v>0</v>
      </c>
      <c r="F40" s="37">
        <f>SUMPRODUCT(Aggreg!$B182:$W182,$B$6:$W$6)</f>
        <v>0</v>
      </c>
      <c r="G40" s="37">
        <f>SUMPRODUCT(Aggreg!$B217:$W217,$B$6:$W$6)</f>
        <v>0</v>
      </c>
      <c r="H40" s="17"/>
    </row>
    <row r="41" spans="1:8" x14ac:dyDescent="0.25">
      <c r="A41" s="4" t="s">
        <v>182</v>
      </c>
      <c r="B41" s="37">
        <f>SUMPRODUCT(Aggreg!$B35:$W35,$B$6:$W$6)</f>
        <v>-0.47959495550193376</v>
      </c>
      <c r="C41" s="37">
        <f>SUMPRODUCT(Aggreg!$B73:$W73,$B$6:$W$6)</f>
        <v>0</v>
      </c>
      <c r="D41" s="37">
        <f>SUMPRODUCT(Aggreg!$B111:$W111,$B$6:$W$6)</f>
        <v>0</v>
      </c>
      <c r="E41" s="37">
        <f>SUMPRODUCT(Aggreg!$B149:$W149,$B$6:$W$6)</f>
        <v>0</v>
      </c>
      <c r="F41" s="37">
        <f>SUMPRODUCT(Aggreg!$B183:$W183,$B$6:$W$6)</f>
        <v>0</v>
      </c>
      <c r="G41" s="37">
        <f>SUMPRODUCT(Aggreg!$B218:$W218,$B$6:$W$6)</f>
        <v>0</v>
      </c>
      <c r="H41" s="17"/>
    </row>
    <row r="42" spans="1:8" x14ac:dyDescent="0.25">
      <c r="A42" s="4" t="s">
        <v>183</v>
      </c>
      <c r="B42" s="37">
        <f>SUMPRODUCT(Aggreg!$B36:$W36,$B$6:$W$6)</f>
        <v>-0.59914631070922297</v>
      </c>
      <c r="C42" s="37">
        <f>SUMPRODUCT(Aggreg!$B74:$W74,$B$6:$W$6)</f>
        <v>0</v>
      </c>
      <c r="D42" s="37">
        <f>SUMPRODUCT(Aggreg!$B112:$W112,$B$6:$W$6)</f>
        <v>0</v>
      </c>
      <c r="E42" s="37">
        <f>SUMPRODUCT(Aggreg!$B150:$W150,$B$6:$W$6)</f>
        <v>0</v>
      </c>
      <c r="F42" s="37">
        <f>SUMPRODUCT(Aggreg!$B184:$W184,$B$6:$W$6)</f>
        <v>0</v>
      </c>
      <c r="G42" s="37">
        <f>SUMPRODUCT(Aggreg!$B219:$W219,$B$6:$W$6)</f>
        <v>0.11392645194534796</v>
      </c>
      <c r="H42" s="17"/>
    </row>
    <row r="43" spans="1:8" x14ac:dyDescent="0.25">
      <c r="A43" s="4" t="s">
        <v>184</v>
      </c>
      <c r="B43" s="37">
        <f>SUMPRODUCT(Aggreg!$B37:$W37,$B$6:$W$6)</f>
        <v>-4.2368848678791435</v>
      </c>
      <c r="C43" s="37">
        <f>SUMPRODUCT(Aggreg!$B75:$W75,$B$6:$W$6)</f>
        <v>-0.59711959972003181</v>
      </c>
      <c r="D43" s="37">
        <f>SUMPRODUCT(Aggreg!$B113:$W113,$B$6:$W$6)</f>
        <v>-7.9931163258291638E-2</v>
      </c>
      <c r="E43" s="37">
        <f>SUMPRODUCT(Aggreg!$B151:$W151,$B$6:$W$6)</f>
        <v>0</v>
      </c>
      <c r="F43" s="37">
        <f>SUMPRODUCT(Aggreg!$B185:$W185,$B$6:$W$6)</f>
        <v>0</v>
      </c>
      <c r="G43" s="37">
        <f>SUMPRODUCT(Aggreg!$B220:$W220,$B$6:$W$6)</f>
        <v>0.11392645194534796</v>
      </c>
      <c r="H43" s="17"/>
    </row>
    <row r="44" spans="1:8" x14ac:dyDescent="0.25">
      <c r="A44" s="4" t="s">
        <v>185</v>
      </c>
      <c r="B44" s="37">
        <f>SUMPRODUCT(Aggreg!$B38:$W38,$B$6:$W$6)</f>
        <v>-0.47959495550193376</v>
      </c>
      <c r="C44" s="37">
        <f>SUMPRODUCT(Aggreg!$B76:$W76,$B$6:$W$6)</f>
        <v>0</v>
      </c>
      <c r="D44" s="37">
        <f>SUMPRODUCT(Aggreg!$B114:$W114,$B$6:$W$6)</f>
        <v>0</v>
      </c>
      <c r="E44" s="37">
        <f>SUMPRODUCT(Aggreg!$B152:$W152,$B$6:$W$6)</f>
        <v>0</v>
      </c>
      <c r="F44" s="37">
        <f>SUMPRODUCT(Aggreg!$B186:$W186,$B$6:$W$6)</f>
        <v>0</v>
      </c>
      <c r="G44" s="37">
        <f>SUMPRODUCT(Aggreg!$B221:$W221,$B$6:$W$6)</f>
        <v>9.1083625177800082E-2</v>
      </c>
      <c r="H44" s="17"/>
    </row>
    <row r="45" spans="1:8" x14ac:dyDescent="0.25">
      <c r="A45" s="4" t="s">
        <v>186</v>
      </c>
      <c r="B45" s="37">
        <f>SUMPRODUCT(Aggreg!$B39:$W39,$B$6:$W$6)</f>
        <v>-3.4260996142391504</v>
      </c>
      <c r="C45" s="37">
        <f>SUMPRODUCT(Aggreg!$B77:$W77,$B$6:$W$6)</f>
        <v>-0.46975391259464733</v>
      </c>
      <c r="D45" s="37">
        <f>SUMPRODUCT(Aggreg!$B115:$W115,$B$6:$W$6)</f>
        <v>-6.2835102069462481E-2</v>
      </c>
      <c r="E45" s="37">
        <f>SUMPRODUCT(Aggreg!$B153:$W153,$B$6:$W$6)</f>
        <v>0</v>
      </c>
      <c r="F45" s="37">
        <f>SUMPRODUCT(Aggreg!$B187:$W187,$B$6:$W$6)</f>
        <v>0</v>
      </c>
      <c r="G45" s="37">
        <f>SUMPRODUCT(Aggreg!$B222:$W222,$B$6:$W$6)</f>
        <v>9.1083625177800082E-2</v>
      </c>
      <c r="H45" s="17"/>
    </row>
    <row r="46" spans="1:8" x14ac:dyDescent="0.25">
      <c r="A46" s="4" t="s">
        <v>194</v>
      </c>
      <c r="B46" s="37">
        <f>SUMPRODUCT(Aggreg!$B40:$W40,$B$6:$W$6)</f>
        <v>-0.32985042983515406</v>
      </c>
      <c r="C46" s="37">
        <f>SUMPRODUCT(Aggreg!$B78:$W78,$B$6:$W$6)</f>
        <v>0</v>
      </c>
      <c r="D46" s="37">
        <f>SUMPRODUCT(Aggreg!$B116:$W116,$B$6:$W$6)</f>
        <v>0</v>
      </c>
      <c r="E46" s="37">
        <f>SUMPRODUCT(Aggreg!$B154:$W154,$B$6:$W$6)</f>
        <v>0</v>
      </c>
      <c r="F46" s="37">
        <f>SUMPRODUCT(Aggreg!$B188:$W188,$B$6:$W$6)</f>
        <v>0</v>
      </c>
      <c r="G46" s="37">
        <f>SUMPRODUCT(Aggreg!$B223:$W223,$B$6:$W$6)</f>
        <v>6.3636068737622647E-2</v>
      </c>
      <c r="H46" s="17"/>
    </row>
    <row r="47" spans="1:8" x14ac:dyDescent="0.25">
      <c r="A47" s="4" t="s">
        <v>195</v>
      </c>
      <c r="B47" s="37">
        <f>SUMPRODUCT(Aggreg!$B41:$W41,$B$6:$W$6)</f>
        <v>-2.4212566816133441</v>
      </c>
      <c r="C47" s="37">
        <f>SUMPRODUCT(Aggreg!$B79:$W79,$B$6:$W$6)</f>
        <v>-0.30767960489418655</v>
      </c>
      <c r="D47" s="37">
        <f>SUMPRODUCT(Aggreg!$B117:$W117,$B$6:$W$6)</f>
        <v>-4.1066645525154918E-2</v>
      </c>
      <c r="E47" s="37">
        <f>SUMPRODUCT(Aggreg!$B155:$W155,$B$6:$W$6)</f>
        <v>0</v>
      </c>
      <c r="F47" s="37">
        <f>SUMPRODUCT(Aggreg!$B189:$W189,$B$6:$W$6)</f>
        <v>0</v>
      </c>
      <c r="G47" s="37">
        <f>SUMPRODUCT(Aggreg!$B224:$W224,$B$6:$W$6)</f>
        <v>6.3636068737622647E-2</v>
      </c>
      <c r="H47" s="17"/>
    </row>
    <row r="49" spans="1:24" ht="21" customHeight="1" x14ac:dyDescent="0.3">
      <c r="A49" s="1" t="s">
        <v>1474</v>
      </c>
    </row>
    <row r="51" spans="1:24" ht="30" x14ac:dyDescent="0.25">
      <c r="B51" s="15" t="s">
        <v>139</v>
      </c>
      <c r="C51" s="15" t="s">
        <v>313</v>
      </c>
      <c r="D51" s="15" t="s">
        <v>314</v>
      </c>
      <c r="E51" s="15" t="s">
        <v>315</v>
      </c>
      <c r="F51" s="15" t="s">
        <v>316</v>
      </c>
      <c r="G51" s="15" t="s">
        <v>317</v>
      </c>
      <c r="H51" s="15" t="s">
        <v>318</v>
      </c>
      <c r="I51" s="15" t="s">
        <v>319</v>
      </c>
      <c r="J51" s="15" t="s">
        <v>320</v>
      </c>
      <c r="K51" s="15" t="s">
        <v>462</v>
      </c>
      <c r="L51" s="15" t="s">
        <v>474</v>
      </c>
      <c r="M51" s="15" t="s">
        <v>301</v>
      </c>
      <c r="N51" s="15" t="s">
        <v>876</v>
      </c>
      <c r="O51" s="15" t="s">
        <v>877</v>
      </c>
      <c r="P51" s="15" t="s">
        <v>878</v>
      </c>
      <c r="Q51" s="15" t="s">
        <v>879</v>
      </c>
      <c r="R51" s="15" t="s">
        <v>880</v>
      </c>
      <c r="S51" s="15" t="s">
        <v>881</v>
      </c>
      <c r="T51" s="15" t="s">
        <v>882</v>
      </c>
      <c r="U51" s="15" t="s">
        <v>883</v>
      </c>
      <c r="V51" s="15" t="s">
        <v>884</v>
      </c>
      <c r="W51" s="15" t="s">
        <v>885</v>
      </c>
    </row>
    <row r="52" spans="1:24" x14ac:dyDescent="0.25">
      <c r="A52" s="4" t="s">
        <v>1475</v>
      </c>
      <c r="B52" s="28">
        <v>0</v>
      </c>
      <c r="C52" s="28">
        <v>0</v>
      </c>
      <c r="D52" s="28">
        <v>0</v>
      </c>
      <c r="E52" s="28">
        <v>0</v>
      </c>
      <c r="F52" s="28">
        <v>0</v>
      </c>
      <c r="G52" s="28">
        <v>0</v>
      </c>
      <c r="H52" s="28">
        <v>0</v>
      </c>
      <c r="I52" s="28">
        <v>0</v>
      </c>
      <c r="J52" s="28">
        <v>0</v>
      </c>
      <c r="K52" s="28">
        <v>0</v>
      </c>
      <c r="L52" s="28">
        <v>0</v>
      </c>
      <c r="M52" s="28">
        <v>1</v>
      </c>
      <c r="N52" s="28">
        <v>0</v>
      </c>
      <c r="O52" s="28">
        <v>0</v>
      </c>
      <c r="P52" s="28">
        <v>0</v>
      </c>
      <c r="Q52" s="28">
        <v>0</v>
      </c>
      <c r="R52" s="28">
        <v>0</v>
      </c>
      <c r="S52" s="28">
        <v>0</v>
      </c>
      <c r="T52" s="28">
        <v>0</v>
      </c>
      <c r="U52" s="28">
        <v>0</v>
      </c>
      <c r="V52" s="28">
        <v>0</v>
      </c>
      <c r="W52" s="28">
        <v>0</v>
      </c>
      <c r="X52" s="17"/>
    </row>
    <row r="54" spans="1:24" ht="21" customHeight="1" x14ac:dyDescent="0.3">
      <c r="A54" s="1" t="s">
        <v>1476</v>
      </c>
    </row>
    <row r="55" spans="1:24" x14ac:dyDescent="0.25">
      <c r="A55" s="2" t="s">
        <v>350</v>
      </c>
    </row>
    <row r="56" spans="1:24" x14ac:dyDescent="0.25">
      <c r="A56" s="32" t="s">
        <v>1087</v>
      </c>
    </row>
    <row r="57" spans="1:24" x14ac:dyDescent="0.25">
      <c r="A57" s="32" t="s">
        <v>1477</v>
      </c>
    </row>
    <row r="58" spans="1:24" x14ac:dyDescent="0.25">
      <c r="A58" s="32" t="s">
        <v>1139</v>
      </c>
    </row>
    <row r="59" spans="1:24" x14ac:dyDescent="0.25">
      <c r="A59" s="32" t="s">
        <v>1140</v>
      </c>
    </row>
    <row r="60" spans="1:24" x14ac:dyDescent="0.25">
      <c r="A60" s="32" t="s">
        <v>1141</v>
      </c>
    </row>
    <row r="61" spans="1:24" x14ac:dyDescent="0.25">
      <c r="A61" s="32" t="s">
        <v>1142</v>
      </c>
    </row>
    <row r="62" spans="1:24" x14ac:dyDescent="0.25">
      <c r="A62" s="32" t="s">
        <v>1143</v>
      </c>
    </row>
    <row r="63" spans="1:24" ht="30" x14ac:dyDescent="0.25">
      <c r="A63" s="33" t="s">
        <v>353</v>
      </c>
      <c r="B63" s="33" t="s">
        <v>355</v>
      </c>
      <c r="C63" s="33" t="s">
        <v>355</v>
      </c>
      <c r="D63" s="33" t="s">
        <v>355</v>
      </c>
      <c r="E63" s="33" t="s">
        <v>355</v>
      </c>
      <c r="F63" s="33" t="s">
        <v>355</v>
      </c>
      <c r="G63" s="33" t="s">
        <v>355</v>
      </c>
    </row>
    <row r="64" spans="1:24" ht="30" x14ac:dyDescent="0.25">
      <c r="A64" s="33" t="s">
        <v>356</v>
      </c>
      <c r="B64" s="33" t="s">
        <v>358</v>
      </c>
      <c r="C64" s="33" t="s">
        <v>1144</v>
      </c>
      <c r="D64" s="33" t="s">
        <v>1145</v>
      </c>
      <c r="E64" s="33" t="s">
        <v>1146</v>
      </c>
      <c r="F64" s="33" t="s">
        <v>1147</v>
      </c>
      <c r="G64" s="33" t="s">
        <v>1148</v>
      </c>
    </row>
    <row r="66" spans="1:8" ht="60" x14ac:dyDescent="0.25">
      <c r="B66" s="15" t="s">
        <v>1478</v>
      </c>
      <c r="C66" s="15" t="s">
        <v>1479</v>
      </c>
      <c r="D66" s="15" t="s">
        <v>1480</v>
      </c>
      <c r="E66" s="15" t="s">
        <v>1481</v>
      </c>
      <c r="F66" s="15" t="s">
        <v>1482</v>
      </c>
      <c r="G66" s="15" t="s">
        <v>1483</v>
      </c>
    </row>
    <row r="67" spans="1:8" x14ac:dyDescent="0.25">
      <c r="A67" s="4" t="s">
        <v>171</v>
      </c>
      <c r="B67" s="37">
        <f>SUMPRODUCT(Aggreg!$B15:$W15,$B$52:$W$52)</f>
        <v>0.12292722584997501</v>
      </c>
      <c r="C67" s="37">
        <f>SUMPRODUCT(Aggreg!$B53:$W53,$B$52:$W$52)</f>
        <v>0</v>
      </c>
      <c r="D67" s="37">
        <f>SUMPRODUCT(Aggreg!$B91:$W91,$B$52:$W$52)</f>
        <v>0</v>
      </c>
      <c r="E67" s="37">
        <f>SUMPRODUCT(Aggreg!$B129:$W129,$B$52:$W$52)</f>
        <v>0</v>
      </c>
      <c r="F67" s="37">
        <f>SUMPRODUCT(Aggreg!$B163:$W163,$B$52:$W$52)</f>
        <v>0</v>
      </c>
      <c r="G67" s="37">
        <f>SUMPRODUCT(Aggreg!$B198:$W198,$B$52:$W$52)</f>
        <v>0</v>
      </c>
      <c r="H67" s="17"/>
    </row>
    <row r="68" spans="1:8" x14ac:dyDescent="0.25">
      <c r="A68" s="4" t="s">
        <v>172</v>
      </c>
      <c r="B68" s="37">
        <f>SUMPRODUCT(Aggreg!$B16:$W16,$B$52:$W$52)</f>
        <v>0.14709525077709942</v>
      </c>
      <c r="C68" s="37">
        <f>SUMPRODUCT(Aggreg!$B54:$W54,$B$52:$W$52)</f>
        <v>2.7999104116190974E-3</v>
      </c>
      <c r="D68" s="37">
        <f>SUMPRODUCT(Aggreg!$B92:$W92,$B$52:$W$52)</f>
        <v>0</v>
      </c>
      <c r="E68" s="37">
        <f>SUMPRODUCT(Aggreg!$B130:$W130,$B$52:$W$52)</f>
        <v>0</v>
      </c>
      <c r="F68" s="37">
        <f>SUMPRODUCT(Aggreg!$B164:$W164,$B$52:$W$52)</f>
        <v>0</v>
      </c>
      <c r="G68" s="37">
        <f>SUMPRODUCT(Aggreg!$B199:$W199,$B$52:$W$52)</f>
        <v>0</v>
      </c>
      <c r="H68" s="17"/>
    </row>
    <row r="69" spans="1:8" x14ac:dyDescent="0.25">
      <c r="A69" s="4" t="s">
        <v>213</v>
      </c>
      <c r="B69" s="37">
        <f>SUMPRODUCT(Aggreg!$B17:$W17,$B$52:$W$52)</f>
        <v>6.8342840883932549E-3</v>
      </c>
      <c r="C69" s="37">
        <f>SUMPRODUCT(Aggreg!$B55:$W55,$B$52:$W$52)</f>
        <v>0</v>
      </c>
      <c r="D69" s="37">
        <f>SUMPRODUCT(Aggreg!$B93:$W93,$B$52:$W$52)</f>
        <v>0</v>
      </c>
      <c r="E69" s="37">
        <f>SUMPRODUCT(Aggreg!$B131:$W131,$B$52:$W$52)</f>
        <v>0</v>
      </c>
      <c r="F69" s="37">
        <f>SUMPRODUCT(Aggreg!$B165:$W165,$B$52:$W$52)</f>
        <v>0</v>
      </c>
      <c r="G69" s="37">
        <f>SUMPRODUCT(Aggreg!$B200:$W200,$B$52:$W$52)</f>
        <v>0</v>
      </c>
      <c r="H69" s="17"/>
    </row>
    <row r="70" spans="1:8" x14ac:dyDescent="0.25">
      <c r="A70" s="4" t="s">
        <v>173</v>
      </c>
      <c r="B70" s="37">
        <f>SUMPRODUCT(Aggreg!$B18:$W18,$B$52:$W$52)</f>
        <v>0.11027601341603332</v>
      </c>
      <c r="C70" s="37">
        <f>SUMPRODUCT(Aggreg!$B56:$W56,$B$52:$W$52)</f>
        <v>0</v>
      </c>
      <c r="D70" s="37">
        <f>SUMPRODUCT(Aggreg!$B94:$W94,$B$52:$W$52)</f>
        <v>0</v>
      </c>
      <c r="E70" s="37">
        <f>SUMPRODUCT(Aggreg!$B132:$W132,$B$52:$W$52)</f>
        <v>0</v>
      </c>
      <c r="F70" s="37">
        <f>SUMPRODUCT(Aggreg!$B166:$W166,$B$52:$W$52)</f>
        <v>0</v>
      </c>
      <c r="G70" s="37">
        <f>SUMPRODUCT(Aggreg!$B201:$W201,$B$52:$W$52)</f>
        <v>0</v>
      </c>
      <c r="H70" s="17"/>
    </row>
    <row r="71" spans="1:8" x14ac:dyDescent="0.25">
      <c r="A71" s="4" t="s">
        <v>174</v>
      </c>
      <c r="B71" s="37">
        <f>SUMPRODUCT(Aggreg!$B19:$W19,$B$52:$W$52)</f>
        <v>0.1152737298019279</v>
      </c>
      <c r="C71" s="37">
        <f>SUMPRODUCT(Aggreg!$B57:$W57,$B$52:$W$52)</f>
        <v>2.3481923874902875E-3</v>
      </c>
      <c r="D71" s="37">
        <f>SUMPRODUCT(Aggreg!$B95:$W95,$B$52:$W$52)</f>
        <v>0</v>
      </c>
      <c r="E71" s="37">
        <f>SUMPRODUCT(Aggreg!$B133:$W133,$B$52:$W$52)</f>
        <v>0</v>
      </c>
      <c r="F71" s="37">
        <f>SUMPRODUCT(Aggreg!$B167:$W167,$B$52:$W$52)</f>
        <v>0</v>
      </c>
      <c r="G71" s="37">
        <f>SUMPRODUCT(Aggreg!$B202:$W202,$B$52:$W$52)</f>
        <v>0</v>
      </c>
      <c r="H71" s="17"/>
    </row>
    <row r="72" spans="1:8" x14ac:dyDescent="0.25">
      <c r="A72" s="4" t="s">
        <v>214</v>
      </c>
      <c r="B72" s="37">
        <f>SUMPRODUCT(Aggreg!$B20:$W20,$B$52:$W$52)</f>
        <v>3.7107101695606896E-3</v>
      </c>
      <c r="C72" s="37">
        <f>SUMPRODUCT(Aggreg!$B58:$W58,$B$52:$W$52)</f>
        <v>0</v>
      </c>
      <c r="D72" s="37">
        <f>SUMPRODUCT(Aggreg!$B96:$W96,$B$52:$W$52)</f>
        <v>0</v>
      </c>
      <c r="E72" s="37">
        <f>SUMPRODUCT(Aggreg!$B134:$W134,$B$52:$W$52)</f>
        <v>0</v>
      </c>
      <c r="F72" s="37">
        <f>SUMPRODUCT(Aggreg!$B168:$W168,$B$52:$W$52)</f>
        <v>0</v>
      </c>
      <c r="G72" s="37">
        <f>SUMPRODUCT(Aggreg!$B203:$W203,$B$52:$W$52)</f>
        <v>0</v>
      </c>
      <c r="H72" s="17"/>
    </row>
    <row r="73" spans="1:8" x14ac:dyDescent="0.25">
      <c r="A73" s="4" t="s">
        <v>175</v>
      </c>
      <c r="B73" s="37">
        <f>SUMPRODUCT(Aggreg!$B21:$W21,$B$52:$W$52)</f>
        <v>9.6226668781822775E-2</v>
      </c>
      <c r="C73" s="37">
        <f>SUMPRODUCT(Aggreg!$B59:$W59,$B$52:$W$52)</f>
        <v>1.7771984964850801E-3</v>
      </c>
      <c r="D73" s="37">
        <f>SUMPRODUCT(Aggreg!$B97:$W97,$B$52:$W$52)</f>
        <v>0</v>
      </c>
      <c r="E73" s="37">
        <f>SUMPRODUCT(Aggreg!$B135:$W135,$B$52:$W$52)</f>
        <v>0</v>
      </c>
      <c r="F73" s="37">
        <f>SUMPRODUCT(Aggreg!$B169:$W169,$B$52:$W$52)</f>
        <v>0</v>
      </c>
      <c r="G73" s="37">
        <f>SUMPRODUCT(Aggreg!$B204:$W204,$B$52:$W$52)</f>
        <v>0</v>
      </c>
      <c r="H73" s="17"/>
    </row>
    <row r="74" spans="1:8" x14ac:dyDescent="0.25">
      <c r="A74" s="4" t="s">
        <v>176</v>
      </c>
      <c r="B74" s="37">
        <f>SUMPRODUCT(Aggreg!$B22:$W22,$B$52:$W$52)</f>
        <v>9.0263733153391687E-2</v>
      </c>
      <c r="C74" s="37">
        <f>SUMPRODUCT(Aggreg!$B60:$W60,$B$52:$W$52)</f>
        <v>1.6929459048755432E-3</v>
      </c>
      <c r="D74" s="37">
        <f>SUMPRODUCT(Aggreg!$B98:$W98,$B$52:$W$52)</f>
        <v>0</v>
      </c>
      <c r="E74" s="37">
        <f>SUMPRODUCT(Aggreg!$B136:$W136,$B$52:$W$52)</f>
        <v>0</v>
      </c>
      <c r="F74" s="37">
        <f>SUMPRODUCT(Aggreg!$B170:$W170,$B$52:$W$52)</f>
        <v>0</v>
      </c>
      <c r="G74" s="37">
        <f>SUMPRODUCT(Aggreg!$B205:$W205,$B$52:$W$52)</f>
        <v>0</v>
      </c>
      <c r="H74" s="17"/>
    </row>
    <row r="75" spans="1:8" x14ac:dyDescent="0.25">
      <c r="A75" s="4" t="s">
        <v>192</v>
      </c>
      <c r="B75" s="37">
        <f>SUMPRODUCT(Aggreg!$B23:$W23,$B$52:$W$52)</f>
        <v>0.11065003460819496</v>
      </c>
      <c r="C75" s="37">
        <f>SUMPRODUCT(Aggreg!$B61:$W61,$B$52:$W$52)</f>
        <v>2.1113257968383989E-3</v>
      </c>
      <c r="D75" s="37">
        <f>SUMPRODUCT(Aggreg!$B99:$W99,$B$52:$W$52)</f>
        <v>0</v>
      </c>
      <c r="E75" s="37">
        <f>SUMPRODUCT(Aggreg!$B137:$W137,$B$52:$W$52)</f>
        <v>0</v>
      </c>
      <c r="F75" s="37">
        <f>SUMPRODUCT(Aggreg!$B171:$W171,$B$52:$W$52)</f>
        <v>0</v>
      </c>
      <c r="G75" s="37">
        <f>SUMPRODUCT(Aggreg!$B206:$W206,$B$52:$W$52)</f>
        <v>0</v>
      </c>
      <c r="H75" s="17"/>
    </row>
    <row r="76" spans="1:8" x14ac:dyDescent="0.25">
      <c r="A76" s="4" t="s">
        <v>177</v>
      </c>
      <c r="B76" s="37">
        <f>SUMPRODUCT(Aggreg!$B24:$W24,$B$52:$W$52)</f>
        <v>0.89335459064121203</v>
      </c>
      <c r="C76" s="37">
        <f>SUMPRODUCT(Aggreg!$B62:$W62,$B$52:$W$52)</f>
        <v>2.8460092324639086E-2</v>
      </c>
      <c r="D76" s="37">
        <f>SUMPRODUCT(Aggreg!$B100:$W100,$B$52:$W$52)</f>
        <v>2.5162966931382047E-3</v>
      </c>
      <c r="E76" s="37">
        <f>SUMPRODUCT(Aggreg!$B138:$W138,$B$52:$W$52)</f>
        <v>0</v>
      </c>
      <c r="F76" s="37">
        <f>SUMPRODUCT(Aggreg!$B172:$W172,$B$52:$W$52)</f>
        <v>0</v>
      </c>
      <c r="G76" s="37">
        <f>SUMPRODUCT(Aggreg!$B207:$W207,$B$52:$W$52)</f>
        <v>0</v>
      </c>
      <c r="H76" s="17"/>
    </row>
    <row r="77" spans="1:8" x14ac:dyDescent="0.25">
      <c r="A77" s="4" t="s">
        <v>178</v>
      </c>
      <c r="B77" s="37">
        <f>SUMPRODUCT(Aggreg!$B25:$W25,$B$52:$W$52)</f>
        <v>0.86923511740343762</v>
      </c>
      <c r="C77" s="37">
        <f>SUMPRODUCT(Aggreg!$B63:$W63,$B$52:$W$52)</f>
        <v>2.7691704897787661E-2</v>
      </c>
      <c r="D77" s="37">
        <f>SUMPRODUCT(Aggreg!$B101:$W101,$B$52:$W$52)</f>
        <v>2.4483597827733247E-3</v>
      </c>
      <c r="E77" s="37">
        <f>SUMPRODUCT(Aggreg!$B139:$W139,$B$52:$W$52)</f>
        <v>0</v>
      </c>
      <c r="F77" s="37">
        <f>SUMPRODUCT(Aggreg!$B173:$W173,$B$52:$W$52)</f>
        <v>0</v>
      </c>
      <c r="G77" s="37">
        <f>SUMPRODUCT(Aggreg!$B208:$W208,$B$52:$W$52)</f>
        <v>0</v>
      </c>
      <c r="H77" s="17"/>
    </row>
    <row r="78" spans="1:8" x14ac:dyDescent="0.25">
      <c r="A78" s="4" t="s">
        <v>179</v>
      </c>
      <c r="B78" s="37">
        <f>SUMPRODUCT(Aggreg!$B26:$W26,$B$52:$W$52)</f>
        <v>0.75627491169386463</v>
      </c>
      <c r="C78" s="37">
        <f>SUMPRODUCT(Aggreg!$B64:$W64,$B$52:$W$52)</f>
        <v>2.4093069017719928E-2</v>
      </c>
      <c r="D78" s="37">
        <f>SUMPRODUCT(Aggreg!$B102:$W102,$B$52:$W$52)</f>
        <v>2.1301866910794719E-3</v>
      </c>
      <c r="E78" s="37">
        <f>SUMPRODUCT(Aggreg!$B140:$W140,$B$52:$W$52)</f>
        <v>0</v>
      </c>
      <c r="F78" s="37">
        <f>SUMPRODUCT(Aggreg!$B174:$W174,$B$52:$W$52)</f>
        <v>0</v>
      </c>
      <c r="G78" s="37">
        <f>SUMPRODUCT(Aggreg!$B209:$W209,$B$52:$W$52)</f>
        <v>1.6219918557324877E-2</v>
      </c>
      <c r="H78" s="17"/>
    </row>
    <row r="79" spans="1:8" x14ac:dyDescent="0.25">
      <c r="A79" s="4" t="s">
        <v>180</v>
      </c>
      <c r="B79" s="37">
        <f>SUMPRODUCT(Aggreg!$B27:$W27,$B$52:$W$52)</f>
        <v>0.71456338597995261</v>
      </c>
      <c r="C79" s="37">
        <f>SUMPRODUCT(Aggreg!$B65:$W65,$B$52:$W$52)</f>
        <v>2.2764241824961642E-2</v>
      </c>
      <c r="D79" s="37">
        <f>SUMPRODUCT(Aggreg!$B103:$W103,$B$52:$W$52)</f>
        <v>2.0126985454772522E-3</v>
      </c>
      <c r="E79" s="37">
        <f>SUMPRODUCT(Aggreg!$B141:$W141,$B$52:$W$52)</f>
        <v>0</v>
      </c>
      <c r="F79" s="37">
        <f>SUMPRODUCT(Aggreg!$B175:$W175,$B$52:$W$52)</f>
        <v>0</v>
      </c>
      <c r="G79" s="37">
        <f>SUMPRODUCT(Aggreg!$B210:$W210,$B$52:$W$52)</f>
        <v>1.4812477875776688E-2</v>
      </c>
      <c r="H79" s="17"/>
    </row>
    <row r="80" spans="1:8" x14ac:dyDescent="0.25">
      <c r="A80" s="4" t="s">
        <v>193</v>
      </c>
      <c r="B80" s="37">
        <f>SUMPRODUCT(Aggreg!$B28:$W28,$B$52:$W$52)</f>
        <v>0.63740885510118772</v>
      </c>
      <c r="C80" s="37">
        <f>SUMPRODUCT(Aggreg!$B66:$W66,$B$52:$W$52)</f>
        <v>2.0306287172825364E-2</v>
      </c>
      <c r="D80" s="37">
        <f>SUMPRODUCT(Aggreg!$B104:$W104,$B$52:$W$52)</f>
        <v>1.7953786895715275E-3</v>
      </c>
      <c r="E80" s="37">
        <f>SUMPRODUCT(Aggreg!$B142:$W142,$B$52:$W$52)</f>
        <v>0</v>
      </c>
      <c r="F80" s="37">
        <f>SUMPRODUCT(Aggreg!$B176:$W176,$B$52:$W$52)</f>
        <v>0</v>
      </c>
      <c r="G80" s="37">
        <f>SUMPRODUCT(Aggreg!$B211:$W211,$B$52:$W$52)</f>
        <v>1.2520079189776623E-2</v>
      </c>
      <c r="H80" s="17"/>
    </row>
    <row r="81" spans="1:8" x14ac:dyDescent="0.25">
      <c r="A81" s="4" t="s">
        <v>215</v>
      </c>
      <c r="B81" s="37">
        <f>SUMPRODUCT(Aggreg!$B29:$W29,$B$52:$W$52)</f>
        <v>6.9335116942766173E-2</v>
      </c>
      <c r="C81" s="37">
        <f>SUMPRODUCT(Aggreg!$B67:$W67,$B$52:$W$52)</f>
        <v>0</v>
      </c>
      <c r="D81" s="37">
        <f>SUMPRODUCT(Aggreg!$B105:$W105,$B$52:$W$52)</f>
        <v>0</v>
      </c>
      <c r="E81" s="37">
        <f>SUMPRODUCT(Aggreg!$B143:$W143,$B$52:$W$52)</f>
        <v>0</v>
      </c>
      <c r="F81" s="37">
        <f>SUMPRODUCT(Aggreg!$B177:$W177,$B$52:$W$52)</f>
        <v>0</v>
      </c>
      <c r="G81" s="37">
        <f>SUMPRODUCT(Aggreg!$B212:$W212,$B$52:$W$52)</f>
        <v>0</v>
      </c>
      <c r="H81" s="17"/>
    </row>
    <row r="82" spans="1:8" x14ac:dyDescent="0.25">
      <c r="A82" s="4" t="s">
        <v>216</v>
      </c>
      <c r="B82" s="37">
        <f>SUMPRODUCT(Aggreg!$B30:$W30,$B$52:$W$52)</f>
        <v>0.10817301584023543</v>
      </c>
      <c r="C82" s="37">
        <f>SUMPRODUCT(Aggreg!$B68:$W68,$B$52:$W$52)</f>
        <v>0</v>
      </c>
      <c r="D82" s="37">
        <f>SUMPRODUCT(Aggreg!$B106:$W106,$B$52:$W$52)</f>
        <v>0</v>
      </c>
      <c r="E82" s="37">
        <f>SUMPRODUCT(Aggreg!$B144:$W144,$B$52:$W$52)</f>
        <v>0</v>
      </c>
      <c r="F82" s="37">
        <f>SUMPRODUCT(Aggreg!$B178:$W178,$B$52:$W$52)</f>
        <v>0</v>
      </c>
      <c r="G82" s="37">
        <f>SUMPRODUCT(Aggreg!$B213:$W213,$B$52:$W$52)</f>
        <v>0</v>
      </c>
      <c r="H82" s="17"/>
    </row>
    <row r="83" spans="1:8" x14ac:dyDescent="0.25">
      <c r="A83" s="4" t="s">
        <v>217</v>
      </c>
      <c r="B83" s="37">
        <f>SUMPRODUCT(Aggreg!$B31:$W31,$B$52:$W$52)</f>
        <v>0.20546824826577392</v>
      </c>
      <c r="C83" s="37">
        <f>SUMPRODUCT(Aggreg!$B69:$W69,$B$52:$W$52)</f>
        <v>0</v>
      </c>
      <c r="D83" s="37">
        <f>SUMPRODUCT(Aggreg!$B107:$W107,$B$52:$W$52)</f>
        <v>0</v>
      </c>
      <c r="E83" s="37">
        <f>SUMPRODUCT(Aggreg!$B145:$W145,$B$52:$W$52)</f>
        <v>0</v>
      </c>
      <c r="F83" s="37">
        <f>SUMPRODUCT(Aggreg!$B179:$W179,$B$52:$W$52)</f>
        <v>0</v>
      </c>
      <c r="G83" s="37">
        <f>SUMPRODUCT(Aggreg!$B214:$W214,$B$52:$W$52)</f>
        <v>0</v>
      </c>
      <c r="H83" s="17"/>
    </row>
    <row r="84" spans="1:8" x14ac:dyDescent="0.25">
      <c r="A84" s="4" t="s">
        <v>218</v>
      </c>
      <c r="B84" s="37">
        <f>SUMPRODUCT(Aggreg!$B32:$W32,$B$52:$W$52)</f>
        <v>4.621845829133004E-2</v>
      </c>
      <c r="C84" s="37">
        <f>SUMPRODUCT(Aggreg!$B70:$W70,$B$52:$W$52)</f>
        <v>0</v>
      </c>
      <c r="D84" s="37">
        <f>SUMPRODUCT(Aggreg!$B108:$W108,$B$52:$W$52)</f>
        <v>0</v>
      </c>
      <c r="E84" s="37">
        <f>SUMPRODUCT(Aggreg!$B146:$W146,$B$52:$W$52)</f>
        <v>0</v>
      </c>
      <c r="F84" s="37">
        <f>SUMPRODUCT(Aggreg!$B180:$W180,$B$52:$W$52)</f>
        <v>0</v>
      </c>
      <c r="G84" s="37">
        <f>SUMPRODUCT(Aggreg!$B215:$W215,$B$52:$W$52)</f>
        <v>0</v>
      </c>
      <c r="H84" s="17"/>
    </row>
    <row r="85" spans="1:8" x14ac:dyDescent="0.25">
      <c r="A85" s="4" t="s">
        <v>219</v>
      </c>
      <c r="B85" s="37">
        <f>SUMPRODUCT(Aggreg!$B33:$W33,$B$52:$W$52)</f>
        <v>2.0965780496722233</v>
      </c>
      <c r="C85" s="37">
        <f>SUMPRODUCT(Aggreg!$B71:$W71,$B$52:$W$52)</f>
        <v>1.8269287517982544E-2</v>
      </c>
      <c r="D85" s="37">
        <f>SUMPRODUCT(Aggreg!$B109:$W109,$B$52:$W$52)</f>
        <v>1.9529385095021807E-3</v>
      </c>
      <c r="E85" s="37">
        <f>SUMPRODUCT(Aggreg!$B147:$W147,$B$52:$W$52)</f>
        <v>0</v>
      </c>
      <c r="F85" s="37">
        <f>SUMPRODUCT(Aggreg!$B181:$W181,$B$52:$W$52)</f>
        <v>0</v>
      </c>
      <c r="G85" s="37">
        <f>SUMPRODUCT(Aggreg!$B216:$W216,$B$52:$W$52)</f>
        <v>0</v>
      </c>
      <c r="H85" s="17"/>
    </row>
    <row r="86" spans="1:8" x14ac:dyDescent="0.25">
      <c r="A86" s="4" t="s">
        <v>181</v>
      </c>
      <c r="B86" s="37">
        <f>SUMPRODUCT(Aggreg!$B34:$W34,$B$52:$W$52)</f>
        <v>-6.308141718088911E-2</v>
      </c>
      <c r="C86" s="37">
        <f>SUMPRODUCT(Aggreg!$B72:$W72,$B$52:$W$52)</f>
        <v>0</v>
      </c>
      <c r="D86" s="37">
        <f>SUMPRODUCT(Aggreg!$B110:$W110,$B$52:$W$52)</f>
        <v>0</v>
      </c>
      <c r="E86" s="37">
        <f>SUMPRODUCT(Aggreg!$B148:$W148,$B$52:$W$52)</f>
        <v>0</v>
      </c>
      <c r="F86" s="37">
        <f>SUMPRODUCT(Aggreg!$B182:$W182,$B$52:$W$52)</f>
        <v>0</v>
      </c>
      <c r="G86" s="37">
        <f>SUMPRODUCT(Aggreg!$B217:$W217,$B$52:$W$52)</f>
        <v>0</v>
      </c>
      <c r="H86" s="17"/>
    </row>
    <row r="87" spans="1:8" x14ac:dyDescent="0.25">
      <c r="A87" s="4" t="s">
        <v>182</v>
      </c>
      <c r="B87" s="37">
        <f>SUMPRODUCT(Aggreg!$B35:$W35,$B$52:$W$52)</f>
        <v>-6.0090882983159496E-2</v>
      </c>
      <c r="C87" s="37">
        <f>SUMPRODUCT(Aggreg!$B73:$W73,$B$52:$W$52)</f>
        <v>0</v>
      </c>
      <c r="D87" s="37">
        <f>SUMPRODUCT(Aggreg!$B111:$W111,$B$52:$W$52)</f>
        <v>0</v>
      </c>
      <c r="E87" s="37">
        <f>SUMPRODUCT(Aggreg!$B149:$W149,$B$52:$W$52)</f>
        <v>0</v>
      </c>
      <c r="F87" s="37">
        <f>SUMPRODUCT(Aggreg!$B183:$W183,$B$52:$W$52)</f>
        <v>0</v>
      </c>
      <c r="G87" s="37">
        <f>SUMPRODUCT(Aggreg!$B218:$W218,$B$52:$W$52)</f>
        <v>0</v>
      </c>
      <c r="H87" s="17"/>
    </row>
    <row r="88" spans="1:8" x14ac:dyDescent="0.25">
      <c r="A88" s="4" t="s">
        <v>183</v>
      </c>
      <c r="B88" s="37">
        <f>SUMPRODUCT(Aggreg!$B36:$W36,$B$52:$W$52)</f>
        <v>-6.308141718088911E-2</v>
      </c>
      <c r="C88" s="37">
        <f>SUMPRODUCT(Aggreg!$B74:$W74,$B$52:$W$52)</f>
        <v>0</v>
      </c>
      <c r="D88" s="37">
        <f>SUMPRODUCT(Aggreg!$B112:$W112,$B$52:$W$52)</f>
        <v>0</v>
      </c>
      <c r="E88" s="37">
        <f>SUMPRODUCT(Aggreg!$B150:$W150,$B$52:$W$52)</f>
        <v>0</v>
      </c>
      <c r="F88" s="37">
        <f>SUMPRODUCT(Aggreg!$B184:$W184,$B$52:$W$52)</f>
        <v>0</v>
      </c>
      <c r="G88" s="37">
        <f>SUMPRODUCT(Aggreg!$B219:$W219,$B$52:$W$52)</f>
        <v>1.1054247958223911E-2</v>
      </c>
      <c r="H88" s="17"/>
    </row>
    <row r="89" spans="1:8" x14ac:dyDescent="0.25">
      <c r="A89" s="4" t="s">
        <v>184</v>
      </c>
      <c r="B89" s="37">
        <f>SUMPRODUCT(Aggreg!$B37:$W37,$B$52:$W$52)</f>
        <v>-0.63095438612031973</v>
      </c>
      <c r="C89" s="37">
        <f>SUMPRODUCT(Aggreg!$B75:$W75,$B$52:$W$52)</f>
        <v>-2.0100663577193343E-2</v>
      </c>
      <c r="D89" s="37">
        <f>SUMPRODUCT(Aggreg!$B113:$W113,$B$52:$W$52)</f>
        <v>-1.7771984964850801E-3</v>
      </c>
      <c r="E89" s="37">
        <f>SUMPRODUCT(Aggreg!$B151:$W151,$B$52:$W$52)</f>
        <v>0</v>
      </c>
      <c r="F89" s="37">
        <f>SUMPRODUCT(Aggreg!$B185:$W185,$B$52:$W$52)</f>
        <v>0</v>
      </c>
      <c r="G89" s="37">
        <f>SUMPRODUCT(Aggreg!$B220:$W220,$B$52:$W$52)</f>
        <v>1.1054247958223911E-2</v>
      </c>
      <c r="H89" s="17"/>
    </row>
    <row r="90" spans="1:8" x14ac:dyDescent="0.25">
      <c r="A90" s="4" t="s">
        <v>185</v>
      </c>
      <c r="B90" s="37">
        <f>SUMPRODUCT(Aggreg!$B38:$W38,$B$52:$W$52)</f>
        <v>-6.0090882983159496E-2</v>
      </c>
      <c r="C90" s="37">
        <f>SUMPRODUCT(Aggreg!$B76:$W76,$B$52:$W$52)</f>
        <v>0</v>
      </c>
      <c r="D90" s="37">
        <f>SUMPRODUCT(Aggreg!$B114:$W114,$B$52:$W$52)</f>
        <v>0</v>
      </c>
      <c r="E90" s="37">
        <f>SUMPRODUCT(Aggreg!$B152:$W152,$B$52:$W$52)</f>
        <v>0</v>
      </c>
      <c r="F90" s="37">
        <f>SUMPRODUCT(Aggreg!$B186:$W186,$B$52:$W$52)</f>
        <v>0</v>
      </c>
      <c r="G90" s="37">
        <f>SUMPRODUCT(Aggreg!$B221:$W221,$B$52:$W$52)</f>
        <v>1.0530193362962431E-2</v>
      </c>
      <c r="H90" s="17"/>
    </row>
    <row r="91" spans="1:8" x14ac:dyDescent="0.25">
      <c r="A91" s="4" t="s">
        <v>186</v>
      </c>
      <c r="B91" s="37">
        <f>SUMPRODUCT(Aggreg!$B39:$W39,$B$52:$W$52)</f>
        <v>-0.60104239692880312</v>
      </c>
      <c r="C91" s="37">
        <f>SUMPRODUCT(Aggreg!$B77:$W77,$B$52:$W$52)</f>
        <v>-1.9147740759174185E-2</v>
      </c>
      <c r="D91" s="37">
        <f>SUMPRODUCT(Aggreg!$B115:$W115,$B$52:$W$52)</f>
        <v>-1.6929459048755432E-3</v>
      </c>
      <c r="E91" s="37">
        <f>SUMPRODUCT(Aggreg!$B153:$W153,$B$52:$W$52)</f>
        <v>0</v>
      </c>
      <c r="F91" s="37">
        <f>SUMPRODUCT(Aggreg!$B187:$W187,$B$52:$W$52)</f>
        <v>0</v>
      </c>
      <c r="G91" s="37">
        <f>SUMPRODUCT(Aggreg!$B222:$W222,$B$52:$W$52)</f>
        <v>1.0530193362962431E-2</v>
      </c>
      <c r="H91" s="17"/>
    </row>
    <row r="92" spans="1:8" x14ac:dyDescent="0.25">
      <c r="A92" s="4" t="s">
        <v>194</v>
      </c>
      <c r="B92" s="37">
        <f>SUMPRODUCT(Aggreg!$B40:$W40,$B$52:$W$52)</f>
        <v>-5.9313102485012932E-2</v>
      </c>
      <c r="C92" s="37">
        <f>SUMPRODUCT(Aggreg!$B78:$W78,$B$52:$W$52)</f>
        <v>0</v>
      </c>
      <c r="D92" s="37">
        <f>SUMPRODUCT(Aggreg!$B116:$W116,$B$52:$W$52)</f>
        <v>0</v>
      </c>
      <c r="E92" s="37">
        <f>SUMPRODUCT(Aggreg!$B154:$W154,$B$52:$W$52)</f>
        <v>0</v>
      </c>
      <c r="F92" s="37">
        <f>SUMPRODUCT(Aggreg!$B188:$W188,$B$52:$W$52)</f>
        <v>0</v>
      </c>
      <c r="G92" s="37">
        <f>SUMPRODUCT(Aggreg!$B223:$W223,$B$52:$W$52)</f>
        <v>1.0393896829564514E-2</v>
      </c>
      <c r="H92" s="17"/>
    </row>
    <row r="93" spans="1:8" x14ac:dyDescent="0.25">
      <c r="A93" s="4" t="s">
        <v>195</v>
      </c>
      <c r="B93" s="37">
        <f>SUMPRODUCT(Aggreg!$B41:$W41,$B$52:$W$52)</f>
        <v>-0.59326286313460841</v>
      </c>
      <c r="C93" s="37">
        <f>SUMPRODUCT(Aggreg!$B79:$W79,$B$52:$W$52)</f>
        <v>-1.8899903839383451E-2</v>
      </c>
      <c r="D93" s="37">
        <f>SUMPRODUCT(Aggreg!$B117:$W117,$B$52:$W$52)</f>
        <v>-1.6710334242485186E-3</v>
      </c>
      <c r="E93" s="37">
        <f>SUMPRODUCT(Aggreg!$B155:$W155,$B$52:$W$52)</f>
        <v>0</v>
      </c>
      <c r="F93" s="37">
        <f>SUMPRODUCT(Aggreg!$B189:$W189,$B$52:$W$52)</f>
        <v>0</v>
      </c>
      <c r="G93" s="37">
        <f>SUMPRODUCT(Aggreg!$B224:$W224,$B$52:$W$52)</f>
        <v>1.0393896829564514E-2</v>
      </c>
      <c r="H93" s="17"/>
    </row>
    <row r="95" spans="1:8" ht="21" customHeight="1" x14ac:dyDescent="0.3">
      <c r="A95" s="1" t="s">
        <v>1484</v>
      </c>
    </row>
    <row r="97" spans="1:24" ht="30" x14ac:dyDescent="0.25">
      <c r="B97" s="15" t="s">
        <v>139</v>
      </c>
      <c r="C97" s="15" t="s">
        <v>313</v>
      </c>
      <c r="D97" s="15" t="s">
        <v>314</v>
      </c>
      <c r="E97" s="15" t="s">
        <v>315</v>
      </c>
      <c r="F97" s="15" t="s">
        <v>316</v>
      </c>
      <c r="G97" s="15" t="s">
        <v>317</v>
      </c>
      <c r="H97" s="15" t="s">
        <v>318</v>
      </c>
      <c r="I97" s="15" t="s">
        <v>319</v>
      </c>
      <c r="J97" s="15" t="s">
        <v>320</v>
      </c>
      <c r="K97" s="15" t="s">
        <v>462</v>
      </c>
      <c r="L97" s="15" t="s">
        <v>474</v>
      </c>
      <c r="M97" s="15" t="s">
        <v>301</v>
      </c>
      <c r="N97" s="15" t="s">
        <v>876</v>
      </c>
      <c r="O97" s="15" t="s">
        <v>877</v>
      </c>
      <c r="P97" s="15" t="s">
        <v>878</v>
      </c>
      <c r="Q97" s="15" t="s">
        <v>879</v>
      </c>
      <c r="R97" s="15" t="s">
        <v>880</v>
      </c>
      <c r="S97" s="15" t="s">
        <v>881</v>
      </c>
      <c r="T97" s="15" t="s">
        <v>882</v>
      </c>
      <c r="U97" s="15" t="s">
        <v>883</v>
      </c>
      <c r="V97" s="15" t="s">
        <v>884</v>
      </c>
      <c r="W97" s="15" t="s">
        <v>885</v>
      </c>
    </row>
    <row r="98" spans="1:24" x14ac:dyDescent="0.25">
      <c r="A98" s="4" t="s">
        <v>1485</v>
      </c>
      <c r="B98" s="28">
        <v>0</v>
      </c>
      <c r="C98" s="28">
        <v>0</v>
      </c>
      <c r="D98" s="28">
        <v>0</v>
      </c>
      <c r="E98" s="28">
        <v>0</v>
      </c>
      <c r="F98" s="28">
        <v>0</v>
      </c>
      <c r="G98" s="28">
        <v>0</v>
      </c>
      <c r="H98" s="28">
        <v>0</v>
      </c>
      <c r="I98" s="28">
        <v>0</v>
      </c>
      <c r="J98" s="28">
        <v>0</v>
      </c>
      <c r="K98" s="28">
        <v>0</v>
      </c>
      <c r="L98" s="28">
        <v>0</v>
      </c>
      <c r="M98" s="28">
        <v>0</v>
      </c>
      <c r="N98" s="28">
        <v>1</v>
      </c>
      <c r="O98" s="28">
        <v>1</v>
      </c>
      <c r="P98" s="28">
        <v>1</v>
      </c>
      <c r="Q98" s="28">
        <v>1</v>
      </c>
      <c r="R98" s="28">
        <v>1</v>
      </c>
      <c r="S98" s="28">
        <v>1</v>
      </c>
      <c r="T98" s="28">
        <v>1</v>
      </c>
      <c r="U98" s="28">
        <v>1</v>
      </c>
      <c r="V98" s="28">
        <v>1</v>
      </c>
      <c r="W98" s="28">
        <v>1</v>
      </c>
      <c r="X98" s="17"/>
    </row>
    <row r="100" spans="1:24" ht="21" customHeight="1" x14ac:dyDescent="0.3">
      <c r="A100" s="1" t="s">
        <v>1486</v>
      </c>
    </row>
    <row r="101" spans="1:24" x14ac:dyDescent="0.25">
      <c r="A101" s="2" t="s">
        <v>350</v>
      </c>
    </row>
    <row r="102" spans="1:24" x14ac:dyDescent="0.25">
      <c r="A102" s="32" t="s">
        <v>1087</v>
      </c>
    </row>
    <row r="103" spans="1:24" x14ac:dyDescent="0.25">
      <c r="A103" s="32" t="s">
        <v>1487</v>
      </c>
    </row>
    <row r="104" spans="1:24" x14ac:dyDescent="0.25">
      <c r="A104" s="32" t="s">
        <v>1139</v>
      </c>
    </row>
    <row r="105" spans="1:24" x14ac:dyDescent="0.25">
      <c r="A105" s="32" t="s">
        <v>1140</v>
      </c>
    </row>
    <row r="106" spans="1:24" x14ac:dyDescent="0.25">
      <c r="A106" s="32" t="s">
        <v>1141</v>
      </c>
    </row>
    <row r="107" spans="1:24" x14ac:dyDescent="0.25">
      <c r="A107" s="32" t="s">
        <v>1142</v>
      </c>
    </row>
    <row r="108" spans="1:24" x14ac:dyDescent="0.25">
      <c r="A108" s="32" t="s">
        <v>1143</v>
      </c>
    </row>
    <row r="109" spans="1:24" ht="30" x14ac:dyDescent="0.25">
      <c r="A109" s="33" t="s">
        <v>353</v>
      </c>
      <c r="B109" s="33" t="s">
        <v>355</v>
      </c>
      <c r="C109" s="33" t="s">
        <v>355</v>
      </c>
      <c r="D109" s="33" t="s">
        <v>355</v>
      </c>
      <c r="E109" s="33" t="s">
        <v>355</v>
      </c>
      <c r="F109" s="33" t="s">
        <v>355</v>
      </c>
      <c r="G109" s="33" t="s">
        <v>355</v>
      </c>
    </row>
    <row r="110" spans="1:24" ht="30" x14ac:dyDescent="0.25">
      <c r="A110" s="33" t="s">
        <v>356</v>
      </c>
      <c r="B110" s="33" t="s">
        <v>358</v>
      </c>
      <c r="C110" s="33" t="s">
        <v>1144</v>
      </c>
      <c r="D110" s="33" t="s">
        <v>1145</v>
      </c>
      <c r="E110" s="33" t="s">
        <v>1146</v>
      </c>
      <c r="F110" s="33" t="s">
        <v>1147</v>
      </c>
      <c r="G110" s="33" t="s">
        <v>1148</v>
      </c>
    </row>
    <row r="112" spans="1:24" ht="75" x14ac:dyDescent="0.25">
      <c r="B112" s="15" t="s">
        <v>1488</v>
      </c>
      <c r="C112" s="15" t="s">
        <v>1489</v>
      </c>
      <c r="D112" s="15" t="s">
        <v>1490</v>
      </c>
      <c r="E112" s="15" t="s">
        <v>1491</v>
      </c>
      <c r="F112" s="15" t="s">
        <v>1492</v>
      </c>
      <c r="G112" s="15" t="s">
        <v>1493</v>
      </c>
    </row>
    <row r="113" spans="1:8" x14ac:dyDescent="0.25">
      <c r="A113" s="4" t="s">
        <v>171</v>
      </c>
      <c r="B113" s="37">
        <f>SUMPRODUCT(Aggreg!$B15:$W15,$B$98:$W$98)</f>
        <v>0.45502515082524247</v>
      </c>
      <c r="C113" s="37">
        <f>SUMPRODUCT(Aggreg!$B53:$W53,$B$98:$W$98)</f>
        <v>0</v>
      </c>
      <c r="D113" s="37">
        <f>SUMPRODUCT(Aggreg!$B91:$W91,$B$98:$W$98)</f>
        <v>0</v>
      </c>
      <c r="E113" s="37">
        <f>SUMPRODUCT(Aggreg!$B129:$W129,$B$98:$W$98)</f>
        <v>3.0934219464696615</v>
      </c>
      <c r="F113" s="37">
        <f>SUMPRODUCT(Aggreg!$B163:$W163,$B$98:$W$98)</f>
        <v>0</v>
      </c>
      <c r="G113" s="37">
        <f>SUMPRODUCT(Aggreg!$B198:$W198,$B$98:$W$98)</f>
        <v>0</v>
      </c>
      <c r="H113" s="17"/>
    </row>
    <row r="114" spans="1:8" x14ac:dyDescent="0.25">
      <c r="A114" s="4" t="s">
        <v>172</v>
      </c>
      <c r="B114" s="37">
        <f>SUMPRODUCT(Aggreg!$B16:$W16,$B$98:$W$98)</f>
        <v>0.54007514373822385</v>
      </c>
      <c r="C114" s="37">
        <f>SUMPRODUCT(Aggreg!$B54:$W54,$B$98:$W$98)</f>
        <v>5.3136239247238315E-2</v>
      </c>
      <c r="D114" s="37">
        <f>SUMPRODUCT(Aggreg!$B92:$W92,$B$98:$W$98)</f>
        <v>0</v>
      </c>
      <c r="E114" s="37">
        <f>SUMPRODUCT(Aggreg!$B130:$W130,$B$98:$W$98)</f>
        <v>3.0934219464696615</v>
      </c>
      <c r="F114" s="37">
        <f>SUMPRODUCT(Aggreg!$B164:$W164,$B$98:$W$98)</f>
        <v>0</v>
      </c>
      <c r="G114" s="37">
        <f>SUMPRODUCT(Aggreg!$B199:$W199,$B$98:$W$98)</f>
        <v>0</v>
      </c>
      <c r="H114" s="17"/>
    </row>
    <row r="115" spans="1:8" x14ac:dyDescent="0.25">
      <c r="A115" s="4" t="s">
        <v>213</v>
      </c>
      <c r="B115" s="37">
        <f>SUMPRODUCT(Aggreg!$B17:$W17,$B$98:$W$98)</f>
        <v>6.3375813174293805E-2</v>
      </c>
      <c r="C115" s="37">
        <f>SUMPRODUCT(Aggreg!$B55:$W55,$B$98:$W$98)</f>
        <v>0</v>
      </c>
      <c r="D115" s="37">
        <f>SUMPRODUCT(Aggreg!$B93:$W93,$B$98:$W$98)</f>
        <v>0</v>
      </c>
      <c r="E115" s="37">
        <f>SUMPRODUCT(Aggreg!$B131:$W131,$B$98:$W$98)</f>
        <v>0</v>
      </c>
      <c r="F115" s="37">
        <f>SUMPRODUCT(Aggreg!$B165:$W165,$B$98:$W$98)</f>
        <v>0</v>
      </c>
      <c r="G115" s="37">
        <f>SUMPRODUCT(Aggreg!$B200:$W200,$B$98:$W$98)</f>
        <v>0</v>
      </c>
      <c r="H115" s="17"/>
    </row>
    <row r="116" spans="1:8" x14ac:dyDescent="0.25">
      <c r="A116" s="4" t="s">
        <v>173</v>
      </c>
      <c r="B116" s="37">
        <f>SUMPRODUCT(Aggreg!$B18:$W18,$B$98:$W$98)</f>
        <v>0.44744857583496073</v>
      </c>
      <c r="C116" s="37">
        <f>SUMPRODUCT(Aggreg!$B56:$W56,$B$98:$W$98)</f>
        <v>0</v>
      </c>
      <c r="D116" s="37">
        <f>SUMPRODUCT(Aggreg!$B94:$W94,$B$98:$W$98)</f>
        <v>0</v>
      </c>
      <c r="E116" s="37">
        <f>SUMPRODUCT(Aggreg!$B132:$W132,$B$98:$W$98)</f>
        <v>3.0934219464696509</v>
      </c>
      <c r="F116" s="37">
        <f>SUMPRODUCT(Aggreg!$B166:$W166,$B$98:$W$98)</f>
        <v>0</v>
      </c>
      <c r="G116" s="37">
        <f>SUMPRODUCT(Aggreg!$B201:$W201,$B$98:$W$98)</f>
        <v>0</v>
      </c>
      <c r="H116" s="17"/>
    </row>
    <row r="117" spans="1:8" x14ac:dyDescent="0.25">
      <c r="A117" s="4" t="s">
        <v>174</v>
      </c>
      <c r="B117" s="37">
        <f>SUMPRODUCT(Aggreg!$B19:$W19,$B$98:$W$98)</f>
        <v>0.45576618282594394</v>
      </c>
      <c r="C117" s="37">
        <f>SUMPRODUCT(Aggreg!$B57:$W57,$B$98:$W$98)</f>
        <v>4.4562412419182351E-2</v>
      </c>
      <c r="D117" s="37">
        <f>SUMPRODUCT(Aggreg!$B95:$W95,$B$98:$W$98)</f>
        <v>0</v>
      </c>
      <c r="E117" s="37">
        <f>SUMPRODUCT(Aggreg!$B133:$W133,$B$98:$W$98)</f>
        <v>3.0934219464696509</v>
      </c>
      <c r="F117" s="37">
        <f>SUMPRODUCT(Aggreg!$B167:$W167,$B$98:$W$98)</f>
        <v>0</v>
      </c>
      <c r="G117" s="37">
        <f>SUMPRODUCT(Aggreg!$B202:$W202,$B$98:$W$98)</f>
        <v>0</v>
      </c>
      <c r="H117" s="17"/>
    </row>
    <row r="118" spans="1:8" x14ac:dyDescent="0.25">
      <c r="A118" s="4" t="s">
        <v>214</v>
      </c>
      <c r="B118" s="37">
        <f>SUMPRODUCT(Aggreg!$B20:$W20,$B$98:$W$98)</f>
        <v>4.7664350514378076E-2</v>
      </c>
      <c r="C118" s="37">
        <f>SUMPRODUCT(Aggreg!$B58:$W58,$B$98:$W$98)</f>
        <v>0</v>
      </c>
      <c r="D118" s="37">
        <f>SUMPRODUCT(Aggreg!$B96:$W96,$B$98:$W$98)</f>
        <v>0</v>
      </c>
      <c r="E118" s="37">
        <f>SUMPRODUCT(Aggreg!$B134:$W134,$B$98:$W$98)</f>
        <v>0</v>
      </c>
      <c r="F118" s="37">
        <f>SUMPRODUCT(Aggreg!$B168:$W168,$B$98:$W$98)</f>
        <v>0</v>
      </c>
      <c r="G118" s="37">
        <f>SUMPRODUCT(Aggreg!$B203:$W203,$B$98:$W$98)</f>
        <v>0</v>
      </c>
      <c r="H118" s="17"/>
    </row>
    <row r="119" spans="1:8" x14ac:dyDescent="0.25">
      <c r="A119" s="4" t="s">
        <v>175</v>
      </c>
      <c r="B119" s="37">
        <f>SUMPRODUCT(Aggreg!$B21:$W21,$B$98:$W$98)</f>
        <v>0.37357401197287815</v>
      </c>
      <c r="C119" s="37">
        <f>SUMPRODUCT(Aggreg!$B59:$W59,$B$98:$W$98)</f>
        <v>3.3727380743034399E-2</v>
      </c>
      <c r="D119" s="37">
        <f>SUMPRODUCT(Aggreg!$B97:$W97,$B$98:$W$98)</f>
        <v>0</v>
      </c>
      <c r="E119" s="37">
        <f>SUMPRODUCT(Aggreg!$B135:$W135,$B$98:$W$98)</f>
        <v>10.575137064552598</v>
      </c>
      <c r="F119" s="37">
        <f>SUMPRODUCT(Aggreg!$B169:$W169,$B$98:$W$98)</f>
        <v>0</v>
      </c>
      <c r="G119" s="37">
        <f>SUMPRODUCT(Aggreg!$B204:$W204,$B$98:$W$98)</f>
        <v>0</v>
      </c>
      <c r="H119" s="17"/>
    </row>
    <row r="120" spans="1:8" x14ac:dyDescent="0.25">
      <c r="A120" s="4" t="s">
        <v>176</v>
      </c>
      <c r="B120" s="37">
        <f>SUMPRODUCT(Aggreg!$B22:$W22,$B$98:$W$98)</f>
        <v>0.28146567577551873</v>
      </c>
      <c r="C120" s="37">
        <f>SUMPRODUCT(Aggreg!$B60:$W60,$B$98:$W$98)</f>
        <v>2.5198038744920763E-2</v>
      </c>
      <c r="D120" s="37">
        <f>SUMPRODUCT(Aggreg!$B98:$W98,$B$98:$W$98)</f>
        <v>0</v>
      </c>
      <c r="E120" s="37">
        <f>SUMPRODUCT(Aggreg!$B136:$W136,$B$98:$W$98)</f>
        <v>39.987232179652239</v>
      </c>
      <c r="F120" s="37">
        <f>SUMPRODUCT(Aggreg!$B170:$W170,$B$98:$W$98)</f>
        <v>0</v>
      </c>
      <c r="G120" s="37">
        <f>SUMPRODUCT(Aggreg!$B205:$W205,$B$98:$W$98)</f>
        <v>0</v>
      </c>
      <c r="H120" s="17"/>
    </row>
    <row r="121" spans="1:8" x14ac:dyDescent="0.25">
      <c r="A121" s="4" t="s">
        <v>192</v>
      </c>
      <c r="B121" s="37">
        <f>SUMPRODUCT(Aggreg!$B23:$W23,$B$98:$W$98)</f>
        <v>0.18332371376074974</v>
      </c>
      <c r="C121" s="37">
        <f>SUMPRODUCT(Aggreg!$B61:$W61,$B$98:$W$98)</f>
        <v>1.4999411699972917E-2</v>
      </c>
      <c r="D121" s="37">
        <f>SUMPRODUCT(Aggreg!$B99:$W99,$B$98:$W$98)</f>
        <v>0</v>
      </c>
      <c r="E121" s="37">
        <f>SUMPRODUCT(Aggreg!$B137:$W137,$B$98:$W$98)</f>
        <v>127.89703224655165</v>
      </c>
      <c r="F121" s="37">
        <f>SUMPRODUCT(Aggreg!$B171:$W171,$B$98:$W$98)</f>
        <v>0</v>
      </c>
      <c r="G121" s="37">
        <f>SUMPRODUCT(Aggreg!$B206:$W206,$B$98:$W$98)</f>
        <v>0</v>
      </c>
      <c r="H121" s="17"/>
    </row>
    <row r="122" spans="1:8" x14ac:dyDescent="0.25">
      <c r="A122" s="4" t="s">
        <v>177</v>
      </c>
      <c r="B122" s="37">
        <f>SUMPRODUCT(Aggreg!$B24:$W24,$B$98:$W$98)</f>
        <v>2.4858869846810263</v>
      </c>
      <c r="C122" s="37">
        <f>SUMPRODUCT(Aggreg!$B62:$W62,$B$98:$W$98)</f>
        <v>0.35674696236162262</v>
      </c>
      <c r="D122" s="37">
        <f>SUMPRODUCT(Aggreg!$B100:$W100,$B$98:$W$98)</f>
        <v>4.7777427280134788E-2</v>
      </c>
      <c r="E122" s="37">
        <f>SUMPRODUCT(Aggreg!$B138:$W138,$B$98:$W$98)</f>
        <v>3.0934219464696615</v>
      </c>
      <c r="F122" s="37">
        <f>SUMPRODUCT(Aggreg!$B172:$W172,$B$98:$W$98)</f>
        <v>0</v>
      </c>
      <c r="G122" s="37">
        <f>SUMPRODUCT(Aggreg!$B207:$W207,$B$98:$W$98)</f>
        <v>0</v>
      </c>
      <c r="H122" s="17"/>
    </row>
    <row r="123" spans="1:8" x14ac:dyDescent="0.25">
      <c r="A123" s="4" t="s">
        <v>178</v>
      </c>
      <c r="B123" s="37">
        <f>SUMPRODUCT(Aggreg!$B25:$W25,$B$98:$W$98)</f>
        <v>2.4169145968710168</v>
      </c>
      <c r="C123" s="37">
        <f>SUMPRODUCT(Aggreg!$B63:$W63,$B$98:$W$98)</f>
        <v>0.34683920713190708</v>
      </c>
      <c r="D123" s="37">
        <f>SUMPRODUCT(Aggreg!$B101:$W101,$B$98:$W$98)</f>
        <v>4.6450495007961431E-2</v>
      </c>
      <c r="E123" s="37">
        <f>SUMPRODUCT(Aggreg!$B139:$W139,$B$98:$W$98)</f>
        <v>3.0934219464696509</v>
      </c>
      <c r="F123" s="37">
        <f>SUMPRODUCT(Aggreg!$B173:$W173,$B$98:$W$98)</f>
        <v>0</v>
      </c>
      <c r="G123" s="37">
        <f>SUMPRODUCT(Aggreg!$B208:$W208,$B$98:$W$98)</f>
        <v>0</v>
      </c>
      <c r="H123" s="17"/>
    </row>
    <row r="124" spans="1:8" x14ac:dyDescent="0.25">
      <c r="A124" s="4" t="s">
        <v>179</v>
      </c>
      <c r="B124" s="37">
        <f>SUMPRODUCT(Aggreg!$B26:$W26,$B$98:$W$98)</f>
        <v>1.615690900471765</v>
      </c>
      <c r="C124" s="37">
        <f>SUMPRODUCT(Aggreg!$B64:$W64,$B$98:$W$98)</f>
        <v>0.22264181603001221</v>
      </c>
      <c r="D124" s="37">
        <f>SUMPRODUCT(Aggreg!$B102:$W102,$B$98:$W$98)</f>
        <v>2.9785041896738768E-2</v>
      </c>
      <c r="E124" s="37">
        <f>SUMPRODUCT(Aggreg!$B140:$W140,$B$98:$W$98)</f>
        <v>12.456619612572952</v>
      </c>
      <c r="F124" s="37">
        <f>SUMPRODUCT(Aggreg!$B174:$W174,$B$98:$W$98)</f>
        <v>1.2132011198081263</v>
      </c>
      <c r="G124" s="37">
        <f>SUMPRODUCT(Aggreg!$B209:$W209,$B$98:$W$98)</f>
        <v>5.229237369052965E-2</v>
      </c>
      <c r="H124" s="17"/>
    </row>
    <row r="125" spans="1:8" x14ac:dyDescent="0.25">
      <c r="A125" s="4" t="s">
        <v>180</v>
      </c>
      <c r="B125" s="37">
        <f>SUMPRODUCT(Aggreg!$B27:$W27,$B$98:$W$98)</f>
        <v>1.1938107577238828</v>
      </c>
      <c r="C125" s="37">
        <f>SUMPRODUCT(Aggreg!$B65:$W65,$B$98:$W$98)</f>
        <v>0.15631743050597588</v>
      </c>
      <c r="D125" s="37">
        <f>SUMPRODUCT(Aggreg!$B103:$W103,$B$98:$W$98)</f>
        <v>2.0882277058602187E-2</v>
      </c>
      <c r="E125" s="37">
        <f>SUMPRODUCT(Aggreg!$B141:$W141,$B$98:$W$98)</f>
        <v>39.987232179652239</v>
      </c>
      <c r="F125" s="37">
        <f>SUMPRODUCT(Aggreg!$B175:$W175,$B$98:$W$98)</f>
        <v>1.4253861001920303</v>
      </c>
      <c r="G125" s="37">
        <f>SUMPRODUCT(Aggreg!$B210:$W210,$B$98:$W$98)</f>
        <v>3.627624321564267E-2</v>
      </c>
      <c r="H125" s="17"/>
    </row>
    <row r="126" spans="1:8" x14ac:dyDescent="0.25">
      <c r="A126" s="4" t="s">
        <v>193</v>
      </c>
      <c r="B126" s="37">
        <f>SUMPRODUCT(Aggreg!$B28:$W28,$B$98:$W$98)</f>
        <v>0.79573021534570443</v>
      </c>
      <c r="C126" s="37">
        <f>SUMPRODUCT(Aggreg!$B66:$W66,$B$98:$W$98)</f>
        <v>9.572178679589595E-2</v>
      </c>
      <c r="D126" s="37">
        <f>SUMPRODUCT(Aggreg!$B104:$W104,$B$98:$W$98)</f>
        <v>1.2754840661051424E-2</v>
      </c>
      <c r="E126" s="37">
        <f>SUMPRODUCT(Aggreg!$B142:$W142,$B$98:$W$98)</f>
        <v>87.92659195212633</v>
      </c>
      <c r="F126" s="37">
        <f>SUMPRODUCT(Aggreg!$B176:$W176,$B$98:$W$98)</f>
        <v>1.4358800281477573</v>
      </c>
      <c r="G126" s="37">
        <f>SUMPRODUCT(Aggreg!$B211:$W211,$B$98:$W$98)</f>
        <v>2.1910625627905127E-2</v>
      </c>
      <c r="H126" s="17"/>
    </row>
    <row r="127" spans="1:8" x14ac:dyDescent="0.25">
      <c r="A127" s="4" t="s">
        <v>215</v>
      </c>
      <c r="B127" s="37">
        <f>SUMPRODUCT(Aggreg!$B29:$W29,$B$98:$W$98)</f>
        <v>1.8322027243413501</v>
      </c>
      <c r="C127" s="37">
        <f>SUMPRODUCT(Aggreg!$B67:$W67,$B$98:$W$98)</f>
        <v>0</v>
      </c>
      <c r="D127" s="37">
        <f>SUMPRODUCT(Aggreg!$B105:$W105,$B$98:$W$98)</f>
        <v>0</v>
      </c>
      <c r="E127" s="37">
        <f>SUMPRODUCT(Aggreg!$B143:$W143,$B$98:$W$98)</f>
        <v>0</v>
      </c>
      <c r="F127" s="37">
        <f>SUMPRODUCT(Aggreg!$B177:$W177,$B$98:$W$98)</f>
        <v>0</v>
      </c>
      <c r="G127" s="37">
        <f>SUMPRODUCT(Aggreg!$B212:$W212,$B$98:$W$98)</f>
        <v>0</v>
      </c>
      <c r="H127" s="17"/>
    </row>
    <row r="128" spans="1:8" x14ac:dyDescent="0.25">
      <c r="A128" s="4" t="s">
        <v>216</v>
      </c>
      <c r="B128" s="37">
        <f>SUMPRODUCT(Aggreg!$B30:$W30,$B$98:$W$98)</f>
        <v>1.8846331670109815</v>
      </c>
      <c r="C128" s="37">
        <f>SUMPRODUCT(Aggreg!$B68:$W68,$B$98:$W$98)</f>
        <v>0</v>
      </c>
      <c r="D128" s="37">
        <f>SUMPRODUCT(Aggreg!$B106:$W106,$B$98:$W$98)</f>
        <v>0</v>
      </c>
      <c r="E128" s="37">
        <f>SUMPRODUCT(Aggreg!$B144:$W144,$B$98:$W$98)</f>
        <v>0</v>
      </c>
      <c r="F128" s="37">
        <f>SUMPRODUCT(Aggreg!$B178:$W178,$B$98:$W$98)</f>
        <v>0</v>
      </c>
      <c r="G128" s="37">
        <f>SUMPRODUCT(Aggreg!$B213:$W213,$B$98:$W$98)</f>
        <v>0</v>
      </c>
      <c r="H128" s="17"/>
    </row>
    <row r="129" spans="1:8" x14ac:dyDescent="0.25">
      <c r="A129" s="4" t="s">
        <v>217</v>
      </c>
      <c r="B129" s="37">
        <f>SUMPRODUCT(Aggreg!$B31:$W31,$B$98:$W$98)</f>
        <v>2.1750291600849216</v>
      </c>
      <c r="C129" s="37">
        <f>SUMPRODUCT(Aggreg!$B69:$W69,$B$98:$W$98)</f>
        <v>0</v>
      </c>
      <c r="D129" s="37">
        <f>SUMPRODUCT(Aggreg!$B107:$W107,$B$98:$W$98)</f>
        <v>0</v>
      </c>
      <c r="E129" s="37">
        <f>SUMPRODUCT(Aggreg!$B145:$W145,$B$98:$W$98)</f>
        <v>0</v>
      </c>
      <c r="F129" s="37">
        <f>SUMPRODUCT(Aggreg!$B179:$W179,$B$98:$W$98)</f>
        <v>0</v>
      </c>
      <c r="G129" s="37">
        <f>SUMPRODUCT(Aggreg!$B214:$W214,$B$98:$W$98)</f>
        <v>0</v>
      </c>
      <c r="H129" s="17"/>
    </row>
    <row r="130" spans="1:8" x14ac:dyDescent="0.25">
      <c r="A130" s="4" t="s">
        <v>218</v>
      </c>
      <c r="B130" s="37">
        <f>SUMPRODUCT(Aggreg!$B32:$W32,$B$98:$W$98)</f>
        <v>1.814015883791203</v>
      </c>
      <c r="C130" s="37">
        <f>SUMPRODUCT(Aggreg!$B70:$W70,$B$98:$W$98)</f>
        <v>0</v>
      </c>
      <c r="D130" s="37">
        <f>SUMPRODUCT(Aggreg!$B108:$W108,$B$98:$W$98)</f>
        <v>0</v>
      </c>
      <c r="E130" s="37">
        <f>SUMPRODUCT(Aggreg!$B146:$W146,$B$98:$W$98)</f>
        <v>0</v>
      </c>
      <c r="F130" s="37">
        <f>SUMPRODUCT(Aggreg!$B180:$W180,$B$98:$W$98)</f>
        <v>0</v>
      </c>
      <c r="G130" s="37">
        <f>SUMPRODUCT(Aggreg!$B215:$W215,$B$98:$W$98)</f>
        <v>0</v>
      </c>
      <c r="H130" s="17"/>
    </row>
    <row r="131" spans="1:8" x14ac:dyDescent="0.25">
      <c r="A131" s="4" t="s">
        <v>219</v>
      </c>
      <c r="B131" s="37">
        <f>SUMPRODUCT(Aggreg!$B33:$W33,$B$98:$W$98)</f>
        <v>7.4488981458534376</v>
      </c>
      <c r="C131" s="37">
        <f>SUMPRODUCT(Aggreg!$B71:$W71,$B$98:$W$98)</f>
        <v>1.8279412507919368</v>
      </c>
      <c r="D131" s="37">
        <f>SUMPRODUCT(Aggreg!$B109:$W109,$B$98:$W$98)</f>
        <v>1.5685312864785237</v>
      </c>
      <c r="E131" s="37">
        <f>SUMPRODUCT(Aggreg!$B147:$W147,$B$98:$W$98)</f>
        <v>0</v>
      </c>
      <c r="F131" s="37">
        <f>SUMPRODUCT(Aggreg!$B181:$W181,$B$98:$W$98)</f>
        <v>0</v>
      </c>
      <c r="G131" s="37">
        <f>SUMPRODUCT(Aggreg!$B216:$W216,$B$98:$W$98)</f>
        <v>0</v>
      </c>
      <c r="H131" s="17"/>
    </row>
    <row r="132" spans="1:8" x14ac:dyDescent="0.25">
      <c r="A132" s="4" t="s">
        <v>181</v>
      </c>
      <c r="B132" s="37">
        <f>SUMPRODUCT(Aggreg!$B34:$W34,$B$98:$W$98)</f>
        <v>-0.24984980137012353</v>
      </c>
      <c r="C132" s="37">
        <f>SUMPRODUCT(Aggreg!$B72:$W72,$B$98:$W$98)</f>
        <v>0</v>
      </c>
      <c r="D132" s="37">
        <f>SUMPRODUCT(Aggreg!$B110:$W110,$B$98:$W$98)</f>
        <v>0</v>
      </c>
      <c r="E132" s="37">
        <f>SUMPRODUCT(Aggreg!$B148:$W148,$B$98:$W$98)</f>
        <v>0</v>
      </c>
      <c r="F132" s="37">
        <f>SUMPRODUCT(Aggreg!$B182:$W182,$B$98:$W$98)</f>
        <v>0</v>
      </c>
      <c r="G132" s="37">
        <f>SUMPRODUCT(Aggreg!$B217:$W217,$B$98:$W$98)</f>
        <v>0</v>
      </c>
      <c r="H132" s="17"/>
    </row>
    <row r="133" spans="1:8" x14ac:dyDescent="0.25">
      <c r="A133" s="4" t="s">
        <v>182</v>
      </c>
      <c r="B133" s="37">
        <f>SUMPRODUCT(Aggreg!$B35:$W35,$B$98:$W$98)</f>
        <v>-0.19053367666750776</v>
      </c>
      <c r="C133" s="37">
        <f>SUMPRODUCT(Aggreg!$B73:$W73,$B$98:$W$98)</f>
        <v>0</v>
      </c>
      <c r="D133" s="37">
        <f>SUMPRODUCT(Aggreg!$B111:$W111,$B$98:$W$98)</f>
        <v>0</v>
      </c>
      <c r="E133" s="37">
        <f>SUMPRODUCT(Aggreg!$B149:$W149,$B$98:$W$98)</f>
        <v>0</v>
      </c>
      <c r="F133" s="37">
        <f>SUMPRODUCT(Aggreg!$B183:$W183,$B$98:$W$98)</f>
        <v>0</v>
      </c>
      <c r="G133" s="37">
        <f>SUMPRODUCT(Aggreg!$B218:$W218,$B$98:$W$98)</f>
        <v>0</v>
      </c>
      <c r="H133" s="17"/>
    </row>
    <row r="134" spans="1:8" x14ac:dyDescent="0.25">
      <c r="A134" s="4" t="s">
        <v>183</v>
      </c>
      <c r="B134" s="37">
        <f>SUMPRODUCT(Aggreg!$B36:$W36,$B$98:$W$98)</f>
        <v>-0.24984980137012353</v>
      </c>
      <c r="C134" s="37">
        <f>SUMPRODUCT(Aggreg!$B74:$W74,$B$98:$W$98)</f>
        <v>0</v>
      </c>
      <c r="D134" s="37">
        <f>SUMPRODUCT(Aggreg!$B112:$W112,$B$98:$W$98)</f>
        <v>0</v>
      </c>
      <c r="E134" s="37">
        <f>SUMPRODUCT(Aggreg!$B150:$W150,$B$98:$W$98)</f>
        <v>0</v>
      </c>
      <c r="F134" s="37">
        <f>SUMPRODUCT(Aggreg!$B184:$W184,$B$98:$W$98)</f>
        <v>0</v>
      </c>
      <c r="G134" s="37">
        <f>SUMPRODUCT(Aggreg!$B219:$W219,$B$98:$W$98)</f>
        <v>5.2891260291370985E-2</v>
      </c>
      <c r="H134" s="17"/>
    </row>
    <row r="135" spans="1:8" x14ac:dyDescent="0.25">
      <c r="A135" s="4" t="s">
        <v>184</v>
      </c>
      <c r="B135" s="37">
        <f>SUMPRODUCT(Aggreg!$B37:$W37,$B$98:$W$98)</f>
        <v>-1.7548869190586895</v>
      </c>
      <c r="C135" s="37">
        <f>SUMPRODUCT(Aggreg!$B75:$W75,$B$98:$W$98)</f>
        <v>-0.25183746581514921</v>
      </c>
      <c r="D135" s="37">
        <f>SUMPRODUCT(Aggreg!$B113:$W113,$B$98:$W$98)</f>
        <v>-3.3727380743034399E-2</v>
      </c>
      <c r="E135" s="37">
        <f>SUMPRODUCT(Aggreg!$B151:$W151,$B$98:$W$98)</f>
        <v>0</v>
      </c>
      <c r="F135" s="37">
        <f>SUMPRODUCT(Aggreg!$B185:$W185,$B$98:$W$98)</f>
        <v>0</v>
      </c>
      <c r="G135" s="37">
        <f>SUMPRODUCT(Aggreg!$B220:$W220,$B$98:$W$98)</f>
        <v>5.2891260291370985E-2</v>
      </c>
      <c r="H135" s="17"/>
    </row>
    <row r="136" spans="1:8" x14ac:dyDescent="0.25">
      <c r="A136" s="4" t="s">
        <v>185</v>
      </c>
      <c r="B136" s="37">
        <f>SUMPRODUCT(Aggreg!$B38:$W38,$B$98:$W$98)</f>
        <v>-0.19053367666750776</v>
      </c>
      <c r="C136" s="37">
        <f>SUMPRODUCT(Aggreg!$B76:$W76,$B$98:$W$98)</f>
        <v>0</v>
      </c>
      <c r="D136" s="37">
        <f>SUMPRODUCT(Aggreg!$B114:$W114,$B$98:$W$98)</f>
        <v>0</v>
      </c>
      <c r="E136" s="37">
        <f>SUMPRODUCT(Aggreg!$B152:$W152,$B$98:$W$98)</f>
        <v>0</v>
      </c>
      <c r="F136" s="37">
        <f>SUMPRODUCT(Aggreg!$B186:$W186,$B$98:$W$98)</f>
        <v>0</v>
      </c>
      <c r="G136" s="37">
        <f>SUMPRODUCT(Aggreg!$B221:$W221,$B$98:$W$98)</f>
        <v>4.5249903615411313E-2</v>
      </c>
      <c r="H136" s="17"/>
    </row>
    <row r="137" spans="1:8" x14ac:dyDescent="0.25">
      <c r="A137" s="4" t="s">
        <v>186</v>
      </c>
      <c r="B137" s="37">
        <f>SUMPRODUCT(Aggreg!$B39:$W39,$B$98:$W$98)</f>
        <v>-1.3540307784980214</v>
      </c>
      <c r="C137" s="37">
        <f>SUMPRODUCT(Aggreg!$B77:$W77,$B$98:$W$98)</f>
        <v>-0.18830720753479929</v>
      </c>
      <c r="D137" s="37">
        <f>SUMPRODUCT(Aggreg!$B115:$W115,$B$98:$W$98)</f>
        <v>-2.5198038744920763E-2</v>
      </c>
      <c r="E137" s="37">
        <f>SUMPRODUCT(Aggreg!$B153:$W153,$B$98:$W$98)</f>
        <v>0</v>
      </c>
      <c r="F137" s="37">
        <f>SUMPRODUCT(Aggreg!$B187:$W187,$B$98:$W$98)</f>
        <v>0</v>
      </c>
      <c r="G137" s="37">
        <f>SUMPRODUCT(Aggreg!$B222:$W222,$B$98:$W$98)</f>
        <v>4.5249903615411313E-2</v>
      </c>
      <c r="H137" s="17"/>
    </row>
    <row r="138" spans="1:8" x14ac:dyDescent="0.25">
      <c r="A138" s="4" t="s">
        <v>194</v>
      </c>
      <c r="B138" s="37">
        <f>SUMPRODUCT(Aggreg!$B40:$W40,$B$98:$W$98)</f>
        <v>-0.13645845904618345</v>
      </c>
      <c r="C138" s="37">
        <f>SUMPRODUCT(Aggreg!$B78:$W78,$B$98:$W$98)</f>
        <v>0</v>
      </c>
      <c r="D138" s="37">
        <f>SUMPRODUCT(Aggreg!$B116:$W116,$B$98:$W$98)</f>
        <v>0</v>
      </c>
      <c r="E138" s="37">
        <f>SUMPRODUCT(Aggreg!$B154:$W154,$B$98:$W$98)</f>
        <v>5.9206889028113041</v>
      </c>
      <c r="F138" s="37">
        <f>SUMPRODUCT(Aggreg!$B188:$W188,$B$98:$W$98)</f>
        <v>0</v>
      </c>
      <c r="G138" s="37">
        <f>SUMPRODUCT(Aggreg!$B223:$W223,$B$98:$W$98)</f>
        <v>3.5523140183240355E-2</v>
      </c>
      <c r="H138" s="17"/>
    </row>
    <row r="139" spans="1:8" x14ac:dyDescent="0.25">
      <c r="A139" s="4" t="s">
        <v>195</v>
      </c>
      <c r="B139" s="37">
        <f>SUMPRODUCT(Aggreg!$B41:$W41,$B$98:$W$98)</f>
        <v>-0.99115572119173345</v>
      </c>
      <c r="C139" s="37">
        <f>SUMPRODUCT(Aggreg!$B79:$W79,$B$98:$W$98)</f>
        <v>-0.12978180550440657</v>
      </c>
      <c r="D139" s="37">
        <f>SUMPRODUCT(Aggreg!$B117:$W117,$B$98:$W$98)</f>
        <v>-1.7337411515378216E-2</v>
      </c>
      <c r="E139" s="37">
        <f>SUMPRODUCT(Aggreg!$B155:$W155,$B$98:$W$98)</f>
        <v>5.9206889028113041</v>
      </c>
      <c r="F139" s="37">
        <f>SUMPRODUCT(Aggreg!$B189:$W189,$B$98:$W$98)</f>
        <v>0</v>
      </c>
      <c r="G139" s="37">
        <f>SUMPRODUCT(Aggreg!$B224:$W224,$B$98:$W$98)</f>
        <v>3.5523140183240355E-2</v>
      </c>
      <c r="H139" s="17"/>
    </row>
    <row r="141" spans="1:8" ht="21" customHeight="1" x14ac:dyDescent="0.3">
      <c r="A141" s="1" t="s">
        <v>1494</v>
      </c>
    </row>
    <row r="142" spans="1:8" x14ac:dyDescent="0.25">
      <c r="A142" s="2" t="s">
        <v>350</v>
      </c>
    </row>
    <row r="143" spans="1:8" x14ac:dyDescent="0.25">
      <c r="A143" s="32" t="s">
        <v>1495</v>
      </c>
    </row>
    <row r="144" spans="1:8" x14ac:dyDescent="0.25">
      <c r="A144" s="32" t="s">
        <v>1496</v>
      </c>
    </row>
    <row r="145" spans="1:8" x14ac:dyDescent="0.25">
      <c r="A145" s="32" t="s">
        <v>1497</v>
      </c>
    </row>
    <row r="146" spans="1:8" x14ac:dyDescent="0.25">
      <c r="A146" s="32" t="s">
        <v>1498</v>
      </c>
    </row>
    <row r="147" spans="1:8" x14ac:dyDescent="0.25">
      <c r="A147" s="32" t="s">
        <v>1499</v>
      </c>
    </row>
    <row r="148" spans="1:8" x14ac:dyDescent="0.25">
      <c r="A148" s="32" t="s">
        <v>1500</v>
      </c>
    </row>
    <row r="149" spans="1:8" x14ac:dyDescent="0.25">
      <c r="A149" s="33" t="s">
        <v>353</v>
      </c>
      <c r="B149" s="33" t="s">
        <v>412</v>
      </c>
      <c r="C149" s="33" t="s">
        <v>412</v>
      </c>
      <c r="D149" s="33" t="s">
        <v>412</v>
      </c>
      <c r="E149" s="33" t="s">
        <v>412</v>
      </c>
      <c r="F149" s="33" t="s">
        <v>412</v>
      </c>
      <c r="G149" s="33" t="s">
        <v>412</v>
      </c>
    </row>
    <row r="150" spans="1:8" x14ac:dyDescent="0.25">
      <c r="A150" s="33" t="s">
        <v>356</v>
      </c>
      <c r="B150" s="33" t="s">
        <v>414</v>
      </c>
      <c r="C150" s="33" t="s">
        <v>1501</v>
      </c>
      <c r="D150" s="33" t="s">
        <v>1502</v>
      </c>
      <c r="E150" s="33" t="s">
        <v>1503</v>
      </c>
      <c r="F150" s="33" t="s">
        <v>1504</v>
      </c>
      <c r="G150" s="33" t="s">
        <v>1505</v>
      </c>
    </row>
    <row r="152" spans="1:8" ht="60" x14ac:dyDescent="0.25">
      <c r="B152" s="15" t="s">
        <v>1506</v>
      </c>
      <c r="C152" s="15" t="s">
        <v>1507</v>
      </c>
      <c r="D152" s="15" t="s">
        <v>1508</v>
      </c>
      <c r="E152" s="15" t="s">
        <v>1509</v>
      </c>
      <c r="F152" s="15" t="s">
        <v>1510</v>
      </c>
      <c r="G152" s="15" t="s">
        <v>1511</v>
      </c>
    </row>
    <row r="153" spans="1:8" x14ac:dyDescent="0.25">
      <c r="A153" s="4" t="s">
        <v>171</v>
      </c>
      <c r="B153" s="37">
        <f>Scaler!B416</f>
        <v>0.51089372934665811</v>
      </c>
      <c r="C153" s="37">
        <f>Scaler!C416</f>
        <v>0</v>
      </c>
      <c r="D153" s="37">
        <f>Scaler!D416</f>
        <v>0</v>
      </c>
      <c r="E153" s="37">
        <f>Scaler!E416</f>
        <v>0</v>
      </c>
      <c r="F153" s="37">
        <f>Scaler!F416</f>
        <v>0</v>
      </c>
      <c r="G153" s="37">
        <f>Scaler!G416</f>
        <v>0</v>
      </c>
      <c r="H153" s="17"/>
    </row>
    <row r="154" spans="1:8" x14ac:dyDescent="0.25">
      <c r="A154" s="4" t="s">
        <v>172</v>
      </c>
      <c r="B154" s="37">
        <f>Scaler!B417</f>
        <v>0.61133764891440867</v>
      </c>
      <c r="C154" s="37">
        <f>Scaler!C417</f>
        <v>1.1636613957061068E-2</v>
      </c>
      <c r="D154" s="37">
        <f>Scaler!D417</f>
        <v>0</v>
      </c>
      <c r="E154" s="37">
        <f>Scaler!E417</f>
        <v>0</v>
      </c>
      <c r="F154" s="37">
        <f>Scaler!F417</f>
        <v>0</v>
      </c>
      <c r="G154" s="37">
        <f>Scaler!G417</f>
        <v>0</v>
      </c>
      <c r="H154" s="17"/>
    </row>
    <row r="155" spans="1:8" x14ac:dyDescent="0.25">
      <c r="A155" s="4" t="s">
        <v>213</v>
      </c>
      <c r="B155" s="37">
        <f>Scaler!B418</f>
        <v>2.8403739376621304E-2</v>
      </c>
      <c r="C155" s="37">
        <f>Scaler!C418</f>
        <v>0</v>
      </c>
      <c r="D155" s="37">
        <f>Scaler!D418</f>
        <v>0</v>
      </c>
      <c r="E155" s="37">
        <f>Scaler!E418</f>
        <v>0</v>
      </c>
      <c r="F155" s="37">
        <f>Scaler!F418</f>
        <v>0</v>
      </c>
      <c r="G155" s="37">
        <f>Scaler!G418</f>
        <v>0</v>
      </c>
      <c r="H155" s="17"/>
    </row>
    <row r="156" spans="1:8" x14ac:dyDescent="0.25">
      <c r="A156" s="4" t="s">
        <v>173</v>
      </c>
      <c r="B156" s="37">
        <f>Scaler!B419</f>
        <v>0.45831444874838378</v>
      </c>
      <c r="C156" s="37">
        <f>Scaler!C419</f>
        <v>0</v>
      </c>
      <c r="D156" s="37">
        <f>Scaler!D419</f>
        <v>0</v>
      </c>
      <c r="E156" s="37">
        <f>Scaler!E419</f>
        <v>0</v>
      </c>
      <c r="F156" s="37">
        <f>Scaler!F419</f>
        <v>0</v>
      </c>
      <c r="G156" s="37">
        <f>Scaler!G419</f>
        <v>0</v>
      </c>
      <c r="H156" s="17"/>
    </row>
    <row r="157" spans="1:8" x14ac:dyDescent="0.25">
      <c r="A157" s="4" t="s">
        <v>174</v>
      </c>
      <c r="B157" s="37">
        <f>Scaler!B420</f>
        <v>0.47908529056110583</v>
      </c>
      <c r="C157" s="37">
        <f>Scaler!C420</f>
        <v>9.7592437946372942E-3</v>
      </c>
      <c r="D157" s="37">
        <f>Scaler!D420</f>
        <v>0</v>
      </c>
      <c r="E157" s="37">
        <f>Scaler!E420</f>
        <v>0</v>
      </c>
      <c r="F157" s="37">
        <f>Scaler!F420</f>
        <v>0</v>
      </c>
      <c r="G157" s="37">
        <f>Scaler!G420</f>
        <v>0</v>
      </c>
      <c r="H157" s="17"/>
    </row>
    <row r="158" spans="1:8" x14ac:dyDescent="0.25">
      <c r="A158" s="4" t="s">
        <v>214</v>
      </c>
      <c r="B158" s="37">
        <f>Scaler!B421</f>
        <v>1.5421958349284722E-2</v>
      </c>
      <c r="C158" s="37">
        <f>Scaler!C421</f>
        <v>0</v>
      </c>
      <c r="D158" s="37">
        <f>Scaler!D421</f>
        <v>0</v>
      </c>
      <c r="E158" s="37">
        <f>Scaler!E421</f>
        <v>0</v>
      </c>
      <c r="F158" s="37">
        <f>Scaler!F421</f>
        <v>0</v>
      </c>
      <c r="G158" s="37">
        <f>Scaler!G421</f>
        <v>0</v>
      </c>
      <c r="H158" s="17"/>
    </row>
    <row r="159" spans="1:8" x14ac:dyDescent="0.25">
      <c r="A159" s="4" t="s">
        <v>175</v>
      </c>
      <c r="B159" s="37">
        <f>Scaler!B422</f>
        <v>0.39992443770389596</v>
      </c>
      <c r="C159" s="37">
        <f>Scaler!C422</f>
        <v>7.3861551936968304E-3</v>
      </c>
      <c r="D159" s="37">
        <f>Scaler!D422</f>
        <v>0</v>
      </c>
      <c r="E159" s="37">
        <f>Scaler!E422</f>
        <v>0</v>
      </c>
      <c r="F159" s="37">
        <f>Scaler!F422</f>
        <v>0</v>
      </c>
      <c r="G159" s="37">
        <f>Scaler!G422</f>
        <v>0</v>
      </c>
      <c r="H159" s="17"/>
    </row>
    <row r="160" spans="1:8" x14ac:dyDescent="0.25">
      <c r="A160" s="4" t="s">
        <v>176</v>
      </c>
      <c r="B160" s="37">
        <f>Scaler!B423</f>
        <v>0.37514208050028358</v>
      </c>
      <c r="C160" s="37">
        <f>Scaler!C423</f>
        <v>7.0359958173919438E-3</v>
      </c>
      <c r="D160" s="37">
        <f>Scaler!D423</f>
        <v>0</v>
      </c>
      <c r="E160" s="37">
        <f>Scaler!E423</f>
        <v>0</v>
      </c>
      <c r="F160" s="37">
        <f>Scaler!F423</f>
        <v>0</v>
      </c>
      <c r="G160" s="37">
        <f>Scaler!G423</f>
        <v>0</v>
      </c>
      <c r="H160" s="17"/>
    </row>
    <row r="161" spans="1:8" x14ac:dyDescent="0.25">
      <c r="A161" s="4" t="s">
        <v>192</v>
      </c>
      <c r="B161" s="37">
        <f>Scaler!B424</f>
        <v>0.45986890570775052</v>
      </c>
      <c r="C161" s="37">
        <f>Scaler!C424</f>
        <v>8.7748104844488656E-3</v>
      </c>
      <c r="D161" s="37">
        <f>Scaler!D424</f>
        <v>0</v>
      </c>
      <c r="E161" s="37">
        <f>Scaler!E424</f>
        <v>0</v>
      </c>
      <c r="F161" s="37">
        <f>Scaler!F424</f>
        <v>0</v>
      </c>
      <c r="G161" s="37">
        <f>Scaler!G424</f>
        <v>0</v>
      </c>
      <c r="H161" s="17"/>
    </row>
    <row r="162" spans="1:8" x14ac:dyDescent="0.25">
      <c r="A162" s="4" t="s">
        <v>177</v>
      </c>
      <c r="B162" s="37">
        <f>Scaler!B425</f>
        <v>3.7128411162443777</v>
      </c>
      <c r="C162" s="37">
        <f>Scaler!C425</f>
        <v>0.11828203723583841</v>
      </c>
      <c r="D162" s="37">
        <f>Scaler!D425</f>
        <v>1.0457896473389764E-2</v>
      </c>
      <c r="E162" s="37">
        <f>Scaler!E425</f>
        <v>0</v>
      </c>
      <c r="F162" s="37">
        <f>Scaler!F425</f>
        <v>0</v>
      </c>
      <c r="G162" s="37">
        <f>Scaler!G425</f>
        <v>0</v>
      </c>
      <c r="H162" s="17"/>
    </row>
    <row r="163" spans="1:8" x14ac:dyDescent="0.25">
      <c r="A163" s="4" t="s">
        <v>178</v>
      </c>
      <c r="B163" s="37">
        <f>Scaler!B426</f>
        <v>3.6125989807278542</v>
      </c>
      <c r="C163" s="37">
        <f>Scaler!C426</f>
        <v>0.1150885679667417</v>
      </c>
      <c r="D163" s="37">
        <f>Scaler!D426</f>
        <v>1.01755461538685E-2</v>
      </c>
      <c r="E163" s="37">
        <f>Scaler!E426</f>
        <v>0</v>
      </c>
      <c r="F163" s="37">
        <f>Scaler!F426</f>
        <v>0</v>
      </c>
      <c r="G163" s="37">
        <f>Scaler!G426</f>
        <v>0</v>
      </c>
      <c r="H163" s="17"/>
    </row>
    <row r="164" spans="1:8" x14ac:dyDescent="0.25">
      <c r="A164" s="4" t="s">
        <v>179</v>
      </c>
      <c r="B164" s="37">
        <f>Scaler!B427</f>
        <v>3.1431288502202182</v>
      </c>
      <c r="C164" s="37">
        <f>Scaler!C427</f>
        <v>0.10013239782122571</v>
      </c>
      <c r="D164" s="37">
        <f>Scaler!D427</f>
        <v>8.8531976157861878E-3</v>
      </c>
      <c r="E164" s="37">
        <f>Scaler!E427</f>
        <v>0</v>
      </c>
      <c r="F164" s="37">
        <f>Scaler!F427</f>
        <v>0</v>
      </c>
      <c r="G164" s="37">
        <f>Scaler!G427</f>
        <v>6.7411060683693597E-2</v>
      </c>
      <c r="H164" s="17"/>
    </row>
    <row r="165" spans="1:8" x14ac:dyDescent="0.25">
      <c r="A165" s="4" t="s">
        <v>180</v>
      </c>
      <c r="B165" s="37">
        <f>Scaler!B428</f>
        <v>2.9697729741612622</v>
      </c>
      <c r="C165" s="37">
        <f>Scaler!C428</f>
        <v>9.4609703597294606E-2</v>
      </c>
      <c r="D165" s="37">
        <f>Scaler!D428</f>
        <v>8.3649090658273959E-3</v>
      </c>
      <c r="E165" s="37">
        <f>Scaler!E428</f>
        <v>0</v>
      </c>
      <c r="F165" s="37">
        <f>Scaler!F428</f>
        <v>0</v>
      </c>
      <c r="G165" s="37">
        <f>Scaler!G428</f>
        <v>6.1561643569962292E-2</v>
      </c>
      <c r="H165" s="17"/>
    </row>
    <row r="166" spans="1:8" x14ac:dyDescent="0.25">
      <c r="A166" s="4" t="s">
        <v>193</v>
      </c>
      <c r="B166" s="37">
        <f>Scaler!B429</f>
        <v>2.6491136105085675</v>
      </c>
      <c r="C166" s="37">
        <f>Scaler!C429</f>
        <v>8.4394280527978469E-2</v>
      </c>
      <c r="D166" s="37">
        <f>Scaler!D429</f>
        <v>7.461713285746456E-3</v>
      </c>
      <c r="E166" s="37">
        <f>Scaler!E429</f>
        <v>0</v>
      </c>
      <c r="F166" s="37">
        <f>Scaler!F429</f>
        <v>0</v>
      </c>
      <c r="G166" s="37">
        <f>Scaler!G429</f>
        <v>5.203428211083936E-2</v>
      </c>
      <c r="H166" s="17"/>
    </row>
    <row r="167" spans="1:8" x14ac:dyDescent="0.25">
      <c r="A167" s="4" t="s">
        <v>215</v>
      </c>
      <c r="B167" s="37">
        <f>Scaler!B430</f>
        <v>0.28816135908580476</v>
      </c>
      <c r="C167" s="37">
        <f>Scaler!C430</f>
        <v>0</v>
      </c>
      <c r="D167" s="37">
        <f>Scaler!D430</f>
        <v>0</v>
      </c>
      <c r="E167" s="37">
        <f>Scaler!E430</f>
        <v>0</v>
      </c>
      <c r="F167" s="37">
        <f>Scaler!F430</f>
        <v>0</v>
      </c>
      <c r="G167" s="37">
        <f>Scaler!G430</f>
        <v>0</v>
      </c>
      <c r="H167" s="17"/>
    </row>
    <row r="168" spans="1:8" x14ac:dyDescent="0.25">
      <c r="A168" s="4" t="s">
        <v>216</v>
      </c>
      <c r="B168" s="37">
        <f>Scaler!B431</f>
        <v>0.44957425090468056</v>
      </c>
      <c r="C168" s="37">
        <f>Scaler!C431</f>
        <v>0</v>
      </c>
      <c r="D168" s="37">
        <f>Scaler!D431</f>
        <v>0</v>
      </c>
      <c r="E168" s="37">
        <f>Scaler!E431</f>
        <v>0</v>
      </c>
      <c r="F168" s="37">
        <f>Scaler!F431</f>
        <v>0</v>
      </c>
      <c r="G168" s="37">
        <f>Scaler!G431</f>
        <v>0</v>
      </c>
      <c r="H168" s="17"/>
    </row>
    <row r="169" spans="1:8" x14ac:dyDescent="0.25">
      <c r="A169" s="4" t="s">
        <v>217</v>
      </c>
      <c r="B169" s="37">
        <f>Scaler!B432</f>
        <v>0.85393971020657833</v>
      </c>
      <c r="C169" s="37">
        <f>Scaler!C432</f>
        <v>0</v>
      </c>
      <c r="D169" s="37">
        <f>Scaler!D432</f>
        <v>0</v>
      </c>
      <c r="E169" s="37">
        <f>Scaler!E432</f>
        <v>0</v>
      </c>
      <c r="F169" s="37">
        <f>Scaler!F432</f>
        <v>0</v>
      </c>
      <c r="G169" s="37">
        <f>Scaler!G432</f>
        <v>0</v>
      </c>
      <c r="H169" s="17"/>
    </row>
    <row r="170" spans="1:8" x14ac:dyDescent="0.25">
      <c r="A170" s="4" t="s">
        <v>218</v>
      </c>
      <c r="B170" s="37">
        <f>Scaler!B433</f>
        <v>0.19208698771034191</v>
      </c>
      <c r="C170" s="37">
        <f>Scaler!C433</f>
        <v>0</v>
      </c>
      <c r="D170" s="37">
        <f>Scaler!D433</f>
        <v>0</v>
      </c>
      <c r="E170" s="37">
        <f>Scaler!E433</f>
        <v>0</v>
      </c>
      <c r="F170" s="37">
        <f>Scaler!F433</f>
        <v>0</v>
      </c>
      <c r="G170" s="37">
        <f>Scaler!G433</f>
        <v>0</v>
      </c>
      <c r="H170" s="17"/>
    </row>
    <row r="171" spans="1:8" x14ac:dyDescent="0.25">
      <c r="A171" s="4" t="s">
        <v>219</v>
      </c>
      <c r="B171" s="37">
        <f>Scaler!B434</f>
        <v>8.7135178660147314</v>
      </c>
      <c r="C171" s="37">
        <f>Scaler!C434</f>
        <v>7.5928374434802645E-2</v>
      </c>
      <c r="D171" s="37">
        <f>Scaler!D434</f>
        <v>8.116542380301961E-3</v>
      </c>
      <c r="E171" s="37">
        <f>Scaler!E434</f>
        <v>0</v>
      </c>
      <c r="F171" s="37">
        <f>Scaler!F434</f>
        <v>0</v>
      </c>
      <c r="G171" s="37">
        <f>Scaler!G434</f>
        <v>0</v>
      </c>
      <c r="H171" s="17"/>
    </row>
    <row r="172" spans="1:8" x14ac:dyDescent="0.25">
      <c r="A172" s="4" t="s">
        <v>181</v>
      </c>
      <c r="B172" s="37">
        <f>Scaler!B435</f>
        <v>0</v>
      </c>
      <c r="C172" s="37">
        <f>Scaler!C435</f>
        <v>0</v>
      </c>
      <c r="D172" s="37">
        <f>Scaler!D435</f>
        <v>0</v>
      </c>
      <c r="E172" s="37">
        <f>Scaler!E435</f>
        <v>0</v>
      </c>
      <c r="F172" s="37">
        <f>Scaler!F435</f>
        <v>0</v>
      </c>
      <c r="G172" s="37">
        <f>Scaler!G435</f>
        <v>0</v>
      </c>
      <c r="H172" s="17"/>
    </row>
    <row r="173" spans="1:8" x14ac:dyDescent="0.25">
      <c r="A173" s="4" t="s">
        <v>182</v>
      </c>
      <c r="B173" s="37">
        <f>Scaler!B436</f>
        <v>0</v>
      </c>
      <c r="C173" s="37">
        <f>Scaler!C436</f>
        <v>0</v>
      </c>
      <c r="D173" s="37">
        <f>Scaler!D436</f>
        <v>0</v>
      </c>
      <c r="E173" s="37">
        <f>Scaler!E436</f>
        <v>0</v>
      </c>
      <c r="F173" s="37">
        <f>Scaler!F436</f>
        <v>0</v>
      </c>
      <c r="G173" s="37">
        <f>Scaler!G436</f>
        <v>0</v>
      </c>
      <c r="H173" s="17"/>
    </row>
    <row r="174" spans="1:8" x14ac:dyDescent="0.25">
      <c r="A174" s="4" t="s">
        <v>183</v>
      </c>
      <c r="B174" s="37">
        <f>Scaler!B437</f>
        <v>0</v>
      </c>
      <c r="C174" s="37">
        <f>Scaler!C437</f>
        <v>0</v>
      </c>
      <c r="D174" s="37">
        <f>Scaler!D437</f>
        <v>0</v>
      </c>
      <c r="E174" s="37">
        <f>Scaler!E437</f>
        <v>0</v>
      </c>
      <c r="F174" s="37">
        <f>Scaler!F437</f>
        <v>0</v>
      </c>
      <c r="G174" s="37">
        <f>Scaler!G437</f>
        <v>0</v>
      </c>
      <c r="H174" s="17"/>
    </row>
    <row r="175" spans="1:8" x14ac:dyDescent="0.25">
      <c r="A175" s="4" t="s">
        <v>184</v>
      </c>
      <c r="B175" s="37">
        <f>Scaler!B438</f>
        <v>0</v>
      </c>
      <c r="C175" s="37">
        <f>Scaler!C438</f>
        <v>0</v>
      </c>
      <c r="D175" s="37">
        <f>Scaler!D438</f>
        <v>0</v>
      </c>
      <c r="E175" s="37">
        <f>Scaler!E438</f>
        <v>0</v>
      </c>
      <c r="F175" s="37">
        <f>Scaler!F438</f>
        <v>0</v>
      </c>
      <c r="G175" s="37">
        <f>Scaler!G438</f>
        <v>0</v>
      </c>
      <c r="H175" s="17"/>
    </row>
    <row r="176" spans="1:8" x14ac:dyDescent="0.25">
      <c r="A176" s="4" t="s">
        <v>185</v>
      </c>
      <c r="B176" s="37">
        <f>Scaler!B439</f>
        <v>0</v>
      </c>
      <c r="C176" s="37">
        <f>Scaler!C439</f>
        <v>0</v>
      </c>
      <c r="D176" s="37">
        <f>Scaler!D439</f>
        <v>0</v>
      </c>
      <c r="E176" s="37">
        <f>Scaler!E439</f>
        <v>0</v>
      </c>
      <c r="F176" s="37">
        <f>Scaler!F439</f>
        <v>0</v>
      </c>
      <c r="G176" s="37">
        <f>Scaler!G439</f>
        <v>0</v>
      </c>
      <c r="H176" s="17"/>
    </row>
    <row r="177" spans="1:8" x14ac:dyDescent="0.25">
      <c r="A177" s="4" t="s">
        <v>186</v>
      </c>
      <c r="B177" s="37">
        <f>Scaler!B440</f>
        <v>0</v>
      </c>
      <c r="C177" s="37">
        <f>Scaler!C440</f>
        <v>0</v>
      </c>
      <c r="D177" s="37">
        <f>Scaler!D440</f>
        <v>0</v>
      </c>
      <c r="E177" s="37">
        <f>Scaler!E440</f>
        <v>0</v>
      </c>
      <c r="F177" s="37">
        <f>Scaler!F440</f>
        <v>0</v>
      </c>
      <c r="G177" s="37">
        <f>Scaler!G440</f>
        <v>0</v>
      </c>
      <c r="H177" s="17"/>
    </row>
    <row r="178" spans="1:8" x14ac:dyDescent="0.25">
      <c r="A178" s="4" t="s">
        <v>194</v>
      </c>
      <c r="B178" s="37">
        <f>Scaler!B441</f>
        <v>0</v>
      </c>
      <c r="C178" s="37">
        <f>Scaler!C441</f>
        <v>0</v>
      </c>
      <c r="D178" s="37">
        <f>Scaler!D441</f>
        <v>0</v>
      </c>
      <c r="E178" s="37">
        <f>Scaler!E441</f>
        <v>0</v>
      </c>
      <c r="F178" s="37">
        <f>Scaler!F441</f>
        <v>0</v>
      </c>
      <c r="G178" s="37">
        <f>Scaler!G441</f>
        <v>0</v>
      </c>
      <c r="H178" s="17"/>
    </row>
    <row r="179" spans="1:8" x14ac:dyDescent="0.25">
      <c r="A179" s="4" t="s">
        <v>195</v>
      </c>
      <c r="B179" s="37">
        <f>Scaler!B442</f>
        <v>0</v>
      </c>
      <c r="C179" s="37">
        <f>Scaler!C442</f>
        <v>0</v>
      </c>
      <c r="D179" s="37">
        <f>Scaler!D442</f>
        <v>0</v>
      </c>
      <c r="E179" s="37">
        <f>Scaler!E442</f>
        <v>0</v>
      </c>
      <c r="F179" s="37">
        <f>Scaler!F442</f>
        <v>0</v>
      </c>
      <c r="G179" s="37">
        <f>Scaler!G442</f>
        <v>0</v>
      </c>
      <c r="H179" s="17"/>
    </row>
    <row r="181" spans="1:8" ht="21" customHeight="1" x14ac:dyDescent="0.3">
      <c r="A181" s="1" t="s">
        <v>1512</v>
      </c>
    </row>
    <row r="182" spans="1:8" x14ac:dyDescent="0.25">
      <c r="A182" s="2" t="s">
        <v>350</v>
      </c>
    </row>
    <row r="183" spans="1:8" x14ac:dyDescent="0.25">
      <c r="A183" s="32" t="s">
        <v>479</v>
      </c>
    </row>
    <row r="184" spans="1:8" x14ac:dyDescent="0.25">
      <c r="A184" s="32" t="s">
        <v>1513</v>
      </c>
    </row>
    <row r="185" spans="1:8" x14ac:dyDescent="0.25">
      <c r="A185" s="32" t="s">
        <v>1101</v>
      </c>
    </row>
    <row r="186" spans="1:8" x14ac:dyDescent="0.25">
      <c r="A186" s="32" t="s">
        <v>1514</v>
      </c>
    </row>
    <row r="187" spans="1:8" x14ac:dyDescent="0.25">
      <c r="A187" s="32" t="s">
        <v>1103</v>
      </c>
    </row>
    <row r="188" spans="1:8" x14ac:dyDescent="0.25">
      <c r="A188" s="32" t="s">
        <v>1515</v>
      </c>
    </row>
    <row r="189" spans="1:8" x14ac:dyDescent="0.25">
      <c r="A189" s="32" t="s">
        <v>1105</v>
      </c>
    </row>
    <row r="190" spans="1:8" x14ac:dyDescent="0.25">
      <c r="A190" s="32" t="s">
        <v>1516</v>
      </c>
    </row>
    <row r="191" spans="1:8" x14ac:dyDescent="0.25">
      <c r="A191" s="32" t="s">
        <v>1107</v>
      </c>
    </row>
    <row r="192" spans="1:8" x14ac:dyDescent="0.25">
      <c r="A192" s="32" t="s">
        <v>1517</v>
      </c>
    </row>
    <row r="193" spans="1:1" x14ac:dyDescent="0.25">
      <c r="A193" s="32" t="s">
        <v>1109</v>
      </c>
    </row>
    <row r="194" spans="1:1" x14ac:dyDescent="0.25">
      <c r="A194" s="32" t="s">
        <v>1518</v>
      </c>
    </row>
    <row r="195" spans="1:1" x14ac:dyDescent="0.25">
      <c r="A195" s="32" t="s">
        <v>1111</v>
      </c>
    </row>
    <row r="196" spans="1:1" x14ac:dyDescent="0.25">
      <c r="A196" s="32" t="s">
        <v>1519</v>
      </c>
    </row>
    <row r="197" spans="1:1" x14ac:dyDescent="0.25">
      <c r="A197" s="32" t="s">
        <v>1520</v>
      </c>
    </row>
    <row r="198" spans="1:1" x14ac:dyDescent="0.25">
      <c r="A198" s="32" t="s">
        <v>1521</v>
      </c>
    </row>
    <row r="199" spans="1:1" x14ac:dyDescent="0.25">
      <c r="A199" s="32" t="s">
        <v>1522</v>
      </c>
    </row>
    <row r="200" spans="1:1" x14ac:dyDescent="0.25">
      <c r="A200" s="32" t="s">
        <v>1523</v>
      </c>
    </row>
    <row r="201" spans="1:1" x14ac:dyDescent="0.25">
      <c r="A201" s="32" t="s">
        <v>1524</v>
      </c>
    </row>
    <row r="202" spans="1:1" x14ac:dyDescent="0.25">
      <c r="A202" s="32" t="s">
        <v>1525</v>
      </c>
    </row>
    <row r="203" spans="1:1" x14ac:dyDescent="0.25">
      <c r="A203" s="32" t="s">
        <v>1526</v>
      </c>
    </row>
    <row r="204" spans="1:1" x14ac:dyDescent="0.25">
      <c r="A204" s="32" t="s">
        <v>1527</v>
      </c>
    </row>
    <row r="205" spans="1:1" x14ac:dyDescent="0.25">
      <c r="A205" s="32" t="s">
        <v>1528</v>
      </c>
    </row>
    <row r="206" spans="1:1" x14ac:dyDescent="0.25">
      <c r="A206" s="32" t="s">
        <v>1529</v>
      </c>
    </row>
    <row r="207" spans="1:1" x14ac:dyDescent="0.25">
      <c r="A207" s="32" t="s">
        <v>1530</v>
      </c>
    </row>
    <row r="208" spans="1:1" x14ac:dyDescent="0.25">
      <c r="A208" s="32" t="s">
        <v>1531</v>
      </c>
    </row>
    <row r="209" spans="1:6" x14ac:dyDescent="0.25">
      <c r="A209" s="32" t="s">
        <v>1532</v>
      </c>
    </row>
    <row r="210" spans="1:6" x14ac:dyDescent="0.25">
      <c r="A210" s="32" t="s">
        <v>1533</v>
      </c>
    </row>
    <row r="211" spans="1:6" x14ac:dyDescent="0.25">
      <c r="A211" s="32" t="s">
        <v>1534</v>
      </c>
    </row>
    <row r="212" spans="1:6" x14ac:dyDescent="0.25">
      <c r="A212" s="32" t="s">
        <v>1535</v>
      </c>
    </row>
    <row r="213" spans="1:6" x14ac:dyDescent="0.25">
      <c r="A213" s="32" t="s">
        <v>1536</v>
      </c>
    </row>
    <row r="214" spans="1:6" x14ac:dyDescent="0.25">
      <c r="A214" s="33" t="s">
        <v>353</v>
      </c>
      <c r="B214" s="33" t="s">
        <v>483</v>
      </c>
      <c r="C214" s="33" t="s">
        <v>483</v>
      </c>
      <c r="D214" s="33" t="s">
        <v>483</v>
      </c>
      <c r="E214" s="33" t="s">
        <v>483</v>
      </c>
    </row>
    <row r="215" spans="1:6" ht="60" x14ac:dyDescent="0.25">
      <c r="A215" s="33" t="s">
        <v>356</v>
      </c>
      <c r="B215" s="33" t="s">
        <v>1537</v>
      </c>
      <c r="C215" s="33" t="s">
        <v>1538</v>
      </c>
      <c r="D215" s="33" t="s">
        <v>1539</v>
      </c>
      <c r="E215" s="33" t="s">
        <v>1540</v>
      </c>
    </row>
    <row r="217" spans="1:6" ht="75" x14ac:dyDescent="0.25">
      <c r="B217" s="15" t="s">
        <v>1541</v>
      </c>
      <c r="C217" s="15" t="s">
        <v>1542</v>
      </c>
      <c r="D217" s="15" t="s">
        <v>1543</v>
      </c>
      <c r="E217" s="15" t="s">
        <v>1544</v>
      </c>
    </row>
    <row r="218" spans="1:6" x14ac:dyDescent="0.25">
      <c r="A218" s="4" t="s">
        <v>171</v>
      </c>
      <c r="B218" s="21">
        <f>0.01*Input!F$58*(E21*Loads!E302+F21*Loads!F302)+10*(B21*Loads!B302+C21*Loads!C302+D21*Loads!D302+G21*Loads!G302)</f>
        <v>72842096.050967678</v>
      </c>
      <c r="C218" s="21">
        <f>0.01*Input!F$58*(E67*Loads!E302+F67*Loads!F302)+10*(B67*Loads!B302+C67*Loads!C302+D67*Loads!D302+G67*Loads!G302)</f>
        <v>8166596.458338473</v>
      </c>
      <c r="D218" s="21">
        <f>0.01*Input!F$58*(E113*Loads!E302+F113*Loads!F302)+10*(B113*Loads!B302+C113*Loads!C302+D113*Loads!D302+G113*Loads!G302)</f>
        <v>53207895.59529914</v>
      </c>
      <c r="E218" s="21">
        <f>0.01*Input!F$58*($E153*Loads!E302+$F153*Loads!F302)+10*($B153*Loads!B302+$C153*Loads!C302+$D153*Loads!D302+$G153*Loads!G302)</f>
        <v>33940918.22882051</v>
      </c>
      <c r="F218" s="17"/>
    </row>
    <row r="219" spans="1:6" x14ac:dyDescent="0.25">
      <c r="A219" s="4" t="s">
        <v>172</v>
      </c>
      <c r="B219" s="21">
        <f>0.01*Input!F$58*(E22*Loads!E303+F22*Loads!F303)+10*(B22*Loads!B303+C22*Loads!C303+D22*Loads!D303+G22*Loads!G303)</f>
        <v>6782002.5423470642</v>
      </c>
      <c r="C219" s="21">
        <f>0.01*Input!F$58*(E68*Loads!E303+F68*Loads!F303)+10*(B68*Loads!B303+C68*Loads!C303+D68*Loads!D303+G68*Loads!G303)</f>
        <v>711860.52446211758</v>
      </c>
      <c r="D219" s="21">
        <f>0.01*Input!F$58*(E114*Loads!E303+F114*Loads!F303)+10*(B114*Loads!B303+C114*Loads!C303+D114*Loads!D303+G114*Loads!G303)</f>
        <v>4854937.5477609197</v>
      </c>
      <c r="E219" s="21">
        <f>0.01*Input!F$58*($E154*Loads!E303+$F154*Loads!F303)+10*($B154*Loads!B303+$C154*Loads!C303+$D154*Loads!D303+$G154*Loads!G303)</f>
        <v>2958539.7018637201</v>
      </c>
      <c r="F219" s="17"/>
    </row>
    <row r="220" spans="1:6" x14ac:dyDescent="0.25">
      <c r="A220" s="4" t="s">
        <v>213</v>
      </c>
      <c r="B220" s="21">
        <f>0.01*Input!F$58*(E23*Loads!E304+F23*Loads!F304)+10*(B23*Loads!B304+C23*Loads!C304+D23*Loads!D304+G23*Loads!G304)</f>
        <v>25092.755453082242</v>
      </c>
      <c r="C220" s="21">
        <f>0.01*Input!F$58*(E69*Loads!E304+F69*Loads!F304)+10*(B69*Loads!B304+C69*Loads!C304+D69*Loads!D304+G69*Loads!G304)</f>
        <v>1138.4525886352926</v>
      </c>
      <c r="D220" s="21">
        <f>0.01*Input!F$58*(E115*Loads!E304+F115*Loads!F304)+10*(B115*Loads!B304+C115*Loads!C304+D115*Loads!D304+G115*Loads!G304)</f>
        <v>10557.120194589988</v>
      </c>
      <c r="E220" s="21">
        <f>0.01*Input!F$58*($E155*Loads!E304+$F155*Loads!F304)+10*($B155*Loads!B304+$C155*Loads!C304+$D155*Loads!D304+$G155*Loads!G304)</f>
        <v>4731.4847030069832</v>
      </c>
      <c r="F220" s="17"/>
    </row>
    <row r="221" spans="1:6" x14ac:dyDescent="0.25">
      <c r="A221" s="4" t="s">
        <v>173</v>
      </c>
      <c r="B221" s="21">
        <f>0.01*Input!F$58*(E24*Loads!E305+F24*Loads!F305)+10*(B24*Loads!B305+C24*Loads!C305+D24*Loads!D305+G24*Loads!G305)</f>
        <v>16918979.882766884</v>
      </c>
      <c r="C221" s="21">
        <f>0.01*Input!F$58*(E70*Loads!E305+F70*Loads!F305)+10*(B70*Loads!B305+C70*Loads!C305+D70*Loads!D305+G70*Loads!G305)</f>
        <v>1737898.5503176367</v>
      </c>
      <c r="D221" s="21">
        <f>0.01*Input!F$58*(E116*Loads!E305+F116*Loads!F305)+10*(B116*Loads!B305+C116*Loads!C305+D116*Loads!D305+G116*Loads!G305)</f>
        <v>8447558.0216046367</v>
      </c>
      <c r="E221" s="21">
        <f>0.01*Input!F$58*($E156*Loads!E305+$F156*Loads!F305)+10*($B156*Loads!B305+$C156*Loads!C305+$D156*Loads!D305+$G156*Loads!G305)</f>
        <v>7222822.0026825638</v>
      </c>
      <c r="F221" s="17"/>
    </row>
    <row r="222" spans="1:6" x14ac:dyDescent="0.25">
      <c r="A222" s="4" t="s">
        <v>174</v>
      </c>
      <c r="B222" s="21">
        <f>0.01*Input!F$58*(E25*Loads!E306+F25*Loads!F306)+10*(B25*Loads!B306+C25*Loads!C306+D25*Loads!D306+G25*Loads!G306)</f>
        <v>6457791.1551436791</v>
      </c>
      <c r="C222" s="21">
        <f>0.01*Input!F$58*(E71*Loads!E306+F71*Loads!F306)+10*(B71*Loads!B306+C71*Loads!C306+D71*Loads!D306+G71*Loads!G306)</f>
        <v>661099.09513770544</v>
      </c>
      <c r="D222" s="21">
        <f>0.01*Input!F$58*(E117*Loads!E306+F117*Loads!F306)+10*(B117*Loads!B306+C117*Loads!C306+D117*Loads!D306+G117*Loads!G306)</f>
        <v>3069926.8026756682</v>
      </c>
      <c r="E222" s="21">
        <f>0.01*Input!F$58*($E157*Loads!E306+$F157*Loads!F306)+10*($B157*Loads!B306+$C157*Loads!C306+$D157*Loads!D306+$G157*Loads!G306)</f>
        <v>2747571.824282506</v>
      </c>
      <c r="F222" s="17"/>
    </row>
    <row r="223" spans="1:6" x14ac:dyDescent="0.25">
      <c r="A223" s="4" t="s">
        <v>214</v>
      </c>
      <c r="B223" s="21">
        <f>0.01*Input!F$58*(E26*Loads!E307+F26*Loads!F307)+10*(B26*Loads!B307+C26*Loads!C307+D26*Loads!D307+G26*Loads!G307)</f>
        <v>20611.132137527497</v>
      </c>
      <c r="C223" s="21">
        <f>0.01*Input!F$58*(E72*Loads!E307+F72*Loads!F307)+10*(B72*Loads!B307+C72*Loads!C307+D72*Loads!D307+G72*Loads!G307)</f>
        <v>676.24225668378517</v>
      </c>
      <c r="D223" s="21">
        <f>0.01*Input!F$58*(E118*Loads!E307+F118*Loads!F307)+10*(B118*Loads!B307+C118*Loads!C307+D118*Loads!D307+G118*Loads!G307)</f>
        <v>8686.382520418183</v>
      </c>
      <c r="E223" s="21">
        <f>0.01*Input!F$58*($E158*Loads!E307+$F158*Loads!F307)+10*($B158*Loads!B307+$C158*Loads!C307+$D158*Loads!D307+$G158*Loads!G307)</f>
        <v>2810.5078111876169</v>
      </c>
      <c r="F223" s="17"/>
    </row>
    <row r="224" spans="1:6" x14ac:dyDescent="0.25">
      <c r="A224" s="4" t="s">
        <v>175</v>
      </c>
      <c r="B224" s="21">
        <f>0.01*Input!F$58*(E27*Loads!E308+F27*Loads!F308)+10*(B27*Loads!B308+C27*Loads!C308+D27*Loads!D308+G27*Loads!G308)</f>
        <v>0</v>
      </c>
      <c r="C224" s="21">
        <f>0.01*Input!F$58*(E73*Loads!E308+F73*Loads!F308)+10*(B73*Loads!B308+C73*Loads!C308+D73*Loads!D308+G73*Loads!G308)</f>
        <v>0</v>
      </c>
      <c r="D224" s="21">
        <f>0.01*Input!F$58*(E119*Loads!E308+F119*Loads!F308)+10*(B119*Loads!B308+C119*Loads!C308+D119*Loads!D308+G119*Loads!G308)</f>
        <v>0</v>
      </c>
      <c r="E224" s="21">
        <f>0.01*Input!F$58*($E159*Loads!E308+$F159*Loads!F308)+10*($B159*Loads!B308+$C159*Loads!C308+$D159*Loads!D308+$G159*Loads!G308)</f>
        <v>0</v>
      </c>
      <c r="F224" s="17"/>
    </row>
    <row r="225" spans="1:6" x14ac:dyDescent="0.25">
      <c r="A225" s="4" t="s">
        <v>176</v>
      </c>
      <c r="B225" s="21">
        <f>0.01*Input!F$58*(E28*Loads!E309+F28*Loads!F309)+10*(B28*Loads!B309+C28*Loads!C309+D28*Loads!D309+G28*Loads!G309)</f>
        <v>0</v>
      </c>
      <c r="C225" s="21">
        <f>0.01*Input!F$58*(E74*Loads!E309+F74*Loads!F309)+10*(B74*Loads!B309+C74*Loads!C309+D74*Loads!D309+G74*Loads!G309)</f>
        <v>0</v>
      </c>
      <c r="D225" s="21">
        <f>0.01*Input!F$58*(E120*Loads!E309+F120*Loads!F309)+10*(B120*Loads!B309+C120*Loads!C309+D120*Loads!D309+G120*Loads!G309)</f>
        <v>0</v>
      </c>
      <c r="E225" s="21">
        <f>0.01*Input!F$58*($E160*Loads!E309+$F160*Loads!F309)+10*($B160*Loads!B309+$C160*Loads!C309+$D160*Loads!D309+$G160*Loads!G309)</f>
        <v>0</v>
      </c>
      <c r="F225" s="17"/>
    </row>
    <row r="226" spans="1:6" x14ac:dyDescent="0.25">
      <c r="A226" s="4" t="s">
        <v>192</v>
      </c>
      <c r="B226" s="21">
        <f>0.01*Input!F$58*(E29*Loads!E310+F29*Loads!F310)+10*(B29*Loads!B310+C29*Loads!C310+D29*Loads!D310+G29*Loads!G310)</f>
        <v>37146.278276803554</v>
      </c>
      <c r="C226" s="21">
        <f>0.01*Input!F$58*(E75*Loads!E310+F75*Loads!F310)+10*(B75*Loads!B310+C75*Loads!C310+D75*Loads!D310+G75*Loads!G310)</f>
        <v>6362.8028065921671</v>
      </c>
      <c r="D226" s="21">
        <f>0.01*Input!F$58*(E121*Loads!E310+F121*Loads!F310)+10*(B121*Loads!B310+C121*Loads!C310+D121*Loads!D310+G121*Loads!G310)</f>
        <v>38732.21127700981</v>
      </c>
      <c r="E226" s="21">
        <f>0.01*Input!F$58*($E161*Loads!E310+$F161*Loads!F310)+10*($B161*Loads!B310+$C161*Loads!C310+$D161*Loads!D310+$G161*Loads!G310)</f>
        <v>26444.231800403199</v>
      </c>
      <c r="F226" s="17"/>
    </row>
    <row r="227" spans="1:6" x14ac:dyDescent="0.25">
      <c r="A227" s="4" t="s">
        <v>177</v>
      </c>
      <c r="B227" s="21">
        <f>0.01*Input!F$58*(E30*Loads!E311+F30*Loads!F311)+10*(B30*Loads!B311+C30*Loads!C311+D30*Loads!D311+G30*Loads!G311)</f>
        <v>0</v>
      </c>
      <c r="C227" s="21">
        <f>0.01*Input!F$58*(E76*Loads!E311+F76*Loads!F311)+10*(B76*Loads!B311+C76*Loads!C311+D76*Loads!D311+G76*Loads!G311)</f>
        <v>0</v>
      </c>
      <c r="D227" s="21">
        <f>0.01*Input!F$58*(E122*Loads!E311+F122*Loads!F311)+10*(B122*Loads!B311+C122*Loads!C311+D122*Loads!D311+G122*Loads!G311)</f>
        <v>0</v>
      </c>
      <c r="E227" s="21">
        <f>0.01*Input!F$58*($E162*Loads!E311+$F162*Loads!F311)+10*($B162*Loads!B311+$C162*Loads!C311+$D162*Loads!D311+$G162*Loads!G311)</f>
        <v>0</v>
      </c>
      <c r="F227" s="17"/>
    </row>
    <row r="228" spans="1:6" x14ac:dyDescent="0.25">
      <c r="A228" s="4" t="s">
        <v>178</v>
      </c>
      <c r="B228" s="21">
        <f>0.01*Input!F$58*(E31*Loads!E312+F31*Loads!F312)+10*(B31*Loads!B312+C31*Loads!C312+D31*Loads!D312+G31*Loads!G312)</f>
        <v>5182207.9707031455</v>
      </c>
      <c r="C228" s="21">
        <f>0.01*Input!F$58*(E77*Loads!E312+F77*Loads!F312)+10*(B77*Loads!B312+C77*Loads!C312+D77*Loads!D312+G77*Loads!G312)</f>
        <v>547633.1837918316</v>
      </c>
      <c r="D228" s="21">
        <f>0.01*Input!F$58*(E123*Loads!E312+F123*Loads!F312)+10*(B123*Loads!B312+C123*Loads!C312+D123*Loads!D312+G123*Loads!G312)</f>
        <v>2221863.6442757901</v>
      </c>
      <c r="E228" s="21">
        <f>0.01*Input!F$58*($E163*Loads!E312+$F163*Loads!F312)+10*($B163*Loads!B312+$C163*Loads!C312+$D163*Loads!D312+$G163*Loads!G312)</f>
        <v>2275999.9475043025</v>
      </c>
      <c r="F228" s="17"/>
    </row>
    <row r="229" spans="1:6" x14ac:dyDescent="0.25">
      <c r="A229" s="4" t="s">
        <v>179</v>
      </c>
      <c r="B229" s="21">
        <f>0.01*Input!F$58*(E32*Loads!E313+F32*Loads!F313)+10*(B32*Loads!B313+C32*Loads!C313+D32*Loads!D313+G32*Loads!G313)</f>
        <v>26276386.113723218</v>
      </c>
      <c r="C229" s="21">
        <f>0.01*Input!F$58*(E78*Loads!E313+F78*Loads!F313)+10*(B78*Loads!B313+C78*Loads!C313+D78*Loads!D313+G78*Loads!G313)</f>
        <v>2141461.4022210953</v>
      </c>
      <c r="D229" s="21">
        <f>0.01*Input!F$58*(E124*Loads!E313+F124*Loads!F313)+10*(B124*Loads!B313+C124*Loads!C313+D124*Loads!D313+G124*Loads!G313)</f>
        <v>14033618.718756521</v>
      </c>
      <c r="E229" s="21">
        <f>0.01*Input!F$58*($E164*Loads!E313+$F164*Loads!F313)+10*($B164*Loads!B313+$C164*Loads!C313+$D164*Loads!D313+$G164*Loads!G313)</f>
        <v>8900056.065430861</v>
      </c>
      <c r="F229" s="17"/>
    </row>
    <row r="230" spans="1:6" x14ac:dyDescent="0.25">
      <c r="A230" s="4" t="s">
        <v>180</v>
      </c>
      <c r="B230" s="21">
        <f>0.01*Input!F$58*(E33*Loads!E314+F33*Loads!F314)+10*(B33*Loads!B314+C33*Loads!C314+D33*Loads!D314+G33*Loads!G314)</f>
        <v>11249238.188844647</v>
      </c>
      <c r="C230" s="21">
        <f>0.01*Input!F$58*(E79*Loads!E314+F79*Loads!F314)+10*(B79*Loads!B314+C79*Loads!C314+D79*Loads!D314+G79*Loads!G314)</f>
        <v>1120904.76041546</v>
      </c>
      <c r="D230" s="21">
        <f>0.01*Input!F$58*(E125*Loads!E314+F125*Loads!F314)+10*(B125*Loads!B314+C125*Loads!C314+D125*Loads!D314+G125*Loads!G314)</f>
        <v>6877364.298509771</v>
      </c>
      <c r="E230" s="21">
        <f>0.01*Input!F$58*($E165*Loads!E314+$F165*Loads!F314)+10*($B165*Loads!B314+$C165*Loads!C314+$D165*Loads!D314+$G165*Loads!G314)</f>
        <v>4658554.761416126</v>
      </c>
      <c r="F230" s="17"/>
    </row>
    <row r="231" spans="1:6" x14ac:dyDescent="0.25">
      <c r="A231" s="4" t="s">
        <v>193</v>
      </c>
      <c r="B231" s="21">
        <f>0.01*Input!F$58*(E34*Loads!E315+F34*Loads!F315)+10*(B34*Loads!B315+C34*Loads!C315+D34*Loads!D315+G34*Loads!G315)</f>
        <v>25462545.255201921</v>
      </c>
      <c r="C231" s="21">
        <f>0.01*Input!F$58*(E80*Loads!E315+F80*Loads!F315)+10*(B80*Loads!B315+C80*Loads!C315+D80*Loads!D315+G80*Loads!G315)</f>
        <v>3706519.2335820952</v>
      </c>
      <c r="D231" s="21">
        <f>0.01*Input!F$58*(E126*Loads!E315+F126*Loads!F315)+10*(B126*Loads!B315+C126*Loads!C315+D126*Loads!D315+G126*Loads!G315)</f>
        <v>16497910.464001015</v>
      </c>
      <c r="E231" s="21">
        <f>0.01*Input!F$58*($E166*Loads!E315+$F166*Loads!F315)+10*($B166*Loads!B315+$C166*Loads!C315+$D166*Loads!D315+$G166*Loads!G315)</f>
        <v>15404540.54052224</v>
      </c>
      <c r="F231" s="17"/>
    </row>
    <row r="232" spans="1:6" x14ac:dyDescent="0.25">
      <c r="A232" s="4" t="s">
        <v>215</v>
      </c>
      <c r="B232" s="21">
        <f>0.01*Input!F$58*(E35*Loads!E316+F35*Loads!F316)+10*(B35*Loads!B316+C35*Loads!C316+D35*Loads!D316+G35*Loads!G316)</f>
        <v>242553.62368823972</v>
      </c>
      <c r="C232" s="21">
        <f>0.01*Input!F$58*(E81*Loads!E316+F81*Loads!F316)+10*(B81*Loads!B316+C81*Loads!C316+D81*Loads!D316+G81*Loads!G316)</f>
        <v>25426.042084009438</v>
      </c>
      <c r="D232" s="21">
        <f>0.01*Input!F$58*(E127*Loads!E316+F127*Loads!F316)+10*(B127*Loads!B316+C127*Loads!C316+D127*Loads!D316+G127*Loads!G316)</f>
        <v>671891.32476685394</v>
      </c>
      <c r="E232" s="21">
        <f>0.01*Input!F$58*($E167*Loads!E316+$F167*Loads!F316)+10*($B167*Loads!B316+$C167*Loads!C316+$D167*Loads!D316+$G167*Loads!G316)</f>
        <v>105672.32257138987</v>
      </c>
      <c r="F232" s="17"/>
    </row>
    <row r="233" spans="1:6" x14ac:dyDescent="0.25">
      <c r="A233" s="4" t="s">
        <v>216</v>
      </c>
      <c r="B233" s="21">
        <f>0.01*Input!F$58*(E36*Loads!E317+F36*Loads!F317)+10*(B36*Loads!B317+C36*Loads!C317+D36*Loads!D317+G36*Loads!G317)</f>
        <v>79296.937580465194</v>
      </c>
      <c r="C233" s="21">
        <f>0.01*Input!F$58*(E82*Loads!E317+F82*Loads!F317)+10*(B82*Loads!B317+C82*Loads!C317+D82*Loads!D317+G82*Loads!G317)</f>
        <v>10978.558108127907</v>
      </c>
      <c r="D233" s="21">
        <f>0.01*Input!F$58*(E128*Loads!E317+F128*Loads!F317)+10*(B128*Loads!B317+C128*Loads!C317+D128*Loads!D317+G128*Loads!G317)</f>
        <v>191272.79179397013</v>
      </c>
      <c r="E233" s="21">
        <f>0.01*Input!F$58*($E168*Loads!E317+$F168*Loads!F317)+10*($B168*Loads!B317+$C168*Loads!C317+$D168*Loads!D317+$G168*Loads!G317)</f>
        <v>45627.617933522226</v>
      </c>
      <c r="F233" s="17"/>
    </row>
    <row r="234" spans="1:6" x14ac:dyDescent="0.25">
      <c r="A234" s="4" t="s">
        <v>217</v>
      </c>
      <c r="B234" s="21">
        <f>0.01*Input!F$58*(E37*Loads!E318+F37*Loads!F318)+10*(B37*Loads!B318+C37*Loads!C318+D37*Loads!D318+G37*Loads!G318)</f>
        <v>3769.1911106291054</v>
      </c>
      <c r="C234" s="21">
        <f>0.01*Input!F$58*(E83*Loads!E318+F83*Loads!F318)+10*(B83*Loads!B318+C83*Loads!C318+D83*Loads!D318+G83*Loads!G318)</f>
        <v>546.15142636333053</v>
      </c>
      <c r="D234" s="21">
        <f>0.01*Input!F$58*(E129*Loads!E318+F129*Loads!F318)+10*(B129*Loads!B318+C129*Loads!C318+D129*Loads!D318+G129*Loads!G318)</f>
        <v>5781.4055854784428</v>
      </c>
      <c r="E234" s="21">
        <f>0.01*Input!F$58*($E169*Loads!E318+$F169*Loads!F318)+10*($B169*Loads!B318+$C169*Loads!C318+$D169*Loads!D318+$G169*Loads!G318)</f>
        <v>2269.8416650457211</v>
      </c>
      <c r="F234" s="17"/>
    </row>
    <row r="235" spans="1:6" x14ac:dyDescent="0.25">
      <c r="A235" s="4" t="s">
        <v>218</v>
      </c>
      <c r="B235" s="21">
        <f>0.01*Input!F$58*(E38*Loads!E319+F38*Loads!F319)+10*(B38*Loads!B319+C38*Loads!C319+D38*Loads!D319+G38*Loads!G319)</f>
        <v>0.48566639225345132</v>
      </c>
      <c r="C235" s="21">
        <f>0.01*Input!F$58*(E84*Loads!E319+F84*Loads!F319)+10*(B84*Loads!B319+C84*Loads!C319+D84*Loads!D319+G84*Loads!G319)</f>
        <v>3.6345213527571009E-2</v>
      </c>
      <c r="D235" s="21">
        <f>0.01*Input!F$58*(E130*Loads!E319+F130*Loads!F319)+10*(B130*Loads!B319+C130*Loads!C319+D130*Loads!D319+G130*Loads!G319)</f>
        <v>1.4265035459039628</v>
      </c>
      <c r="E235" s="21">
        <f>0.01*Input!F$58*($E170*Loads!E319+$F170*Loads!F319)+10*($B170*Loads!B319+$C170*Loads!C319+$D170*Loads!D319+$G170*Loads!G319)</f>
        <v>0.15105312557580289</v>
      </c>
      <c r="F235" s="17"/>
    </row>
    <row r="236" spans="1:6" x14ac:dyDescent="0.25">
      <c r="A236" s="4" t="s">
        <v>219</v>
      </c>
      <c r="B236" s="21">
        <f>0.01*Input!F$58*(E39*Loads!E320+F39*Loads!F320)+10*(B39*Loads!B320+C39*Loads!C320+D39*Loads!D320+G39*Loads!G320)</f>
        <v>2258922.577644933</v>
      </c>
      <c r="C236" s="21">
        <f>0.01*Input!F$58*(E85*Loads!E320+F85*Loads!F320)+10*(B85*Loads!B320+C85*Loads!C320+D85*Loads!D320+G85*Loads!G320)</f>
        <v>309880.75252298056</v>
      </c>
      <c r="D236" s="21">
        <f>0.01*Input!F$58*(E131*Loads!E320+F131*Loads!F320)+10*(B131*Loads!B320+C131*Loads!C320+D131*Loads!D320+G131*Loads!G320)</f>
        <v>5014469.1973335901</v>
      </c>
      <c r="E236" s="21">
        <f>0.01*Input!F$58*($E171*Loads!E320+$F171*Loads!F320)+10*($B171*Loads!B320+$C171*Loads!C320+$D171*Loads!D320+$G171*Loads!G320)</f>
        <v>1287885.0247741647</v>
      </c>
      <c r="F236" s="17"/>
    </row>
    <row r="237" spans="1:6" x14ac:dyDescent="0.25">
      <c r="A237" s="4" t="s">
        <v>181</v>
      </c>
      <c r="B237" s="21">
        <f>0.01*Input!F$58*(E40*Loads!E321+F40*Loads!F321)+10*(B40*Loads!B321+C40*Loads!C321+D40*Loads!D321+G40*Loads!G321)</f>
        <v>-4568.8234024026515</v>
      </c>
      <c r="C237" s="21">
        <f>0.01*Input!F$58*(E86*Loads!E321+F86*Loads!F321)+10*(B86*Loads!B321+C86*Loads!C321+D86*Loads!D321+G86*Loads!G321)</f>
        <v>-481.03084325364995</v>
      </c>
      <c r="D237" s="21">
        <f>0.01*Input!F$58*(E132*Loads!E321+F132*Loads!F321)+10*(B132*Loads!B321+C132*Loads!C321+D132*Loads!D321+G132*Loads!G321)</f>
        <v>-1905.2435092761098</v>
      </c>
      <c r="E237" s="21">
        <f>0.01*Input!F$58*($E172*Loads!E321+$F172*Loads!F321)+10*($B172*Loads!B321+$C172*Loads!C321+$D172*Loads!D321+$G172*Loads!G321)</f>
        <v>0</v>
      </c>
      <c r="F237" s="17"/>
    </row>
    <row r="238" spans="1:6" x14ac:dyDescent="0.25">
      <c r="A238" s="4" t="s">
        <v>182</v>
      </c>
      <c r="B238" s="21">
        <f>0.01*Input!F$58*(E41*Loads!E322+F41*Loads!F322)+10*(B41*Loads!B322+C41*Loads!C322+D41*Loads!D322+G41*Loads!G322)</f>
        <v>0</v>
      </c>
      <c r="C238" s="21">
        <f>0.01*Input!F$58*(E87*Loads!E322+F87*Loads!F322)+10*(B87*Loads!B322+C87*Loads!C322+D87*Loads!D322+G87*Loads!G322)</f>
        <v>0</v>
      </c>
      <c r="D238" s="21">
        <f>0.01*Input!F$58*(E133*Loads!E322+F133*Loads!F322)+10*(B133*Loads!B322+C133*Loads!C322+D133*Loads!D322+G133*Loads!G322)</f>
        <v>0</v>
      </c>
      <c r="E238" s="21">
        <f>0.01*Input!F$58*($E173*Loads!E322+$F173*Loads!F322)+10*($B173*Loads!B322+$C173*Loads!C322+$D173*Loads!D322+$G173*Loads!G322)</f>
        <v>0</v>
      </c>
      <c r="F238" s="17"/>
    </row>
    <row r="239" spans="1:6" x14ac:dyDescent="0.25">
      <c r="A239" s="4" t="s">
        <v>183</v>
      </c>
      <c r="B239" s="21">
        <f>0.01*Input!F$58*(E42*Loads!E323+F42*Loads!F323)+10*(B42*Loads!B323+C42*Loads!C323+D42*Loads!D323+G42*Loads!G323)</f>
        <v>-172981.95562348646</v>
      </c>
      <c r="C239" s="21">
        <f>0.01*Input!F$58*(E88*Loads!E323+F88*Loads!F323)+10*(B88*Loads!B323+C88*Loads!C323+D88*Loads!D323+G88*Loads!G323)</f>
        <v>-18223.097046057588</v>
      </c>
      <c r="D239" s="21">
        <f>0.01*Input!F$58*(E134*Loads!E323+F134*Loads!F323)+10*(B134*Loads!B323+C134*Loads!C323+D134*Loads!D323+G134*Loads!G323)</f>
        <v>-72074.449442027704</v>
      </c>
      <c r="E239" s="21">
        <f>0.01*Input!F$58*($E174*Loads!E323+$F174*Loads!F323)+10*($B174*Loads!B323+$C174*Loads!C323+$D174*Loads!D323+$G174*Loads!G323)</f>
        <v>0</v>
      </c>
      <c r="F239" s="17"/>
    </row>
    <row r="240" spans="1:6" x14ac:dyDescent="0.25">
      <c r="A240" s="4" t="s">
        <v>184</v>
      </c>
      <c r="B240" s="21">
        <f>0.01*Input!F$58*(E43*Loads!E324+F43*Loads!F324)+10*(B43*Loads!B324+C43*Loads!C324+D43*Loads!D324+G43*Loads!G324)</f>
        <v>-13715.972657970085</v>
      </c>
      <c r="C240" s="21">
        <f>0.01*Input!F$58*(E89*Loads!E324+F89*Loads!F324)+10*(B89*Loads!B324+C89*Loads!C324+D89*Loads!D324+G89*Loads!G324)</f>
        <v>-1368.3403472071545</v>
      </c>
      <c r="D240" s="21">
        <f>0.01*Input!F$58*(E135*Loads!E324+F135*Loads!F324)+10*(B135*Loads!B324+C135*Loads!C324+D135*Loads!D324+G135*Loads!G324)</f>
        <v>-5721.9534727345726</v>
      </c>
      <c r="E240" s="21">
        <f>0.01*Input!F$58*($E175*Loads!E324+$F175*Loads!F324)+10*($B175*Loads!B324+$C175*Loads!C324+$D175*Loads!D324+$G175*Loads!G324)</f>
        <v>0</v>
      </c>
      <c r="F240" s="17"/>
    </row>
    <row r="241" spans="1:6" x14ac:dyDescent="0.25">
      <c r="A241" s="4" t="s">
        <v>185</v>
      </c>
      <c r="B241" s="21">
        <f>0.01*Input!F$58*(E44*Loads!E325+F44*Loads!F325)+10*(B44*Loads!B325+C44*Loads!C325+D44*Loads!D325+G44*Loads!G325)</f>
        <v>-6732.3577689920749</v>
      </c>
      <c r="C241" s="21">
        <f>0.01*Input!F$58*(E90*Loads!E325+F90*Loads!F325)+10*(B90*Loads!B325+C90*Loads!C325+D90*Loads!D325+G90*Loads!G325)</f>
        <v>-843.84626045246989</v>
      </c>
      <c r="D241" s="21">
        <f>0.01*Input!F$58*(E136*Loads!E325+F136*Loads!F325)+10*(B136*Loads!B325+C136*Loads!C325+D136*Loads!D325+G136*Loads!G325)</f>
        <v>-2671.3967876319675</v>
      </c>
      <c r="E241" s="21">
        <f>0.01*Input!F$58*($E176*Loads!E325+$F176*Loads!F325)+10*($B176*Loads!B325+$C176*Loads!C325+$D176*Loads!D325+$G176*Loads!G325)</f>
        <v>0</v>
      </c>
      <c r="F241" s="17"/>
    </row>
    <row r="242" spans="1:6" x14ac:dyDescent="0.25">
      <c r="A242" s="4" t="s">
        <v>186</v>
      </c>
      <c r="B242" s="21">
        <f>0.01*Input!F$58*(E45*Loads!E326+F45*Loads!F326)+10*(B45*Loads!B326+C45*Loads!C326+D45*Loads!D326+G45*Loads!G326)</f>
        <v>-1466.6364384958094</v>
      </c>
      <c r="C242" s="21">
        <f>0.01*Input!F$58*(E91*Loads!E326+F91*Loads!F326)+10*(B91*Loads!B326+C91*Loads!C326+D91*Loads!D326+G91*Loads!G326)</f>
        <v>-210.70315225614644</v>
      </c>
      <c r="D242" s="21">
        <f>0.01*Input!F$58*(E137*Loads!E326+F137*Loads!F326)+10*(B137*Loads!B326+C137*Loads!C326+D137*Loads!D326+G137*Loads!G326)</f>
        <v>-537.6775398697639</v>
      </c>
      <c r="E242" s="21">
        <f>0.01*Input!F$58*($E177*Loads!E326+$F177*Loads!F326)+10*($B177*Loads!B326+$C177*Loads!C326+$D177*Loads!D326+$G177*Loads!G326)</f>
        <v>0</v>
      </c>
      <c r="F242" s="17"/>
    </row>
    <row r="243" spans="1:6" x14ac:dyDescent="0.25">
      <c r="A243" s="4" t="s">
        <v>194</v>
      </c>
      <c r="B243" s="21">
        <f>0.01*Input!F$58*(E46*Loads!E327+F46*Loads!F327)+10*(B46*Loads!B327+C46*Loads!C327+D46*Loads!D327+G46*Loads!G327)</f>
        <v>-1157995.2136481856</v>
      </c>
      <c r="C243" s="21">
        <f>0.01*Input!F$58*(E92*Loads!E327+F92*Loads!F327)+10*(B92*Loads!B327+C92*Loads!C327+D92*Loads!D327+G92*Loads!G327)</f>
        <v>-208327.63184817584</v>
      </c>
      <c r="D243" s="21">
        <f>0.01*Input!F$58*(E138*Loads!E327+F138*Loads!F327)+10*(B138*Loads!B327+C138*Loads!C327+D138*Loads!D327+G138*Loads!G327)</f>
        <v>-475252.90843382641</v>
      </c>
      <c r="E243" s="21">
        <f>0.01*Input!F$58*($E178*Loads!E327+$F178*Loads!F327)+10*($B178*Loads!B327+$C178*Loads!C327+$D178*Loads!D327+$G178*Loads!G327)</f>
        <v>0</v>
      </c>
      <c r="F243" s="17"/>
    </row>
    <row r="244" spans="1:6" x14ac:dyDescent="0.25">
      <c r="A244" s="4" t="s">
        <v>195</v>
      </c>
      <c r="B244" s="21">
        <f>0.01*Input!F$58*(E47*Loads!E328+F47*Loads!F328)+10*(B47*Loads!B328+C47*Loads!C328+D47*Loads!D328+G47*Loads!G328)</f>
        <v>-1637305.711933441</v>
      </c>
      <c r="C244" s="21">
        <f>0.01*Input!F$58*(E93*Loads!E328+F93*Loads!F328)+10*(B93*Loads!B328+C93*Loads!C328+D93*Loads!D328+G93*Loads!G328)</f>
        <v>-282975.80832548719</v>
      </c>
      <c r="D244" s="21">
        <f>0.01*Input!F$58*(E139*Loads!E328+F139*Loads!F328)+10*(B139*Loads!B328+C139*Loads!C328+D139*Loads!D328+G139*Loads!G328)</f>
        <v>-674228.01955826604</v>
      </c>
      <c r="E244" s="21">
        <f>0.01*Input!F$58*($E179*Loads!E328+$F179*Loads!F328)+10*($B179*Loads!B328+$C179*Loads!C328+$D179*Loads!D328+$G179*Loads!G328)</f>
        <v>0</v>
      </c>
      <c r="F244" s="17"/>
    </row>
    <row r="246" spans="1:6" ht="21" customHeight="1" x14ac:dyDescent="0.3">
      <c r="A246" s="1" t="s">
        <v>1545</v>
      </c>
    </row>
    <row r="247" spans="1:6" x14ac:dyDescent="0.25">
      <c r="A247" s="2" t="s">
        <v>350</v>
      </c>
    </row>
    <row r="248" spans="1:6" x14ac:dyDescent="0.25">
      <c r="A248" s="32" t="s">
        <v>1546</v>
      </c>
    </row>
    <row r="249" spans="1:6" x14ac:dyDescent="0.25">
      <c r="A249" s="32" t="s">
        <v>1547</v>
      </c>
    </row>
    <row r="250" spans="1:6" x14ac:dyDescent="0.25">
      <c r="A250" s="32" t="s">
        <v>1548</v>
      </c>
    </row>
    <row r="251" spans="1:6" x14ac:dyDescent="0.25">
      <c r="A251" s="32" t="s">
        <v>1549</v>
      </c>
    </row>
    <row r="252" spans="1:6" x14ac:dyDescent="0.25">
      <c r="A252" s="33" t="s">
        <v>353</v>
      </c>
      <c r="B252" s="33" t="s">
        <v>484</v>
      </c>
      <c r="C252" s="33" t="s">
        <v>484</v>
      </c>
      <c r="D252" s="33" t="s">
        <v>484</v>
      </c>
      <c r="E252" s="33" t="s">
        <v>484</v>
      </c>
    </row>
    <row r="253" spans="1:6" x14ac:dyDescent="0.25">
      <c r="A253" s="33" t="s">
        <v>356</v>
      </c>
      <c r="B253" s="33" t="s">
        <v>534</v>
      </c>
      <c r="C253" s="33" t="s">
        <v>535</v>
      </c>
      <c r="D253" s="33" t="s">
        <v>536</v>
      </c>
      <c r="E253" s="33" t="s">
        <v>537</v>
      </c>
    </row>
    <row r="255" spans="1:6" ht="75" x14ac:dyDescent="0.25">
      <c r="B255" s="15" t="s">
        <v>1541</v>
      </c>
      <c r="C255" s="15" t="s">
        <v>1542</v>
      </c>
      <c r="D255" s="15" t="s">
        <v>1543</v>
      </c>
      <c r="E255" s="15" t="s">
        <v>1544</v>
      </c>
    </row>
    <row r="256" spans="1:6" x14ac:dyDescent="0.25">
      <c r="A256" s="4" t="s">
        <v>1550</v>
      </c>
      <c r="B256" s="21">
        <f>SUM(B$218:B$244)</f>
        <v>170843873.46978337</v>
      </c>
      <c r="C256" s="21">
        <f>SUM(C$218:C$244)</f>
        <v>18636551.788582124</v>
      </c>
      <c r="D256" s="21">
        <f>SUM(D$218:D$244)</f>
        <v>113920075.3041153</v>
      </c>
      <c r="E256" s="21">
        <f>SUM(E$218:E$244)</f>
        <v>79584444.254834682</v>
      </c>
      <c r="F256" s="17"/>
    </row>
    <row r="258" spans="1:3" ht="21" customHeight="1" x14ac:dyDescent="0.3">
      <c r="A258" s="1" t="s">
        <v>1551</v>
      </c>
    </row>
    <row r="259" spans="1:3" x14ac:dyDescent="0.25">
      <c r="A259" s="2" t="s">
        <v>350</v>
      </c>
    </row>
    <row r="260" spans="1:3" x14ac:dyDescent="0.25">
      <c r="A260" s="2" t="s">
        <v>1552</v>
      </c>
    </row>
    <row r="261" spans="1:3" x14ac:dyDescent="0.25">
      <c r="A261" s="32" t="s">
        <v>1553</v>
      </c>
    </row>
    <row r="262" spans="1:3" x14ac:dyDescent="0.25">
      <c r="A262" s="2" t="s">
        <v>368</v>
      </c>
    </row>
    <row r="264" spans="1:3" ht="30" x14ac:dyDescent="0.25">
      <c r="B264" s="15" t="s">
        <v>1554</v>
      </c>
    </row>
    <row r="265" spans="1:3" x14ac:dyDescent="0.25">
      <c r="A265" s="29" t="s">
        <v>230</v>
      </c>
      <c r="C265" s="17"/>
    </row>
    <row r="266" spans="1:3" x14ac:dyDescent="0.25">
      <c r="A266" s="4" t="s">
        <v>171</v>
      </c>
      <c r="B266" s="43">
        <f>Input!E192</f>
        <v>2004921</v>
      </c>
      <c r="C266" s="17"/>
    </row>
    <row r="267" spans="1:3" x14ac:dyDescent="0.25">
      <c r="A267" s="4" t="s">
        <v>231</v>
      </c>
      <c r="B267" s="43">
        <f>Input!E193</f>
        <v>34780</v>
      </c>
      <c r="C267" s="17"/>
    </row>
    <row r="268" spans="1:3" x14ac:dyDescent="0.25">
      <c r="A268" s="4" t="s">
        <v>232</v>
      </c>
      <c r="B268" s="43">
        <f>Input!E194</f>
        <v>18242</v>
      </c>
      <c r="C268" s="17"/>
    </row>
    <row r="269" spans="1:3" x14ac:dyDescent="0.25">
      <c r="A269" s="29" t="s">
        <v>233</v>
      </c>
      <c r="C269" s="17"/>
    </row>
    <row r="270" spans="1:3" x14ac:dyDescent="0.25">
      <c r="A270" s="4" t="s">
        <v>172</v>
      </c>
      <c r="B270" s="43">
        <f>Input!E196</f>
        <v>179874</v>
      </c>
      <c r="C270" s="17"/>
    </row>
    <row r="271" spans="1:3" x14ac:dyDescent="0.25">
      <c r="A271" s="4" t="s">
        <v>234</v>
      </c>
      <c r="B271" s="43">
        <f>Input!E197</f>
        <v>145</v>
      </c>
      <c r="C271" s="17"/>
    </row>
    <row r="272" spans="1:3" x14ac:dyDescent="0.25">
      <c r="A272" s="4" t="s">
        <v>235</v>
      </c>
      <c r="B272" s="43">
        <f>Input!E198</f>
        <v>1046</v>
      </c>
      <c r="C272" s="17"/>
    </row>
    <row r="273" spans="1:3" x14ac:dyDescent="0.25">
      <c r="A273" s="29" t="s">
        <v>236</v>
      </c>
      <c r="C273" s="17"/>
    </row>
    <row r="274" spans="1:3" x14ac:dyDescent="0.25">
      <c r="A274" s="4" t="s">
        <v>213</v>
      </c>
      <c r="B274" s="43">
        <f>Input!E200</f>
        <v>5278</v>
      </c>
      <c r="C274" s="17"/>
    </row>
    <row r="275" spans="1:3" x14ac:dyDescent="0.25">
      <c r="A275" s="4" t="s">
        <v>237</v>
      </c>
      <c r="B275" s="43">
        <f>Input!E201</f>
        <v>0</v>
      </c>
      <c r="C275" s="17"/>
    </row>
    <row r="276" spans="1:3" x14ac:dyDescent="0.25">
      <c r="A276" s="4" t="s">
        <v>238</v>
      </c>
      <c r="B276" s="43">
        <f>Input!E202</f>
        <v>0</v>
      </c>
      <c r="C276" s="17"/>
    </row>
    <row r="277" spans="1:3" x14ac:dyDescent="0.25">
      <c r="A277" s="29" t="s">
        <v>239</v>
      </c>
      <c r="C277" s="17"/>
    </row>
    <row r="278" spans="1:3" x14ac:dyDescent="0.25">
      <c r="A278" s="4" t="s">
        <v>173</v>
      </c>
      <c r="B278" s="43">
        <f>Input!E204</f>
        <v>123214</v>
      </c>
      <c r="C278" s="17"/>
    </row>
    <row r="279" spans="1:3" x14ac:dyDescent="0.25">
      <c r="A279" s="4" t="s">
        <v>240</v>
      </c>
      <c r="B279" s="43">
        <f>Input!E205</f>
        <v>331</v>
      </c>
      <c r="C279" s="17"/>
    </row>
    <row r="280" spans="1:3" x14ac:dyDescent="0.25">
      <c r="A280" s="4" t="s">
        <v>241</v>
      </c>
      <c r="B280" s="43">
        <f>Input!E206</f>
        <v>492</v>
      </c>
      <c r="C280" s="17"/>
    </row>
    <row r="281" spans="1:3" x14ac:dyDescent="0.25">
      <c r="A281" s="29" t="s">
        <v>242</v>
      </c>
      <c r="C281" s="17"/>
    </row>
    <row r="282" spans="1:3" x14ac:dyDescent="0.25">
      <c r="A282" s="4" t="s">
        <v>174</v>
      </c>
      <c r="B282" s="43">
        <f>Input!E208</f>
        <v>33422</v>
      </c>
      <c r="C282" s="17"/>
    </row>
    <row r="283" spans="1:3" x14ac:dyDescent="0.25">
      <c r="A283" s="4" t="s">
        <v>243</v>
      </c>
      <c r="B283" s="43">
        <f>Input!E209</f>
        <v>31</v>
      </c>
      <c r="C283" s="17"/>
    </row>
    <row r="284" spans="1:3" x14ac:dyDescent="0.25">
      <c r="A284" s="4" t="s">
        <v>244</v>
      </c>
      <c r="B284" s="43">
        <f>Input!E210</f>
        <v>0</v>
      </c>
      <c r="C284" s="17"/>
    </row>
    <row r="285" spans="1:3" x14ac:dyDescent="0.25">
      <c r="A285" s="29" t="s">
        <v>245</v>
      </c>
      <c r="C285" s="17"/>
    </row>
    <row r="286" spans="1:3" x14ac:dyDescent="0.25">
      <c r="A286" s="4" t="s">
        <v>214</v>
      </c>
      <c r="B286" s="43">
        <f>Input!E212</f>
        <v>3531</v>
      </c>
      <c r="C286" s="17"/>
    </row>
    <row r="287" spans="1:3" ht="30" x14ac:dyDescent="0.25">
      <c r="A287" s="4" t="s">
        <v>246</v>
      </c>
      <c r="B287" s="43">
        <f>Input!E213</f>
        <v>0</v>
      </c>
      <c r="C287" s="17"/>
    </row>
    <row r="288" spans="1:3" ht="30" x14ac:dyDescent="0.25">
      <c r="A288" s="4" t="s">
        <v>247</v>
      </c>
      <c r="B288" s="43">
        <f>Input!E214</f>
        <v>0</v>
      </c>
      <c r="C288" s="17"/>
    </row>
    <row r="289" spans="1:3" x14ac:dyDescent="0.25">
      <c r="A289" s="29" t="s">
        <v>248</v>
      </c>
      <c r="C289" s="17"/>
    </row>
    <row r="290" spans="1:3" x14ac:dyDescent="0.25">
      <c r="A290" s="4" t="s">
        <v>175</v>
      </c>
      <c r="B290" s="43">
        <f>Input!E216</f>
        <v>0</v>
      </c>
      <c r="C290" s="17"/>
    </row>
    <row r="291" spans="1:3" x14ac:dyDescent="0.25">
      <c r="A291" s="4" t="s">
        <v>249</v>
      </c>
      <c r="B291" s="43">
        <f>Input!E217</f>
        <v>0</v>
      </c>
      <c r="C291" s="17"/>
    </row>
    <row r="292" spans="1:3" x14ac:dyDescent="0.25">
      <c r="A292" s="4" t="s">
        <v>250</v>
      </c>
      <c r="B292" s="43">
        <f>Input!E218</f>
        <v>0</v>
      </c>
      <c r="C292" s="17"/>
    </row>
    <row r="293" spans="1:3" x14ac:dyDescent="0.25">
      <c r="A293" s="29" t="s">
        <v>251</v>
      </c>
      <c r="C293" s="17"/>
    </row>
    <row r="294" spans="1:3" x14ac:dyDescent="0.25">
      <c r="A294" s="4" t="s">
        <v>176</v>
      </c>
      <c r="B294" s="43">
        <f>Input!E220</f>
        <v>0</v>
      </c>
      <c r="C294" s="17"/>
    </row>
    <row r="295" spans="1:3" x14ac:dyDescent="0.25">
      <c r="A295" s="29" t="s">
        <v>252</v>
      </c>
      <c r="C295" s="17"/>
    </row>
    <row r="296" spans="1:3" x14ac:dyDescent="0.25">
      <c r="A296" s="4" t="s">
        <v>192</v>
      </c>
      <c r="B296" s="43">
        <f>Input!E222</f>
        <v>60</v>
      </c>
      <c r="C296" s="17"/>
    </row>
    <row r="297" spans="1:3" x14ac:dyDescent="0.25">
      <c r="A297" s="29" t="s">
        <v>253</v>
      </c>
      <c r="C297" s="17"/>
    </row>
    <row r="298" spans="1:3" x14ac:dyDescent="0.25">
      <c r="A298" s="4" t="s">
        <v>177</v>
      </c>
      <c r="B298" s="43">
        <f>Input!E224</f>
        <v>0</v>
      </c>
      <c r="C298" s="17"/>
    </row>
    <row r="299" spans="1:3" x14ac:dyDescent="0.25">
      <c r="A299" s="4" t="s">
        <v>254</v>
      </c>
      <c r="B299" s="43">
        <f>Input!E225</f>
        <v>0</v>
      </c>
      <c r="C299" s="17"/>
    </row>
    <row r="300" spans="1:3" x14ac:dyDescent="0.25">
      <c r="A300" s="4" t="s">
        <v>255</v>
      </c>
      <c r="B300" s="43">
        <f>Input!E226</f>
        <v>0</v>
      </c>
      <c r="C300" s="17"/>
    </row>
    <row r="301" spans="1:3" x14ac:dyDescent="0.25">
      <c r="A301" s="29" t="s">
        <v>256</v>
      </c>
      <c r="C301" s="17"/>
    </row>
    <row r="302" spans="1:3" x14ac:dyDescent="0.25">
      <c r="A302" s="4" t="s">
        <v>178</v>
      </c>
      <c r="B302" s="43">
        <f>Input!E228</f>
        <v>5419.348</v>
      </c>
      <c r="C302" s="17"/>
    </row>
    <row r="303" spans="1:3" x14ac:dyDescent="0.25">
      <c r="A303" s="4" t="s">
        <v>257</v>
      </c>
      <c r="B303" s="43">
        <f>Input!E229</f>
        <v>0</v>
      </c>
      <c r="C303" s="17"/>
    </row>
    <row r="304" spans="1:3" x14ac:dyDescent="0.25">
      <c r="A304" s="4" t="s">
        <v>258</v>
      </c>
      <c r="B304" s="43">
        <f>Input!E230</f>
        <v>0</v>
      </c>
      <c r="C304" s="17"/>
    </row>
    <row r="305" spans="1:3" x14ac:dyDescent="0.25">
      <c r="A305" s="29" t="s">
        <v>259</v>
      </c>
      <c r="C305" s="17"/>
    </row>
    <row r="306" spans="1:3" x14ac:dyDescent="0.25">
      <c r="A306" s="4" t="s">
        <v>179</v>
      </c>
      <c r="B306" s="43">
        <f>Input!E232</f>
        <v>11578.652</v>
      </c>
      <c r="C306" s="17"/>
    </row>
    <row r="307" spans="1:3" x14ac:dyDescent="0.25">
      <c r="A307" s="4" t="s">
        <v>260</v>
      </c>
      <c r="B307" s="43">
        <f>Input!E233</f>
        <v>14</v>
      </c>
      <c r="C307" s="17"/>
    </row>
    <row r="308" spans="1:3" x14ac:dyDescent="0.25">
      <c r="A308" s="4" t="s">
        <v>261</v>
      </c>
      <c r="B308" s="43">
        <f>Input!E234</f>
        <v>103</v>
      </c>
      <c r="C308" s="17"/>
    </row>
    <row r="309" spans="1:3" x14ac:dyDescent="0.25">
      <c r="A309" s="29" t="s">
        <v>262</v>
      </c>
      <c r="C309" s="17"/>
    </row>
    <row r="310" spans="1:3" x14ac:dyDescent="0.25">
      <c r="A310" s="4" t="s">
        <v>180</v>
      </c>
      <c r="B310" s="43">
        <f>Input!E236</f>
        <v>2212</v>
      </c>
      <c r="C310" s="17"/>
    </row>
    <row r="311" spans="1:3" x14ac:dyDescent="0.25">
      <c r="A311" s="4" t="s">
        <v>263</v>
      </c>
      <c r="B311" s="43">
        <f>Input!E237</f>
        <v>3</v>
      </c>
      <c r="C311" s="17"/>
    </row>
    <row r="312" spans="1:3" x14ac:dyDescent="0.25">
      <c r="A312" s="29" t="s">
        <v>264</v>
      </c>
      <c r="C312" s="17"/>
    </row>
    <row r="313" spans="1:3" x14ac:dyDescent="0.25">
      <c r="A313" s="4" t="s">
        <v>193</v>
      </c>
      <c r="B313" s="43">
        <f>Input!E239</f>
        <v>2113</v>
      </c>
      <c r="C313" s="17"/>
    </row>
    <row r="314" spans="1:3" x14ac:dyDescent="0.25">
      <c r="A314" s="4" t="s">
        <v>265</v>
      </c>
      <c r="B314" s="43">
        <f>Input!E240</f>
        <v>9</v>
      </c>
      <c r="C314" s="17"/>
    </row>
    <row r="315" spans="1:3" x14ac:dyDescent="0.25">
      <c r="A315" s="29" t="s">
        <v>266</v>
      </c>
      <c r="C315" s="17"/>
    </row>
    <row r="316" spans="1:3" x14ac:dyDescent="0.25">
      <c r="A316" s="4" t="s">
        <v>215</v>
      </c>
      <c r="B316" s="43">
        <f>Input!E242</f>
        <v>244</v>
      </c>
      <c r="C316" s="17"/>
    </row>
    <row r="317" spans="1:3" x14ac:dyDescent="0.25">
      <c r="A317" s="4" t="s">
        <v>267</v>
      </c>
      <c r="B317" s="43">
        <f>Input!E243</f>
        <v>0</v>
      </c>
      <c r="C317" s="17"/>
    </row>
    <row r="318" spans="1:3" x14ac:dyDescent="0.25">
      <c r="A318" s="4" t="s">
        <v>268</v>
      </c>
      <c r="B318" s="43">
        <f>Input!E244</f>
        <v>0</v>
      </c>
      <c r="C318" s="17"/>
    </row>
    <row r="319" spans="1:3" x14ac:dyDescent="0.25">
      <c r="A319" s="29" t="s">
        <v>269</v>
      </c>
      <c r="C319" s="17"/>
    </row>
    <row r="320" spans="1:3" x14ac:dyDescent="0.25">
      <c r="A320" s="4" t="s">
        <v>216</v>
      </c>
      <c r="B320" s="43">
        <f>Input!E246</f>
        <v>314</v>
      </c>
      <c r="C320" s="17"/>
    </row>
    <row r="321" spans="1:3" x14ac:dyDescent="0.25">
      <c r="A321" s="4" t="s">
        <v>270</v>
      </c>
      <c r="B321" s="43">
        <f>Input!E247</f>
        <v>61</v>
      </c>
      <c r="C321" s="17"/>
    </row>
    <row r="322" spans="1:3" x14ac:dyDescent="0.25">
      <c r="A322" s="4" t="s">
        <v>271</v>
      </c>
      <c r="B322" s="43">
        <f>Input!E248</f>
        <v>16</v>
      </c>
      <c r="C322" s="17"/>
    </row>
    <row r="323" spans="1:3" x14ac:dyDescent="0.25">
      <c r="A323" s="29" t="s">
        <v>272</v>
      </c>
      <c r="C323" s="17"/>
    </row>
    <row r="324" spans="1:3" x14ac:dyDescent="0.25">
      <c r="A324" s="4" t="s">
        <v>217</v>
      </c>
      <c r="B324" s="43">
        <f>Input!E250</f>
        <v>7</v>
      </c>
      <c r="C324" s="17"/>
    </row>
    <row r="325" spans="1:3" x14ac:dyDescent="0.25">
      <c r="A325" s="4" t="s">
        <v>273</v>
      </c>
      <c r="B325" s="43">
        <f>Input!E251</f>
        <v>0</v>
      </c>
      <c r="C325" s="17"/>
    </row>
    <row r="326" spans="1:3" x14ac:dyDescent="0.25">
      <c r="A326" s="4" t="s">
        <v>274</v>
      </c>
      <c r="B326" s="43">
        <f>Input!E252</f>
        <v>0</v>
      </c>
      <c r="C326" s="17"/>
    </row>
    <row r="327" spans="1:3" x14ac:dyDescent="0.25">
      <c r="A327" s="29" t="s">
        <v>275</v>
      </c>
      <c r="C327" s="17"/>
    </row>
    <row r="328" spans="1:3" x14ac:dyDescent="0.25">
      <c r="A328" s="4" t="s">
        <v>218</v>
      </c>
      <c r="B328" s="43">
        <f>Input!E254</f>
        <v>1</v>
      </c>
      <c r="C328" s="17"/>
    </row>
    <row r="329" spans="1:3" x14ac:dyDescent="0.25">
      <c r="A329" s="4" t="s">
        <v>276</v>
      </c>
      <c r="B329" s="43">
        <f>Input!E255</f>
        <v>0</v>
      </c>
      <c r="C329" s="17"/>
    </row>
    <row r="330" spans="1:3" x14ac:dyDescent="0.25">
      <c r="A330" s="4" t="s">
        <v>277</v>
      </c>
      <c r="B330" s="43">
        <f>Input!E256</f>
        <v>0</v>
      </c>
      <c r="C330" s="17"/>
    </row>
    <row r="331" spans="1:3" x14ac:dyDescent="0.25">
      <c r="A331" s="29" t="s">
        <v>278</v>
      </c>
      <c r="C331" s="17"/>
    </row>
    <row r="332" spans="1:3" x14ac:dyDescent="0.25">
      <c r="A332" s="4" t="s">
        <v>219</v>
      </c>
      <c r="B332" s="43">
        <f>Input!E258</f>
        <v>23</v>
      </c>
      <c r="C332" s="17"/>
    </row>
    <row r="333" spans="1:3" x14ac:dyDescent="0.25">
      <c r="A333" s="4" t="s">
        <v>279</v>
      </c>
      <c r="B333" s="43">
        <f>Input!E259</f>
        <v>0</v>
      </c>
      <c r="C333" s="17"/>
    </row>
    <row r="334" spans="1:3" x14ac:dyDescent="0.25">
      <c r="A334" s="4" t="s">
        <v>280</v>
      </c>
      <c r="B334" s="43">
        <f>Input!E260</f>
        <v>0</v>
      </c>
      <c r="C334" s="17"/>
    </row>
    <row r="335" spans="1:3" x14ac:dyDescent="0.25">
      <c r="A335" s="29" t="s">
        <v>281</v>
      </c>
      <c r="C335" s="17"/>
    </row>
    <row r="336" spans="1:3" x14ac:dyDescent="0.25">
      <c r="A336" s="4" t="s">
        <v>181</v>
      </c>
      <c r="B336" s="43">
        <f>Input!E262</f>
        <v>61</v>
      </c>
      <c r="C336" s="17"/>
    </row>
    <row r="337" spans="1:3" x14ac:dyDescent="0.25">
      <c r="A337" s="4" t="s">
        <v>282</v>
      </c>
      <c r="B337" s="36">
        <v>0</v>
      </c>
      <c r="C337" s="17"/>
    </row>
    <row r="338" spans="1:3" x14ac:dyDescent="0.25">
      <c r="A338" s="4" t="s">
        <v>283</v>
      </c>
      <c r="B338" s="36">
        <v>0</v>
      </c>
      <c r="C338" s="17"/>
    </row>
    <row r="339" spans="1:3" x14ac:dyDescent="0.25">
      <c r="A339" s="29" t="s">
        <v>284</v>
      </c>
      <c r="C339" s="17"/>
    </row>
    <row r="340" spans="1:3" x14ac:dyDescent="0.25">
      <c r="A340" s="4" t="s">
        <v>182</v>
      </c>
      <c r="B340" s="43">
        <f>Input!E266</f>
        <v>0</v>
      </c>
      <c r="C340" s="17"/>
    </row>
    <row r="341" spans="1:3" x14ac:dyDescent="0.25">
      <c r="A341" s="4" t="s">
        <v>285</v>
      </c>
      <c r="B341" s="36">
        <v>0</v>
      </c>
      <c r="C341" s="17"/>
    </row>
    <row r="342" spans="1:3" x14ac:dyDescent="0.25">
      <c r="A342" s="29" t="s">
        <v>286</v>
      </c>
      <c r="C342" s="17"/>
    </row>
    <row r="343" spans="1:3" x14ac:dyDescent="0.25">
      <c r="A343" s="4" t="s">
        <v>183</v>
      </c>
      <c r="B343" s="43">
        <f>Input!E269</f>
        <v>203</v>
      </c>
      <c r="C343" s="17"/>
    </row>
    <row r="344" spans="1:3" x14ac:dyDescent="0.25">
      <c r="A344" s="4" t="s">
        <v>287</v>
      </c>
      <c r="B344" s="36">
        <v>0</v>
      </c>
      <c r="C344" s="17"/>
    </row>
    <row r="345" spans="1:3" x14ac:dyDescent="0.25">
      <c r="A345" s="4" t="s">
        <v>288</v>
      </c>
      <c r="B345" s="36">
        <v>0</v>
      </c>
      <c r="C345" s="17"/>
    </row>
    <row r="346" spans="1:3" x14ac:dyDescent="0.25">
      <c r="A346" s="29" t="s">
        <v>289</v>
      </c>
      <c r="C346" s="17"/>
    </row>
    <row r="347" spans="1:3" x14ac:dyDescent="0.25">
      <c r="A347" s="4" t="s">
        <v>184</v>
      </c>
      <c r="B347" s="43">
        <f>Input!E273</f>
        <v>21</v>
      </c>
      <c r="C347" s="17"/>
    </row>
    <row r="348" spans="1:3" x14ac:dyDescent="0.25">
      <c r="A348" s="4" t="s">
        <v>290</v>
      </c>
      <c r="B348" s="36">
        <v>0</v>
      </c>
      <c r="C348" s="17"/>
    </row>
    <row r="349" spans="1:3" x14ac:dyDescent="0.25">
      <c r="A349" s="4" t="s">
        <v>291</v>
      </c>
      <c r="B349" s="36">
        <v>0</v>
      </c>
      <c r="C349" s="17"/>
    </row>
    <row r="350" spans="1:3" x14ac:dyDescent="0.25">
      <c r="A350" s="29" t="s">
        <v>292</v>
      </c>
      <c r="C350" s="17"/>
    </row>
    <row r="351" spans="1:3" x14ac:dyDescent="0.25">
      <c r="A351" s="4" t="s">
        <v>185</v>
      </c>
      <c r="B351" s="43">
        <f>Input!E277</f>
        <v>24</v>
      </c>
      <c r="C351" s="17"/>
    </row>
    <row r="352" spans="1:3" x14ac:dyDescent="0.25">
      <c r="A352" s="4" t="s">
        <v>293</v>
      </c>
      <c r="B352" s="36">
        <v>0</v>
      </c>
      <c r="C352" s="17"/>
    </row>
    <row r="353" spans="1:3" x14ac:dyDescent="0.25">
      <c r="A353" s="29" t="s">
        <v>294</v>
      </c>
      <c r="C353" s="17"/>
    </row>
    <row r="354" spans="1:3" x14ac:dyDescent="0.25">
      <c r="A354" s="4" t="s">
        <v>186</v>
      </c>
      <c r="B354" s="43">
        <f>Input!E280</f>
        <v>9</v>
      </c>
      <c r="C354" s="17"/>
    </row>
    <row r="355" spans="1:3" x14ac:dyDescent="0.25">
      <c r="A355" s="4" t="s">
        <v>295</v>
      </c>
      <c r="B355" s="36">
        <v>0</v>
      </c>
      <c r="C355" s="17"/>
    </row>
    <row r="356" spans="1:3" x14ac:dyDescent="0.25">
      <c r="A356" s="29" t="s">
        <v>296</v>
      </c>
      <c r="C356" s="17"/>
    </row>
    <row r="357" spans="1:3" x14ac:dyDescent="0.25">
      <c r="A357" s="4" t="s">
        <v>194</v>
      </c>
      <c r="B357" s="43">
        <f>Input!E283</f>
        <v>136</v>
      </c>
      <c r="C357" s="17"/>
    </row>
    <row r="358" spans="1:3" x14ac:dyDescent="0.25">
      <c r="A358" s="4" t="s">
        <v>297</v>
      </c>
      <c r="B358" s="36">
        <v>0</v>
      </c>
      <c r="C358" s="17"/>
    </row>
    <row r="359" spans="1:3" x14ac:dyDescent="0.25">
      <c r="A359" s="29" t="s">
        <v>298</v>
      </c>
      <c r="C359" s="17"/>
    </row>
    <row r="360" spans="1:3" x14ac:dyDescent="0.25">
      <c r="A360" s="4" t="s">
        <v>195</v>
      </c>
      <c r="B360" s="43">
        <f>Input!E286</f>
        <v>126</v>
      </c>
      <c r="C360" s="17"/>
    </row>
    <row r="361" spans="1:3" x14ac:dyDescent="0.25">
      <c r="A361" s="4" t="s">
        <v>299</v>
      </c>
      <c r="B361" s="36">
        <v>0</v>
      </c>
      <c r="C361" s="17"/>
    </row>
    <row r="363" spans="1:3" ht="21" customHeight="1" x14ac:dyDescent="0.3">
      <c r="A363" s="1" t="s">
        <v>1555</v>
      </c>
    </row>
    <row r="364" spans="1:3" x14ac:dyDescent="0.25">
      <c r="A364" s="2" t="s">
        <v>350</v>
      </c>
    </row>
    <row r="365" spans="1:3" x14ac:dyDescent="0.25">
      <c r="A365" s="32" t="s">
        <v>479</v>
      </c>
    </row>
    <row r="366" spans="1:3" x14ac:dyDescent="0.25">
      <c r="A366" s="32" t="s">
        <v>1513</v>
      </c>
    </row>
    <row r="367" spans="1:3" x14ac:dyDescent="0.25">
      <c r="A367" s="32" t="s">
        <v>1556</v>
      </c>
    </row>
    <row r="368" spans="1:3" x14ac:dyDescent="0.25">
      <c r="A368" s="32" t="s">
        <v>1514</v>
      </c>
    </row>
    <row r="369" spans="1:1" x14ac:dyDescent="0.25">
      <c r="A369" s="32" t="s">
        <v>1557</v>
      </c>
    </row>
    <row r="370" spans="1:1" x14ac:dyDescent="0.25">
      <c r="A370" s="32" t="s">
        <v>1515</v>
      </c>
    </row>
    <row r="371" spans="1:1" x14ac:dyDescent="0.25">
      <c r="A371" s="32" t="s">
        <v>1558</v>
      </c>
    </row>
    <row r="372" spans="1:1" x14ac:dyDescent="0.25">
      <c r="A372" s="32" t="s">
        <v>1516</v>
      </c>
    </row>
    <row r="373" spans="1:1" x14ac:dyDescent="0.25">
      <c r="A373" s="32" t="s">
        <v>1559</v>
      </c>
    </row>
    <row r="374" spans="1:1" x14ac:dyDescent="0.25">
      <c r="A374" s="32" t="s">
        <v>1517</v>
      </c>
    </row>
    <row r="375" spans="1:1" x14ac:dyDescent="0.25">
      <c r="A375" s="32" t="s">
        <v>1560</v>
      </c>
    </row>
    <row r="376" spans="1:1" x14ac:dyDescent="0.25">
      <c r="A376" s="32" t="s">
        <v>1518</v>
      </c>
    </row>
    <row r="377" spans="1:1" x14ac:dyDescent="0.25">
      <c r="A377" s="32" t="s">
        <v>1561</v>
      </c>
    </row>
    <row r="378" spans="1:1" x14ac:dyDescent="0.25">
      <c r="A378" s="32" t="s">
        <v>1519</v>
      </c>
    </row>
    <row r="379" spans="1:1" x14ac:dyDescent="0.25">
      <c r="A379" s="32" t="s">
        <v>1520</v>
      </c>
    </row>
    <row r="380" spans="1:1" x14ac:dyDescent="0.25">
      <c r="A380" s="32" t="s">
        <v>1521</v>
      </c>
    </row>
    <row r="381" spans="1:1" x14ac:dyDescent="0.25">
      <c r="A381" s="32" t="s">
        <v>1522</v>
      </c>
    </row>
    <row r="382" spans="1:1" x14ac:dyDescent="0.25">
      <c r="A382" s="32" t="s">
        <v>1523</v>
      </c>
    </row>
    <row r="383" spans="1:1" x14ac:dyDescent="0.25">
      <c r="A383" s="32" t="s">
        <v>1524</v>
      </c>
    </row>
    <row r="384" spans="1:1" x14ac:dyDescent="0.25">
      <c r="A384" s="32" t="s">
        <v>1525</v>
      </c>
    </row>
    <row r="385" spans="1:6" x14ac:dyDescent="0.25">
      <c r="A385" s="32" t="s">
        <v>1526</v>
      </c>
    </row>
    <row r="386" spans="1:6" x14ac:dyDescent="0.25">
      <c r="A386" s="32" t="s">
        <v>1527</v>
      </c>
    </row>
    <row r="387" spans="1:6" x14ac:dyDescent="0.25">
      <c r="A387" s="32" t="s">
        <v>1528</v>
      </c>
    </row>
    <row r="388" spans="1:6" x14ac:dyDescent="0.25">
      <c r="A388" s="32" t="s">
        <v>1529</v>
      </c>
    </row>
    <row r="389" spans="1:6" x14ac:dyDescent="0.25">
      <c r="A389" s="32" t="s">
        <v>1530</v>
      </c>
    </row>
    <row r="390" spans="1:6" x14ac:dyDescent="0.25">
      <c r="A390" s="32" t="s">
        <v>1531</v>
      </c>
    </row>
    <row r="391" spans="1:6" x14ac:dyDescent="0.25">
      <c r="A391" s="32" t="s">
        <v>1532</v>
      </c>
    </row>
    <row r="392" spans="1:6" x14ac:dyDescent="0.25">
      <c r="A392" s="32" t="s">
        <v>1533</v>
      </c>
    </row>
    <row r="393" spans="1:6" x14ac:dyDescent="0.25">
      <c r="A393" s="32" t="s">
        <v>1534</v>
      </c>
    </row>
    <row r="394" spans="1:6" x14ac:dyDescent="0.25">
      <c r="A394" s="32" t="s">
        <v>1535</v>
      </c>
    </row>
    <row r="395" spans="1:6" x14ac:dyDescent="0.25">
      <c r="A395" s="32" t="s">
        <v>1536</v>
      </c>
    </row>
    <row r="396" spans="1:6" x14ac:dyDescent="0.25">
      <c r="A396" s="33" t="s">
        <v>353</v>
      </c>
      <c r="B396" s="33" t="s">
        <v>483</v>
      </c>
      <c r="C396" s="33" t="s">
        <v>483</v>
      </c>
      <c r="D396" s="33" t="s">
        <v>483</v>
      </c>
      <c r="E396" s="33" t="s">
        <v>483</v>
      </c>
    </row>
    <row r="397" spans="1:6" ht="60" x14ac:dyDescent="0.25">
      <c r="A397" s="33" t="s">
        <v>356</v>
      </c>
      <c r="B397" s="33" t="s">
        <v>1537</v>
      </c>
      <c r="C397" s="33" t="s">
        <v>1538</v>
      </c>
      <c r="D397" s="33" t="s">
        <v>1539</v>
      </c>
      <c r="E397" s="33" t="s">
        <v>1540</v>
      </c>
    </row>
    <row r="399" spans="1:6" ht="60" x14ac:dyDescent="0.25">
      <c r="B399" s="15" t="s">
        <v>1562</v>
      </c>
      <c r="C399" s="15" t="s">
        <v>1563</v>
      </c>
      <c r="D399" s="15" t="s">
        <v>1564</v>
      </c>
      <c r="E399" s="15" t="s">
        <v>1565</v>
      </c>
    </row>
    <row r="400" spans="1:6" x14ac:dyDescent="0.25">
      <c r="A400" s="29" t="s">
        <v>230</v>
      </c>
      <c r="F400" s="17"/>
    </row>
    <row r="401" spans="1:6" x14ac:dyDescent="0.25">
      <c r="A401" s="4" t="s">
        <v>171</v>
      </c>
      <c r="B401" s="21">
        <f>0.01*Input!F$58*(E$21*B266+F$21*Input!F192)+10*(B$21*Input!B192+C$21*Input!C192+D$21*Input!D192+G$21*Input!G192)</f>
        <v>71796042.0313586</v>
      </c>
      <c r="C401" s="21">
        <f>0.01*Input!F$58*(E$67*B266+F$67*Input!F192)+10*(B$67*Input!B192+C$67*Input!C192+D$67*Input!D192+G$67*Input!G192)</f>
        <v>8049334.1507476885</v>
      </c>
      <c r="D401" s="21">
        <f>0.01*Input!F$58*(E$113*B266+F$113*Input!F192)+10*(B$113*Input!B192+C$113*Input!C192+D$113*Input!D192+G$113*Input!G192)</f>
        <v>52432809.929255307</v>
      </c>
      <c r="E401" s="21">
        <f>0.01*Input!F$58*($E$153*B266+$F$153*Input!F192)+10*($B$153*Input!B192+$C$153*Input!C192+$D$153*Input!D192+$G$153*Input!G192)</f>
        <v>33453568.276662916</v>
      </c>
      <c r="F401" s="17"/>
    </row>
    <row r="402" spans="1:6" x14ac:dyDescent="0.25">
      <c r="A402" s="4" t="s">
        <v>231</v>
      </c>
      <c r="B402" s="21">
        <f>0.01*Input!F$58*(E$21*B267+F$21*Input!F193)+10*(B$21*Input!B193+C$21*Input!C193+D$21*Input!D193+G$21*Input!G193)</f>
        <v>1177369.9635073796</v>
      </c>
      <c r="C402" s="21">
        <f>0.01*Input!F$58*(E$67*B267+F$67*Input!F193)+10*(B$67*Input!B193+C$67*Input!C193+D$67*Input!D193+G$67*Input!G193)</f>
        <v>131971.01058166593</v>
      </c>
      <c r="D402" s="21">
        <f>0.01*Input!F$58*(E$113*B267+F$113*Input!F193)+10*(B$113*Input!B193+C$113*Input!C193+D$113*Input!D193+G$113*Input!G193)</f>
        <v>881202.09334123158</v>
      </c>
      <c r="E402" s="21">
        <f>0.01*Input!F$58*($E$153*B267+$F$153*Input!F193)+10*($B$153*Input!B193+$C$153*Input!C193+$D$153*Input!D193+$G$153*Input!G193)</f>
        <v>548480.30040147773</v>
      </c>
      <c r="F402" s="17"/>
    </row>
    <row r="403" spans="1:6" x14ac:dyDescent="0.25">
      <c r="A403" s="4" t="s">
        <v>232</v>
      </c>
      <c r="B403" s="21">
        <f>0.01*Input!F$58*(E$21*B268+F$21*Input!F194)+10*(B$21*Input!B194+C$21*Input!C194+D$21*Input!D194+G$21*Input!G194)</f>
        <v>673216.97504585085</v>
      </c>
      <c r="C403" s="21">
        <f>0.01*Input!F$58*(E$67*B268+F$67*Input!F194)+10*(B$67*Input!B194+C$67*Input!C194+D$67*Input!D194+G$67*Input!G194)</f>
        <v>75485.345702281134</v>
      </c>
      <c r="D403" s="21">
        <f>0.01*Input!F$58*(E$113*B268+F$113*Input!F194)+10*(B$113*Input!B194+C$113*Input!C194+D$113*Input!D194+G$113*Input!G194)</f>
        <v>485385.40420582786</v>
      </c>
      <c r="E403" s="21">
        <f>0.01*Input!F$58*($E$153*B268+$F$153*Input!F194)+10*($B$153*Input!B194+$C$153*Input!C194+$D$153*Input!D194+$G$153*Input!G194)</f>
        <v>313722.1190033711</v>
      </c>
      <c r="F403" s="17"/>
    </row>
    <row r="404" spans="1:6" x14ac:dyDescent="0.25">
      <c r="A404" s="29" t="s">
        <v>233</v>
      </c>
      <c r="F404" s="17"/>
    </row>
    <row r="405" spans="1:6" x14ac:dyDescent="0.25">
      <c r="A405" s="4" t="s">
        <v>172</v>
      </c>
      <c r="B405" s="21">
        <f>0.01*Input!F$58*(E$22*B270+F$22*Input!F196)+10*(B$22*Input!B196+C$22*Input!C196+D$22*Input!D196+G$22*Input!G196)</f>
        <v>6760679.8237258242</v>
      </c>
      <c r="C405" s="21">
        <f>0.01*Input!F$58*(E$68*B270+F$68*Input!F196)+10*(B$68*Input!B196+C$68*Input!C196+D$68*Input!D196+G$68*Input!G196)</f>
        <v>709564.18432496546</v>
      </c>
      <c r="D405" s="21">
        <f>0.01*Input!F$58*(E$114*B270+F$114*Input!F196)+10*(B$114*Input!B196+C$114*Input!C196+D$114*Input!D196+G$114*Input!G196)</f>
        <v>4840016.8228839068</v>
      </c>
      <c r="E405" s="21">
        <f>0.01*Input!F$58*($E$154*B270+$F$154*Input!F196)+10*($B$154*Input!B196+$C$154*Input!C196+$D$154*Input!D196+$G$154*Input!G196)</f>
        <v>2948995.9594713729</v>
      </c>
      <c r="F405" s="17"/>
    </row>
    <row r="406" spans="1:6" x14ac:dyDescent="0.25">
      <c r="A406" s="4" t="s">
        <v>234</v>
      </c>
      <c r="B406" s="21">
        <f>0.01*Input!F$58*(E$22*B271+F$22*Input!F197)+10*(B$22*Input!B197+C$22*Input!C197+D$22*Input!D197+G$22*Input!G197)</f>
        <v>5235.3779424087597</v>
      </c>
      <c r="C406" s="21">
        <f>0.01*Input!F$58*(E$68*B271+F$68*Input!F197)+10*(B$68*Input!B197+C$68*Input!C197+D$68*Input!D197+G$68*Input!G197)</f>
        <v>579.62635901827764</v>
      </c>
      <c r="D406" s="21">
        <f>0.01*Input!F$58*(E$114*B271+F$114*Input!F197)+10*(B$114*Input!B197+C$114*Input!C197+D$114*Input!D197+G$114*Input!G197)</f>
        <v>3810.3643781616456</v>
      </c>
      <c r="E406" s="21">
        <f>0.01*Input!F$58*($E$154*B271+$F$154*Input!F197)+10*($B$154*Input!B197+$C$154*Input!C197+$D$154*Input!D197+$G$154*Input!G197)</f>
        <v>2408.9657123465709</v>
      </c>
      <c r="F406" s="17"/>
    </row>
    <row r="407" spans="1:6" x14ac:dyDescent="0.25">
      <c r="A407" s="4" t="s">
        <v>235</v>
      </c>
      <c r="B407" s="21">
        <f>0.01*Input!F$58*(E$22*B272+F$22*Input!F198)+10*(B$22*Input!B198+C$22*Input!C198+D$22*Input!D198+G$22*Input!G198)</f>
        <v>42332.55175961287</v>
      </c>
      <c r="C407" s="21">
        <f>0.01*Input!F$58*(E$68*B272+F$68*Input!F198)+10*(B$68*Input!B198+C$68*Input!C198+D$68*Input!D198+G$68*Input!G198)</f>
        <v>4534.8865302228096</v>
      </c>
      <c r="D407" s="21">
        <f>0.01*Input!F$58*(E$114*B272+F$114*Input!F198)+10*(B$114*Input!B198+C$114*Input!C198+D$114*Input!D198+G$114*Input!G198)</f>
        <v>29398.570297922153</v>
      </c>
      <c r="E407" s="21">
        <f>0.01*Input!F$58*($E$154*B272+$F$154*Input!F198)+10*($B$154*Input!B198+$C$154*Input!C198+$D$154*Input!D198+$G$154*Input!G198)</f>
        <v>18847.290139102486</v>
      </c>
      <c r="F407" s="17"/>
    </row>
    <row r="408" spans="1:6" x14ac:dyDescent="0.25">
      <c r="A408" s="29" t="s">
        <v>236</v>
      </c>
      <c r="F408" s="17"/>
    </row>
    <row r="409" spans="1:6" x14ac:dyDescent="0.25">
      <c r="A409" s="4" t="s">
        <v>213</v>
      </c>
      <c r="B409" s="21">
        <f>0.01*Input!F$58*(E$23*B274+F$23*Input!F200)+10*(B$23*Input!B200+C$23*Input!C200+D$23*Input!D200+G$23*Input!G200)</f>
        <v>25092.755453082242</v>
      </c>
      <c r="C409" s="21">
        <f>0.01*Input!F$58*(E$69*B274+F$69*Input!F200)+10*(B$69*Input!B200+C$69*Input!C200+D$69*Input!D200+G$69*Input!G200)</f>
        <v>1138.4525886352926</v>
      </c>
      <c r="D409" s="21">
        <f>0.01*Input!F$58*(E$115*B274+F$115*Input!F200)+10*(B$115*Input!B200+C$115*Input!C200+D$115*Input!D200+G$115*Input!G200)</f>
        <v>10557.120194589988</v>
      </c>
      <c r="E409" s="21">
        <f>0.01*Input!F$58*($E$155*B274+$F$155*Input!F200)+10*($B$155*Input!B200+$C$155*Input!C200+$D$155*Input!D200+$G$155*Input!G200)</f>
        <v>4731.4847030069832</v>
      </c>
      <c r="F409" s="17"/>
    </row>
    <row r="410" spans="1:6" x14ac:dyDescent="0.25">
      <c r="A410" s="4" t="s">
        <v>237</v>
      </c>
      <c r="B410" s="21">
        <f>0.01*Input!F$58*(E$23*B275+F$23*Input!F201)+10*(B$23*Input!B201+C$23*Input!C201+D$23*Input!D201+G$23*Input!G201)</f>
        <v>0</v>
      </c>
      <c r="C410" s="21">
        <f>0.01*Input!F$58*(E$69*B275+F$69*Input!F201)+10*(B$69*Input!B201+C$69*Input!C201+D$69*Input!D201+G$69*Input!G201)</f>
        <v>0</v>
      </c>
      <c r="D410" s="21">
        <f>0.01*Input!F$58*(E$115*B275+F$115*Input!F201)+10*(B$115*Input!B201+C$115*Input!C201+D$115*Input!D201+G$115*Input!G201)</f>
        <v>0</v>
      </c>
      <c r="E410" s="21">
        <f>0.01*Input!F$58*($E$155*B275+$F$155*Input!F201)+10*($B$155*Input!B201+$C$155*Input!C201+$D$155*Input!D201+$G$155*Input!G201)</f>
        <v>0</v>
      </c>
      <c r="F410" s="17"/>
    </row>
    <row r="411" spans="1:6" x14ac:dyDescent="0.25">
      <c r="A411" s="4" t="s">
        <v>238</v>
      </c>
      <c r="B411" s="21">
        <f>0.01*Input!F$58*(E$23*B276+F$23*Input!F202)+10*(B$23*Input!B202+C$23*Input!C202+D$23*Input!D202+G$23*Input!G202)</f>
        <v>0</v>
      </c>
      <c r="C411" s="21">
        <f>0.01*Input!F$58*(E$69*B276+F$69*Input!F202)+10*(B$69*Input!B202+C$69*Input!C202+D$69*Input!D202+G$69*Input!G202)</f>
        <v>0</v>
      </c>
      <c r="D411" s="21">
        <f>0.01*Input!F$58*(E$115*B276+F$115*Input!F202)+10*(B$115*Input!B202+C$115*Input!C202+D$115*Input!D202+G$115*Input!G202)</f>
        <v>0</v>
      </c>
      <c r="E411" s="21">
        <f>0.01*Input!F$58*($E$155*B276+$F$155*Input!F202)+10*($B$155*Input!B202+$C$155*Input!C202+$D$155*Input!D202+$G$155*Input!G202)</f>
        <v>0</v>
      </c>
      <c r="F411" s="17"/>
    </row>
    <row r="412" spans="1:6" x14ac:dyDescent="0.25">
      <c r="A412" s="29" t="s">
        <v>239</v>
      </c>
      <c r="F412" s="17"/>
    </row>
    <row r="413" spans="1:6" x14ac:dyDescent="0.25">
      <c r="A413" s="4" t="s">
        <v>173</v>
      </c>
      <c r="B413" s="21">
        <f>0.01*Input!F$58*(E$24*B278+F$24*Input!F204)+10*(B$24*Input!B204+C$24*Input!C204+D$24*Input!D204+G$24*Input!G204)</f>
        <v>16872424.842083946</v>
      </c>
      <c r="C413" s="21">
        <f>0.01*Input!F$58*(E$70*B278+F$70*Input!F204)+10*(B$70*Input!B204+C$70*Input!C204+D$70*Input!D204+G$70*Input!G204)</f>
        <v>1733117.5952229737</v>
      </c>
      <c r="D413" s="21">
        <f>0.01*Input!F$58*(E$116*B278+F$116*Input!F204)+10*(B$116*Input!B204+C$116*Input!C204+D$116*Input!D204+G$116*Input!G204)</f>
        <v>8423390.0834147707</v>
      </c>
      <c r="E413" s="21">
        <f>0.01*Input!F$58*($E$156*B278+$F$156*Input!F204)+10*($B$156*Input!B204+$C$156*Input!C204+$D$156*Input!D204+$G$156*Input!G204)</f>
        <v>7202952.0352179734</v>
      </c>
      <c r="F413" s="17"/>
    </row>
    <row r="414" spans="1:6" x14ac:dyDescent="0.25">
      <c r="A414" s="4" t="s">
        <v>240</v>
      </c>
      <c r="B414" s="21">
        <f>0.01*Input!F$58*(E$24*B279+F$24*Input!F205)+10*(B$24*Input!B205+C$24*Input!C205+D$24*Input!D205+G$24*Input!G205)</f>
        <v>29663.698890486041</v>
      </c>
      <c r="C414" s="21">
        <f>0.01*Input!F$58*(E$70*B279+F$70*Input!F205)+10*(B$70*Input!B205+C$70*Input!C205+D$70*Input!D205+G$70*Input!G205)</f>
        <v>3045.4561349500818</v>
      </c>
      <c r="D414" s="21">
        <f>0.01*Input!F$58*(E$116*B279+F$116*Input!F205)+10*(B$116*Input!B205+C$116*Input!C205+D$116*Input!D205+G$116*Input!G205)</f>
        <v>16094.356831675166</v>
      </c>
      <c r="E414" s="21">
        <f>0.01*Input!F$58*($E$156*B279+$F$156*Input!F205)+10*($B$156*Input!B205+$C$156*Input!C205+$D$156*Input!D205+$G$156*Input!G205)</f>
        <v>12657.118320112346</v>
      </c>
      <c r="F414" s="17"/>
    </row>
    <row r="415" spans="1:6" x14ac:dyDescent="0.25">
      <c r="A415" s="4" t="s">
        <v>241</v>
      </c>
      <c r="B415" s="21">
        <f>0.01*Input!F$58*(E$24*B280+F$24*Input!F206)+10*(B$24*Input!B206+C$24*Input!C206+D$24*Input!D206+G$24*Input!G206)</f>
        <v>64626.930276831692</v>
      </c>
      <c r="C415" s="21">
        <f>0.01*Input!F$58*(E$70*B280+F$70*Input!F206)+10*(B$70*Input!B206+C$70*Input!C206+D$70*Input!D206+G$70*Input!G206)</f>
        <v>6638.134980320905</v>
      </c>
      <c r="D415" s="21">
        <f>0.01*Input!F$58*(E$116*B280+F$116*Input!F206)+10*(B$116*Input!B206+C$116*Input!C206+D$116*Input!D206+G$116*Input!G206)</f>
        <v>32489.619612438964</v>
      </c>
      <c r="E415" s="21">
        <f>0.01*Input!F$58*($E$156*B280+$F$156*Input!F206)+10*($B$156*Input!B206+$C$156*Input!C206+$D$156*Input!D206+$G$156*Input!G206)</f>
        <v>27588.530633088725</v>
      </c>
      <c r="F415" s="17"/>
    </row>
    <row r="416" spans="1:6" x14ac:dyDescent="0.25">
      <c r="A416" s="29" t="s">
        <v>242</v>
      </c>
      <c r="F416" s="17"/>
    </row>
    <row r="417" spans="1:6" x14ac:dyDescent="0.25">
      <c r="A417" s="4" t="s">
        <v>174</v>
      </c>
      <c r="B417" s="21">
        <f>0.01*Input!F$58*(E$25*B282+F$25*Input!F208)+10*(B$25*Input!B208+C$25*Input!C208+D$25*Input!D208+G$25*Input!G208)</f>
        <v>6457384.8014426483</v>
      </c>
      <c r="C417" s="21">
        <f>0.01*Input!F$58*(E$71*B282+F$71*Input!F208)+10*(B$71*Input!B208+C$71*Input!C208+D$71*Input!D208+G$71*Input!G208)</f>
        <v>661059.38800147572</v>
      </c>
      <c r="D417" s="21">
        <f>0.01*Input!F$58*(E$117*B282+F$117*Input!F208)+10*(B$117*Input!B208+C$117*Input!C208+D$117*Input!D208+G$117*Input!G208)</f>
        <v>3069532.1229592515</v>
      </c>
      <c r="E417" s="21">
        <f>0.01*Input!F$58*($E$157*B282+$F$157*Input!F208)+10*($B$157*Input!B208+$C$157*Input!C208+$D$157*Input!D208+$G$157*Input!G208)</f>
        <v>2747406.7987825018</v>
      </c>
      <c r="F417" s="17"/>
    </row>
    <row r="418" spans="1:6" x14ac:dyDescent="0.25">
      <c r="A418" s="4" t="s">
        <v>243</v>
      </c>
      <c r="B418" s="21">
        <f>0.01*Input!F$58*(E$25*B283+F$25*Input!F209)+10*(B$25*Input!B209+C$25*Input!C209+D$25*Input!D209+G$25*Input!G209)</f>
        <v>628.88669470480306</v>
      </c>
      <c r="C418" s="21">
        <f>0.01*Input!F$58*(E$71*B283+F$71*Input!F209)+10*(B$71*Input!B209+C$71*Input!C209+D$71*Input!D209+G$71*Input!G209)</f>
        <v>61.452103417181725</v>
      </c>
      <c r="D418" s="21">
        <f>0.01*Input!F$58*(E$117*B283+F$117*Input!F209)+10*(B$117*Input!B209+C$117*Input!C209+D$117*Input!D209+G$117*Input!G209)</f>
        <v>610.81964233367114</v>
      </c>
      <c r="E418" s="21">
        <f>0.01*Input!F$58*($E$157*B283+$F$157*Input!F209)+10*($B$157*Input!B209+$C$157*Input!C209+$D$157*Input!D209+$G$157*Input!G209)</f>
        <v>255.39903039312645</v>
      </c>
      <c r="F418" s="17"/>
    </row>
    <row r="419" spans="1:6" x14ac:dyDescent="0.25">
      <c r="A419" s="4" t="s">
        <v>244</v>
      </c>
      <c r="B419" s="21">
        <f>0.01*Input!F$58*(E$25*B284+F$25*Input!F210)+10*(B$25*Input!B210+C$25*Input!C210+D$25*Input!D210+G$25*Input!G210)</f>
        <v>0</v>
      </c>
      <c r="C419" s="21">
        <f>0.01*Input!F$58*(E$71*B284+F$71*Input!F210)+10*(B$71*Input!B210+C$71*Input!C210+D$71*Input!D210+G$71*Input!G210)</f>
        <v>0</v>
      </c>
      <c r="D419" s="21">
        <f>0.01*Input!F$58*(E$117*B284+F$117*Input!F210)+10*(B$117*Input!B210+C$117*Input!C210+D$117*Input!D210+G$117*Input!G210)</f>
        <v>0</v>
      </c>
      <c r="E419" s="21">
        <f>0.01*Input!F$58*($E$157*B284+$F$157*Input!F210)+10*($B$157*Input!B210+$C$157*Input!C210+$D$157*Input!D210+$G$157*Input!G210)</f>
        <v>0</v>
      </c>
      <c r="F419" s="17"/>
    </row>
    <row r="420" spans="1:6" x14ac:dyDescent="0.25">
      <c r="A420" s="29" t="s">
        <v>245</v>
      </c>
      <c r="F420" s="17"/>
    </row>
    <row r="421" spans="1:6" x14ac:dyDescent="0.25">
      <c r="A421" s="4" t="s">
        <v>214</v>
      </c>
      <c r="B421" s="21">
        <f>0.01*Input!F$58*(E$26*B286+F$26*Input!F212)+10*(B$26*Input!B212+C$26*Input!C212+D$26*Input!D212+G$26*Input!G212)</f>
        <v>20611.132137527497</v>
      </c>
      <c r="C421" s="21">
        <f>0.01*Input!F$58*(E$72*B286+F$72*Input!F212)+10*(B$72*Input!B212+C$72*Input!C212+D$72*Input!D212+G$72*Input!G212)</f>
        <v>676.24225668378517</v>
      </c>
      <c r="D421" s="21">
        <f>0.01*Input!F$58*(E$118*B286+F$118*Input!F212)+10*(B$118*Input!B212+C$118*Input!C212+D$118*Input!D212+G$118*Input!G212)</f>
        <v>8686.382520418183</v>
      </c>
      <c r="E421" s="21">
        <f>0.01*Input!F$58*($E$158*B286+$F$158*Input!F212)+10*($B$158*Input!B212+$C$158*Input!C212+$D$158*Input!D212+$G$158*Input!G212)</f>
        <v>2810.5078111876169</v>
      </c>
      <c r="F421" s="17"/>
    </row>
    <row r="422" spans="1:6" ht="30" x14ac:dyDescent="0.25">
      <c r="A422" s="4" t="s">
        <v>246</v>
      </c>
      <c r="B422" s="21">
        <f>0.01*Input!F$58*(E$26*B287+F$26*Input!F213)+10*(B$26*Input!B213+C$26*Input!C213+D$26*Input!D213+G$26*Input!G213)</f>
        <v>0</v>
      </c>
      <c r="C422" s="21">
        <f>0.01*Input!F$58*(E$72*B287+F$72*Input!F213)+10*(B$72*Input!B213+C$72*Input!C213+D$72*Input!D213+G$72*Input!G213)</f>
        <v>0</v>
      </c>
      <c r="D422" s="21">
        <f>0.01*Input!F$58*(E$118*B287+F$118*Input!F213)+10*(B$118*Input!B213+C$118*Input!C213+D$118*Input!D213+G$118*Input!G213)</f>
        <v>0</v>
      </c>
      <c r="E422" s="21">
        <f>0.01*Input!F$58*($E$158*B287+$F$158*Input!F213)+10*($B$158*Input!B213+$C$158*Input!C213+$D$158*Input!D213+$G$158*Input!G213)</f>
        <v>0</v>
      </c>
      <c r="F422" s="17"/>
    </row>
    <row r="423" spans="1:6" ht="30" x14ac:dyDescent="0.25">
      <c r="A423" s="4" t="s">
        <v>247</v>
      </c>
      <c r="B423" s="21">
        <f>0.01*Input!F$58*(E$26*B288+F$26*Input!F214)+10*(B$26*Input!B214+C$26*Input!C214+D$26*Input!D214+G$26*Input!G214)</f>
        <v>0</v>
      </c>
      <c r="C423" s="21">
        <f>0.01*Input!F$58*(E$72*B288+F$72*Input!F214)+10*(B$72*Input!B214+C$72*Input!C214+D$72*Input!D214+G$72*Input!G214)</f>
        <v>0</v>
      </c>
      <c r="D423" s="21">
        <f>0.01*Input!F$58*(E$118*B288+F$118*Input!F214)+10*(B$118*Input!B214+C$118*Input!C214+D$118*Input!D214+G$118*Input!G214)</f>
        <v>0</v>
      </c>
      <c r="E423" s="21">
        <f>0.01*Input!F$58*($E$158*B288+$F$158*Input!F214)+10*($B$158*Input!B214+$C$158*Input!C214+$D$158*Input!D214+$G$158*Input!G214)</f>
        <v>0</v>
      </c>
      <c r="F423" s="17"/>
    </row>
    <row r="424" spans="1:6" x14ac:dyDescent="0.25">
      <c r="A424" s="29" t="s">
        <v>248</v>
      </c>
      <c r="F424" s="17"/>
    </row>
    <row r="425" spans="1:6" x14ac:dyDescent="0.25">
      <c r="A425" s="4" t="s">
        <v>175</v>
      </c>
      <c r="B425" s="21">
        <f>0.01*Input!F$58*(E$27*B290+F$27*Input!F216)+10*(B$27*Input!B216+C$27*Input!C216+D$27*Input!D216+G$27*Input!G216)</f>
        <v>0</v>
      </c>
      <c r="C425" s="21">
        <f>0.01*Input!F$58*(E$73*B290+F$73*Input!F216)+10*(B$73*Input!B216+C$73*Input!C216+D$73*Input!D216+G$73*Input!G216)</f>
        <v>0</v>
      </c>
      <c r="D425" s="21">
        <f>0.01*Input!F$58*(E$119*B290+F$119*Input!F216)+10*(B$119*Input!B216+C$119*Input!C216+D$119*Input!D216+G$119*Input!G216)</f>
        <v>0</v>
      </c>
      <c r="E425" s="21">
        <f>0.01*Input!F$58*($E$159*B290+$F$159*Input!F216)+10*($B$159*Input!B216+$C$159*Input!C216+$D$159*Input!D216+$G$159*Input!G216)</f>
        <v>0</v>
      </c>
      <c r="F425" s="17"/>
    </row>
    <row r="426" spans="1:6" x14ac:dyDescent="0.25">
      <c r="A426" s="4" t="s">
        <v>249</v>
      </c>
      <c r="B426" s="21">
        <f>0.01*Input!F$58*(E$27*B291+F$27*Input!F217)+10*(B$27*Input!B217+C$27*Input!C217+D$27*Input!D217+G$27*Input!G217)</f>
        <v>0</v>
      </c>
      <c r="C426" s="21">
        <f>0.01*Input!F$58*(E$73*B291+F$73*Input!F217)+10*(B$73*Input!B217+C$73*Input!C217+D$73*Input!D217+G$73*Input!G217)</f>
        <v>0</v>
      </c>
      <c r="D426" s="21">
        <f>0.01*Input!F$58*(E$119*B291+F$119*Input!F217)+10*(B$119*Input!B217+C$119*Input!C217+D$119*Input!D217+G$119*Input!G217)</f>
        <v>0</v>
      </c>
      <c r="E426" s="21">
        <f>0.01*Input!F$58*($E$159*B291+$F$159*Input!F217)+10*($B$159*Input!B217+$C$159*Input!C217+$D$159*Input!D217+$G$159*Input!G217)</f>
        <v>0</v>
      </c>
      <c r="F426" s="17"/>
    </row>
    <row r="427" spans="1:6" x14ac:dyDescent="0.25">
      <c r="A427" s="4" t="s">
        <v>250</v>
      </c>
      <c r="B427" s="21">
        <f>0.01*Input!F$58*(E$27*B292+F$27*Input!F218)+10*(B$27*Input!B218+C$27*Input!C218+D$27*Input!D218+G$27*Input!G218)</f>
        <v>0</v>
      </c>
      <c r="C427" s="21">
        <f>0.01*Input!F$58*(E$73*B292+F$73*Input!F218)+10*(B$73*Input!B218+C$73*Input!C218+D$73*Input!D218+G$73*Input!G218)</f>
        <v>0</v>
      </c>
      <c r="D427" s="21">
        <f>0.01*Input!F$58*(E$119*B292+F$119*Input!F218)+10*(B$119*Input!B218+C$119*Input!C218+D$119*Input!D218+G$119*Input!G218)</f>
        <v>0</v>
      </c>
      <c r="E427" s="21">
        <f>0.01*Input!F$58*($E$159*B292+$F$159*Input!F218)+10*($B$159*Input!B218+$C$159*Input!C218+$D$159*Input!D218+$G$159*Input!G218)</f>
        <v>0</v>
      </c>
      <c r="F427" s="17"/>
    </row>
    <row r="428" spans="1:6" x14ac:dyDescent="0.25">
      <c r="A428" s="29" t="s">
        <v>251</v>
      </c>
      <c r="F428" s="17"/>
    </row>
    <row r="429" spans="1:6" x14ac:dyDescent="0.25">
      <c r="A429" s="4" t="s">
        <v>176</v>
      </c>
      <c r="B429" s="21">
        <f>0.01*Input!F$58*(E$28*B294+F$28*Input!F220)+10*(B$28*Input!B220+C$28*Input!C220+D$28*Input!D220+G$28*Input!G220)</f>
        <v>0</v>
      </c>
      <c r="C429" s="21">
        <f>0.01*Input!F$58*(E$74*B294+F$74*Input!F220)+10*(B$74*Input!B220+C$74*Input!C220+D$74*Input!D220+G$74*Input!G220)</f>
        <v>0</v>
      </c>
      <c r="D429" s="21">
        <f>0.01*Input!F$58*(E$120*B294+F$120*Input!F220)+10*(B$120*Input!B220+C$120*Input!C220+D$120*Input!D220+G$120*Input!G220)</f>
        <v>0</v>
      </c>
      <c r="E429" s="21">
        <f>0.01*Input!F$58*($E$160*B294+$F$160*Input!F220)+10*($B$160*Input!B220+$C$160*Input!C220+$D$160*Input!D220+$G$160*Input!G220)</f>
        <v>0</v>
      </c>
      <c r="F429" s="17"/>
    </row>
    <row r="430" spans="1:6" x14ac:dyDescent="0.25">
      <c r="A430" s="29" t="s">
        <v>252</v>
      </c>
      <c r="F430" s="17"/>
    </row>
    <row r="431" spans="1:6" x14ac:dyDescent="0.25">
      <c r="A431" s="4" t="s">
        <v>192</v>
      </c>
      <c r="B431" s="21">
        <f>0.01*Input!F$58*(E$29*B296+F$29*Input!F222)+10*(B$29*Input!B222+C$29*Input!C222+D$29*Input!D222+G$29*Input!G222)</f>
        <v>37146.278276803554</v>
      </c>
      <c r="C431" s="21">
        <f>0.01*Input!F$58*(E$75*B296+F$75*Input!F222)+10*(B$75*Input!B222+C$75*Input!C222+D$75*Input!D222+G$75*Input!G222)</f>
        <v>6362.8028065921671</v>
      </c>
      <c r="D431" s="21">
        <f>0.01*Input!F$58*(E$121*B296+F$121*Input!F222)+10*(B$121*Input!B222+C$121*Input!C222+D$121*Input!D222+G$121*Input!G222)</f>
        <v>38732.21127700981</v>
      </c>
      <c r="E431" s="21">
        <f>0.01*Input!F$58*($E$161*B296+$F$161*Input!F222)+10*($B$161*Input!B222+$C$161*Input!C222+$D$161*Input!D222+$G$161*Input!G222)</f>
        <v>26444.231800403199</v>
      </c>
      <c r="F431" s="17"/>
    </row>
    <row r="432" spans="1:6" x14ac:dyDescent="0.25">
      <c r="A432" s="29" t="s">
        <v>253</v>
      </c>
      <c r="F432" s="17"/>
    </row>
    <row r="433" spans="1:6" x14ac:dyDescent="0.25">
      <c r="A433" s="4" t="s">
        <v>177</v>
      </c>
      <c r="B433" s="21">
        <f>0.01*Input!F$58*(E$30*B298+F$30*Input!F224)+10*(B$30*Input!B224+C$30*Input!C224+D$30*Input!D224+G$30*Input!G224)</f>
        <v>0</v>
      </c>
      <c r="C433" s="21">
        <f>0.01*Input!F$58*(E$76*B298+F$76*Input!F224)+10*(B$76*Input!B224+C$76*Input!C224+D$76*Input!D224+G$76*Input!G224)</f>
        <v>0</v>
      </c>
      <c r="D433" s="21">
        <f>0.01*Input!F$58*(E$122*B298+F$122*Input!F224)+10*(B$122*Input!B224+C$122*Input!C224+D$122*Input!D224+G$122*Input!G224)</f>
        <v>0</v>
      </c>
      <c r="E433" s="21">
        <f>0.01*Input!F$58*($E$162*B298+$F$162*Input!F224)+10*($B$162*Input!B224+$C$162*Input!C224+$D$162*Input!D224+$G$162*Input!G224)</f>
        <v>0</v>
      </c>
      <c r="F433" s="17"/>
    </row>
    <row r="434" spans="1:6" x14ac:dyDescent="0.25">
      <c r="A434" s="4" t="s">
        <v>254</v>
      </c>
      <c r="B434" s="21">
        <f>0.01*Input!F$58*(E$30*B299+F$30*Input!F225)+10*(B$30*Input!B225+C$30*Input!C225+D$30*Input!D225+G$30*Input!G225)</f>
        <v>0</v>
      </c>
      <c r="C434" s="21">
        <f>0.01*Input!F$58*(E$76*B299+F$76*Input!F225)+10*(B$76*Input!B225+C$76*Input!C225+D$76*Input!D225+G$76*Input!G225)</f>
        <v>0</v>
      </c>
      <c r="D434" s="21">
        <f>0.01*Input!F$58*(E$122*B299+F$122*Input!F225)+10*(B$122*Input!B225+C$122*Input!C225+D$122*Input!D225+G$122*Input!G225)</f>
        <v>0</v>
      </c>
      <c r="E434" s="21">
        <f>0.01*Input!F$58*($E$162*B299+$F$162*Input!F225)+10*($B$162*Input!B225+$C$162*Input!C225+$D$162*Input!D225+$G$162*Input!G225)</f>
        <v>0</v>
      </c>
      <c r="F434" s="17"/>
    </row>
    <row r="435" spans="1:6" x14ac:dyDescent="0.25">
      <c r="A435" s="4" t="s">
        <v>255</v>
      </c>
      <c r="B435" s="21">
        <f>0.01*Input!F$58*(E$30*B300+F$30*Input!F226)+10*(B$30*Input!B226+C$30*Input!C226+D$30*Input!D226+G$30*Input!G226)</f>
        <v>0</v>
      </c>
      <c r="C435" s="21">
        <f>0.01*Input!F$58*(E$76*B300+F$76*Input!F226)+10*(B$76*Input!B226+C$76*Input!C226+D$76*Input!D226+G$76*Input!G226)</f>
        <v>0</v>
      </c>
      <c r="D435" s="21">
        <f>0.01*Input!F$58*(E$122*B300+F$122*Input!F226)+10*(B$122*Input!B226+C$122*Input!C226+D$122*Input!D226+G$122*Input!G226)</f>
        <v>0</v>
      </c>
      <c r="E435" s="21">
        <f>0.01*Input!F$58*($E$162*B300+$F$162*Input!F226)+10*($B$162*Input!B226+$C$162*Input!C226+$D$162*Input!D226+$G$162*Input!G226)</f>
        <v>0</v>
      </c>
      <c r="F435" s="17"/>
    </row>
    <row r="436" spans="1:6" x14ac:dyDescent="0.25">
      <c r="A436" s="29" t="s">
        <v>256</v>
      </c>
      <c r="F436" s="17"/>
    </row>
    <row r="437" spans="1:6" x14ac:dyDescent="0.25">
      <c r="A437" s="4" t="s">
        <v>178</v>
      </c>
      <c r="B437" s="21">
        <f>0.01*Input!F$58*(E$31*B302+F$31*Input!F228)+10*(B$31*Input!B228+C$31*Input!C228+D$31*Input!D228+G$31*Input!G228)</f>
        <v>5182207.9707031455</v>
      </c>
      <c r="C437" s="21">
        <f>0.01*Input!F$58*(E$77*B302+F$77*Input!F228)+10*(B$77*Input!B228+C$77*Input!C228+D$77*Input!D228+G$77*Input!G228)</f>
        <v>547633.1837918316</v>
      </c>
      <c r="D437" s="21">
        <f>0.01*Input!F$58*(E$123*B302+F$123*Input!F228)+10*(B$123*Input!B228+C$123*Input!C228+D$123*Input!D228+G$123*Input!G228)</f>
        <v>2221863.6442757901</v>
      </c>
      <c r="E437" s="21">
        <f>0.01*Input!F$58*($E$163*B302+$F$163*Input!F228)+10*($B$163*Input!B228+$C$163*Input!C228+$D$163*Input!D228+$G$163*Input!G228)</f>
        <v>2275999.9475043025</v>
      </c>
      <c r="F437" s="17"/>
    </row>
    <row r="438" spans="1:6" x14ac:dyDescent="0.25">
      <c r="A438" s="4" t="s">
        <v>257</v>
      </c>
      <c r="B438" s="21">
        <f>0.01*Input!F$58*(E$31*B303+F$31*Input!F229)+10*(B$31*Input!B229+C$31*Input!C229+D$31*Input!D229+G$31*Input!G229)</f>
        <v>0</v>
      </c>
      <c r="C438" s="21">
        <f>0.01*Input!F$58*(E$77*B303+F$77*Input!F229)+10*(B$77*Input!B229+C$77*Input!C229+D$77*Input!D229+G$77*Input!G229)</f>
        <v>0</v>
      </c>
      <c r="D438" s="21">
        <f>0.01*Input!F$58*(E$123*B303+F$123*Input!F229)+10*(B$123*Input!B229+C$123*Input!C229+D$123*Input!D229+G$123*Input!G229)</f>
        <v>0</v>
      </c>
      <c r="E438" s="21">
        <f>0.01*Input!F$58*($E$163*B303+$F$163*Input!F229)+10*($B$163*Input!B229+$C$163*Input!C229+$D$163*Input!D229+$G$163*Input!G229)</f>
        <v>0</v>
      </c>
      <c r="F438" s="17"/>
    </row>
    <row r="439" spans="1:6" x14ac:dyDescent="0.25">
      <c r="A439" s="4" t="s">
        <v>258</v>
      </c>
      <c r="B439" s="21">
        <f>0.01*Input!F$58*(E$31*B304+F$31*Input!F230)+10*(B$31*Input!B230+C$31*Input!C230+D$31*Input!D230+G$31*Input!G230)</f>
        <v>0</v>
      </c>
      <c r="C439" s="21">
        <f>0.01*Input!F$58*(E$77*B304+F$77*Input!F230)+10*(B$77*Input!B230+C$77*Input!C230+D$77*Input!D230+G$77*Input!G230)</f>
        <v>0</v>
      </c>
      <c r="D439" s="21">
        <f>0.01*Input!F$58*(E$123*B304+F$123*Input!F230)+10*(B$123*Input!B230+C$123*Input!C230+D$123*Input!D230+G$123*Input!G230)</f>
        <v>0</v>
      </c>
      <c r="E439" s="21">
        <f>0.01*Input!F$58*($E$163*B304+$F$163*Input!F230)+10*($B$163*Input!B230+$C$163*Input!C230+$D$163*Input!D230+$G$163*Input!G230)</f>
        <v>0</v>
      </c>
      <c r="F439" s="17"/>
    </row>
    <row r="440" spans="1:6" x14ac:dyDescent="0.25">
      <c r="A440" s="29" t="s">
        <v>259</v>
      </c>
      <c r="F440" s="17"/>
    </row>
    <row r="441" spans="1:6" x14ac:dyDescent="0.25">
      <c r="A441" s="4" t="s">
        <v>179</v>
      </c>
      <c r="B441" s="21">
        <f>0.01*Input!F$58*(E$32*B306+F$32*Input!F232)+10*(B$32*Input!B232+C$32*Input!C232+D$32*Input!D232+G$32*Input!G232)</f>
        <v>26036368.774377845</v>
      </c>
      <c r="C441" s="21">
        <f>0.01*Input!F$58*(E$78*B306+F$78*Input!F232)+10*(B$78*Input!B232+C$78*Input!C232+D$78*Input!D232+G$78*Input!G232)</f>
        <v>2123511.3674183222</v>
      </c>
      <c r="D441" s="21">
        <f>0.01*Input!F$58*(E$124*B306+F$124*Input!F232)+10*(B$124*Input!B232+C$124*Input!C232+D$124*Input!D232+G$124*Input!G232)</f>
        <v>13906404.122032046</v>
      </c>
      <c r="E441" s="21">
        <f>0.01*Input!F$58*($E$164*B306+$F$164*Input!F232)+10*($B$164*Input!B232+$C$164*Input!C232+$D$164*Input!D232+$G$164*Input!G232)</f>
        <v>8825454.5265213009</v>
      </c>
      <c r="F441" s="17"/>
    </row>
    <row r="442" spans="1:6" x14ac:dyDescent="0.25">
      <c r="A442" s="4" t="s">
        <v>260</v>
      </c>
      <c r="B442" s="21">
        <f>0.01*Input!F$58*(E$32*B307+F$32*Input!F233)+10*(B$32*Input!B233+C$32*Input!C233+D$32*Input!D233+G$32*Input!G233)</f>
        <v>41240.123932165647</v>
      </c>
      <c r="C442" s="21">
        <f>0.01*Input!F$58*(E$78*B307+F$78*Input!F233)+10*(B$78*Input!B233+C$78*Input!C233+D$78*Input!D233+G$78*Input!G233)</f>
        <v>3159.847089395219</v>
      </c>
      <c r="D442" s="21">
        <f>0.01*Input!F$58*(E$124*B307+F$124*Input!F233)+10*(B$124*Input!B233+C$124*Input!C233+D$124*Input!D233+G$124*Input!G233)</f>
        <v>22097.117819661922</v>
      </c>
      <c r="E442" s="21">
        <f>0.01*Input!F$58*($E$164*B307+$F$164*Input!F233)+10*($B$164*Input!B233+$C$164*Input!C233+$D$164*Input!D233+$G$164*Input!G233)</f>
        <v>13132.534737556958</v>
      </c>
      <c r="F442" s="17"/>
    </row>
    <row r="443" spans="1:6" x14ac:dyDescent="0.25">
      <c r="A443" s="4" t="s">
        <v>261</v>
      </c>
      <c r="B443" s="21">
        <f>0.01*Input!F$58*(E$32*B308+F$32*Input!F234)+10*(B$32*Input!B234+C$32*Input!C234+D$32*Input!D234+G$32*Input!G234)</f>
        <v>503487.00017081609</v>
      </c>
      <c r="C443" s="21">
        <f>0.01*Input!F$58*(E$78*B308+F$78*Input!F234)+10*(B$78*Input!B234+C$78*Input!C234+D$78*Input!D234+G$78*Input!G234)</f>
        <v>37538.645992971564</v>
      </c>
      <c r="D443" s="21">
        <f>0.01*Input!F$58*(E$124*B308+F$124*Input!F234)+10*(B$124*Input!B234+C$124*Input!C234+D$124*Input!D234+G$124*Input!G234)</f>
        <v>266495.16433792957</v>
      </c>
      <c r="E443" s="21">
        <f>0.01*Input!F$58*($E$164*B308+$F$164*Input!F234)+10*($B$164*Input!B234+$C$164*Input!C234+$D$164*Input!D234+$G$164*Input!G234)</f>
        <v>156013.11030462111</v>
      </c>
      <c r="F443" s="17"/>
    </row>
    <row r="444" spans="1:6" x14ac:dyDescent="0.25">
      <c r="A444" s="29" t="s">
        <v>262</v>
      </c>
      <c r="F444" s="17"/>
    </row>
    <row r="445" spans="1:6" x14ac:dyDescent="0.25">
      <c r="A445" s="4" t="s">
        <v>180</v>
      </c>
      <c r="B445" s="21">
        <f>0.01*Input!F$58*(E$33*B310+F$33*Input!F236)+10*(B$33*Input!B236+C$33*Input!C236+D$33*Input!D236+G$33*Input!G236)</f>
        <v>11242495.981269389</v>
      </c>
      <c r="C445" s="21">
        <f>0.01*Input!F$58*(E$79*B310+F$79*Input!F236)+10*(B$79*Input!B236+C$79*Input!C236+D$79*Input!D236+G$79*Input!G236)</f>
        <v>1120594.6161977639</v>
      </c>
      <c r="D445" s="21">
        <f>0.01*Input!F$58*(E$125*B310+F$125*Input!F236)+10*(B$125*Input!B236+C$125*Input!C236+D$125*Input!D236+G$125*Input!G236)</f>
        <v>6871872.8261357415</v>
      </c>
      <c r="E445" s="21">
        <f>0.01*Input!F$58*($E$165*B310+$F$165*Input!F236)+10*($B$165*Input!B236+$C$165*Input!C236+$D$165*Input!D236+$G$165*Input!G236)</f>
        <v>4657265.7814125642</v>
      </c>
      <c r="F445" s="17"/>
    </row>
    <row r="446" spans="1:6" x14ac:dyDescent="0.25">
      <c r="A446" s="4" t="s">
        <v>263</v>
      </c>
      <c r="B446" s="21">
        <f>0.01*Input!F$58*(E$33*B311+F$33*Input!F237)+10*(B$33*Input!B237+C$33*Input!C237+D$33*Input!D237+G$33*Input!G237)</f>
        <v>10158.184602308271</v>
      </c>
      <c r="C446" s="21">
        <f>0.01*Input!F$58*(E$79*B311+F$79*Input!F237)+10*(B$79*Input!B237+C$79*Input!C237+D$79*Input!D237+G$79*Input!G237)</f>
        <v>467.28051332249498</v>
      </c>
      <c r="D446" s="21">
        <f>0.01*Input!F$58*(E$125*B311+F$125*Input!F237)+10*(B$125*Input!B237+C$125*Input!C237+D$125*Input!D237+G$125*Input!G237)</f>
        <v>8273.7574438598531</v>
      </c>
      <c r="E446" s="21">
        <f>0.01*Input!F$58*($E$165*B311+$F$165*Input!F237)+10*($B$165*Input!B237+$C$165*Input!C237+$D$165*Input!D237+$G$165*Input!G237)</f>
        <v>1942.0489029314472</v>
      </c>
      <c r="F446" s="17"/>
    </row>
    <row r="447" spans="1:6" x14ac:dyDescent="0.25">
      <c r="A447" s="29" t="s">
        <v>264</v>
      </c>
      <c r="F447" s="17"/>
    </row>
    <row r="448" spans="1:6" x14ac:dyDescent="0.25">
      <c r="A448" s="4" t="s">
        <v>193</v>
      </c>
      <c r="B448" s="21">
        <f>0.01*Input!F$58*(E$34*B313+F$34*Input!F239)+10*(B$34*Input!B239+C$34*Input!C239+D$34*Input!D239+G$34*Input!G239)</f>
        <v>25362148.663274631</v>
      </c>
      <c r="C448" s="21">
        <f>0.01*Input!F$58*(E$80*B313+F$80*Input!F239)+10*(B$80*Input!B239+C$80*Input!C239+D$80*Input!D239+G$80*Input!G239)</f>
        <v>3696719.7640256686</v>
      </c>
      <c r="D448" s="21">
        <f>0.01*Input!F$58*(E$126*B313+F$126*Input!F239)+10*(B$126*Input!B239+C$126*Input!C239+D$126*Input!D239+G$126*Input!G239)</f>
        <v>16418587.88878521</v>
      </c>
      <c r="E448" s="21">
        <f>0.01*Input!F$58*($E$166*B313+$F$166*Input!F239)+10*($B$166*Input!B239+$C$166*Input!C239+$D$166*Input!D239+$G$166*Input!G239)</f>
        <v>15363813.293057863</v>
      </c>
      <c r="F448" s="17"/>
    </row>
    <row r="449" spans="1:6" x14ac:dyDescent="0.25">
      <c r="A449" s="4" t="s">
        <v>265</v>
      </c>
      <c r="B449" s="21">
        <f>0.01*Input!F$58*(E$34*B314+F$34*Input!F240)+10*(B$34*Input!B240+C$34*Input!C240+D$34*Input!D240+G$34*Input!G240)</f>
        <v>128028.39411393522</v>
      </c>
      <c r="C449" s="21">
        <f>0.01*Input!F$58*(E$80*B314+F$80*Input!F240)+10*(B$80*Input!B240+C$80*Input!C240+D$80*Input!D240+G$80*Input!G240)</f>
        <v>12496.543223163628</v>
      </c>
      <c r="D449" s="21">
        <f>0.01*Input!F$58*(E$126*B314+F$126*Input!F240)+10*(B$126*Input!B240+C$126*Input!C240+D$126*Input!D240+G$126*Input!G240)</f>
        <v>101154.2496304643</v>
      </c>
      <c r="E449" s="21">
        <f>0.01*Input!F$58*($E$166*B314+$F$166*Input!F240)+10*($B$166*Input!B240+$C$166*Input!C240+$D$166*Input!D240+$G$166*Input!G240)</f>
        <v>51936.465067677855</v>
      </c>
      <c r="F449" s="17"/>
    </row>
    <row r="450" spans="1:6" x14ac:dyDescent="0.25">
      <c r="A450" s="29" t="s">
        <v>266</v>
      </c>
      <c r="F450" s="17"/>
    </row>
    <row r="451" spans="1:6" x14ac:dyDescent="0.25">
      <c r="A451" s="4" t="s">
        <v>215</v>
      </c>
      <c r="B451" s="21">
        <f>0.01*Input!F$58*(E$35*B316+F$35*Input!F242)+10*(B$35*Input!B242+C$35*Input!C242+D$35*Input!D242+G$35*Input!G242)</f>
        <v>242553.62368823972</v>
      </c>
      <c r="C451" s="21">
        <f>0.01*Input!F$58*(E$81*B316+F$81*Input!F242)+10*(B$81*Input!B242+C$81*Input!C242+D$81*Input!D242+G$81*Input!G242)</f>
        <v>25426.042084009438</v>
      </c>
      <c r="D451" s="21">
        <f>0.01*Input!F$58*(E$127*B316+F$127*Input!F242)+10*(B$127*Input!B242+C$127*Input!C242+D$127*Input!D242+G$127*Input!G242)</f>
        <v>671891.32476685394</v>
      </c>
      <c r="E451" s="21">
        <f>0.01*Input!F$58*($E$167*B316+$F$167*Input!F242)+10*($B$167*Input!B242+$C$167*Input!C242+$D$167*Input!D242+$G$167*Input!G242)</f>
        <v>105672.32257138987</v>
      </c>
      <c r="F451" s="17"/>
    </row>
    <row r="452" spans="1:6" x14ac:dyDescent="0.25">
      <c r="A452" s="4" t="s">
        <v>267</v>
      </c>
      <c r="B452" s="21">
        <f>0.01*Input!F$58*(E$35*B317+F$35*Input!F243)+10*(B$35*Input!B243+C$35*Input!C243+D$35*Input!D243+G$35*Input!G243)</f>
        <v>0</v>
      </c>
      <c r="C452" s="21">
        <f>0.01*Input!F$58*(E$81*B317+F$81*Input!F243)+10*(B$81*Input!B243+C$81*Input!C243+D$81*Input!D243+G$81*Input!G243)</f>
        <v>0</v>
      </c>
      <c r="D452" s="21">
        <f>0.01*Input!F$58*(E$127*B317+F$127*Input!F243)+10*(B$127*Input!B243+C$127*Input!C243+D$127*Input!D243+G$127*Input!G243)</f>
        <v>0</v>
      </c>
      <c r="E452" s="21">
        <f>0.01*Input!F$58*($E$167*B317+$F$167*Input!F243)+10*($B$167*Input!B243+$C$167*Input!C243+$D$167*Input!D243+$G$167*Input!G243)</f>
        <v>0</v>
      </c>
      <c r="F452" s="17"/>
    </row>
    <row r="453" spans="1:6" x14ac:dyDescent="0.25">
      <c r="A453" s="4" t="s">
        <v>268</v>
      </c>
      <c r="B453" s="21">
        <f>0.01*Input!F$58*(E$35*B318+F$35*Input!F244)+10*(B$35*Input!B244+C$35*Input!C244+D$35*Input!D244+G$35*Input!G244)</f>
        <v>0</v>
      </c>
      <c r="C453" s="21">
        <f>0.01*Input!F$58*(E$81*B318+F$81*Input!F244)+10*(B$81*Input!B244+C$81*Input!C244+D$81*Input!D244+G$81*Input!G244)</f>
        <v>0</v>
      </c>
      <c r="D453" s="21">
        <f>0.01*Input!F$58*(E$127*B318+F$127*Input!F244)+10*(B$127*Input!B244+C$127*Input!C244+D$127*Input!D244+G$127*Input!G244)</f>
        <v>0</v>
      </c>
      <c r="E453" s="21">
        <f>0.01*Input!F$58*($E$167*B318+$F$167*Input!F244)+10*($B$167*Input!B244+$C$167*Input!C244+$D$167*Input!D244+$G$167*Input!G244)</f>
        <v>0</v>
      </c>
      <c r="F453" s="17"/>
    </row>
    <row r="454" spans="1:6" x14ac:dyDescent="0.25">
      <c r="A454" s="29" t="s">
        <v>269</v>
      </c>
      <c r="F454" s="17"/>
    </row>
    <row r="455" spans="1:6" x14ac:dyDescent="0.25">
      <c r="A455" s="4" t="s">
        <v>216</v>
      </c>
      <c r="B455" s="21">
        <f>0.01*Input!F$58*(E$36*B320+F$36*Input!F246)+10*(B$36*Input!B246+C$36*Input!C246+D$36*Input!D246+G$36*Input!G246)</f>
        <v>77968.726475318996</v>
      </c>
      <c r="C455" s="21">
        <f>0.01*Input!F$58*(E$82*B320+F$82*Input!F246)+10*(B$82*Input!B246+C$82*Input!C246+D$82*Input!D246+G$82*Input!G246)</f>
        <v>10794.66900417718</v>
      </c>
      <c r="D455" s="21">
        <f>0.01*Input!F$58*(E$128*B320+F$128*Input!F246)+10*(B$128*Input!B246+C$128*Input!C246+D$128*Input!D246+G$128*Input!G246)</f>
        <v>188069.00292235985</v>
      </c>
      <c r="E455" s="21">
        <f>0.01*Input!F$58*($E$168*B320+$F$168*Input!F246)+10*($B$168*Input!B246+$C$168*Input!C246+$D$168*Input!D246+$G$168*Input!G246)</f>
        <v>44863.362582813686</v>
      </c>
      <c r="F455" s="17"/>
    </row>
    <row r="456" spans="1:6" x14ac:dyDescent="0.25">
      <c r="A456" s="4" t="s">
        <v>270</v>
      </c>
      <c r="B456" s="21">
        <f>0.01*Input!F$58*(E$36*B321+F$36*Input!F247)+10*(B$36*Input!B247+C$36*Input!C247+D$36*Input!D247+G$36*Input!G247)</f>
        <v>1168.0917292699824</v>
      </c>
      <c r="C456" s="21">
        <f>0.01*Input!F$58*(E$82*B321+F$82*Input!F247)+10*(B$82*Input!B247+C$82*Input!C247+D$82*Input!D247+G$82*Input!G247)</f>
        <v>161.72078414000816</v>
      </c>
      <c r="D456" s="21">
        <f>0.01*Input!F$58*(E$128*B321+F$128*Input!F247)+10*(B$128*Input!B247+C$128*Input!C247+D$128*Input!D247+G$128*Input!G247)</f>
        <v>2817.5636152682446</v>
      </c>
      <c r="E456" s="21">
        <f>0.01*Input!F$58*($E$168*B321+$F$168*Input!F247)+10*($B$168*Input!B247+$C$168*Input!C247+$D$168*Input!D247+$G$168*Input!G247)</f>
        <v>672.12233865091673</v>
      </c>
      <c r="F456" s="17"/>
    </row>
    <row r="457" spans="1:6" x14ac:dyDescent="0.25">
      <c r="A457" s="4" t="s">
        <v>271</v>
      </c>
      <c r="B457" s="21">
        <f>0.01*Input!F$58*(E$36*B322+F$36*Input!F248)+10*(B$36*Input!B248+C$36*Input!C248+D$36*Input!D248+G$36*Input!G248)</f>
        <v>1353.1663482865288</v>
      </c>
      <c r="C457" s="21">
        <f>0.01*Input!F$58*(E$82*B322+F$82*Input!F248)+10*(B$82*Input!B248+C$82*Input!C248+D$82*Input!D248+G$82*Input!G248)</f>
        <v>187.34412498026444</v>
      </c>
      <c r="D457" s="21">
        <f>0.01*Input!F$58*(E$128*B322+F$128*Input!F248)+10*(B$128*Input!B248+C$128*Input!C248+D$128*Input!D248+G$128*Input!G248)</f>
        <v>3263.9836177251991</v>
      </c>
      <c r="E457" s="21">
        <f>0.01*Input!F$58*($E$168*B322+$F$168*Input!F248)+10*($B$168*Input!B248+$C$168*Input!C248+$D$168*Input!D248+$G$168*Input!G248)</f>
        <v>778.61464798014208</v>
      </c>
      <c r="F457" s="17"/>
    </row>
    <row r="458" spans="1:6" x14ac:dyDescent="0.25">
      <c r="A458" s="29" t="s">
        <v>272</v>
      </c>
      <c r="F458" s="17"/>
    </row>
    <row r="459" spans="1:6" x14ac:dyDescent="0.25">
      <c r="A459" s="4" t="s">
        <v>217</v>
      </c>
      <c r="B459" s="21">
        <f>0.01*Input!F$58*(E$37*B324+F$37*Input!F250)+10*(B$37*Input!B250+C$37*Input!C250+D$37*Input!D250+G$37*Input!G250)</f>
        <v>3769.1911106291054</v>
      </c>
      <c r="C459" s="21">
        <f>0.01*Input!F$58*(E$83*B324+F$83*Input!F250)+10*(B$83*Input!B250+C$83*Input!C250+D$83*Input!D250+G$83*Input!G250)</f>
        <v>546.15142636333053</v>
      </c>
      <c r="D459" s="21">
        <f>0.01*Input!F$58*(E$129*B324+F$129*Input!F250)+10*(B$129*Input!B250+C$129*Input!C250+D$129*Input!D250+G$129*Input!G250)</f>
        <v>5781.4055854784428</v>
      </c>
      <c r="E459" s="21">
        <f>0.01*Input!F$58*($E$169*B324+$F$169*Input!F250)+10*($B$169*Input!B250+$C$169*Input!C250+$D$169*Input!D250+$G$169*Input!G250)</f>
        <v>2269.8416650457211</v>
      </c>
      <c r="F459" s="17"/>
    </row>
    <row r="460" spans="1:6" x14ac:dyDescent="0.25">
      <c r="A460" s="4" t="s">
        <v>273</v>
      </c>
      <c r="B460" s="21">
        <f>0.01*Input!F$58*(E$37*B325+F$37*Input!F251)+10*(B$37*Input!B251+C$37*Input!C251+D$37*Input!D251+G$37*Input!G251)</f>
        <v>0</v>
      </c>
      <c r="C460" s="21">
        <f>0.01*Input!F$58*(E$83*B325+F$83*Input!F251)+10*(B$83*Input!B251+C$83*Input!C251+D$83*Input!D251+G$83*Input!G251)</f>
        <v>0</v>
      </c>
      <c r="D460" s="21">
        <f>0.01*Input!F$58*(E$129*B325+F$129*Input!F251)+10*(B$129*Input!B251+C$129*Input!C251+D$129*Input!D251+G$129*Input!G251)</f>
        <v>0</v>
      </c>
      <c r="E460" s="21">
        <f>0.01*Input!F$58*($E$169*B325+$F$169*Input!F251)+10*($B$169*Input!B251+$C$169*Input!C251+$D$169*Input!D251+$G$169*Input!G251)</f>
        <v>0</v>
      </c>
      <c r="F460" s="17"/>
    </row>
    <row r="461" spans="1:6" x14ac:dyDescent="0.25">
      <c r="A461" s="4" t="s">
        <v>274</v>
      </c>
      <c r="B461" s="21">
        <f>0.01*Input!F$58*(E$37*B326+F$37*Input!F252)+10*(B$37*Input!B252+C$37*Input!C252+D$37*Input!D252+G$37*Input!G252)</f>
        <v>0</v>
      </c>
      <c r="C461" s="21">
        <f>0.01*Input!F$58*(E$83*B326+F$83*Input!F252)+10*(B$83*Input!B252+C$83*Input!C252+D$83*Input!D252+G$83*Input!G252)</f>
        <v>0</v>
      </c>
      <c r="D461" s="21">
        <f>0.01*Input!F$58*(E$129*B326+F$129*Input!F252)+10*(B$129*Input!B252+C$129*Input!C252+D$129*Input!D252+G$129*Input!G252)</f>
        <v>0</v>
      </c>
      <c r="E461" s="21">
        <f>0.01*Input!F$58*($E$169*B326+$F$169*Input!F252)+10*($B$169*Input!B252+$C$169*Input!C252+$D$169*Input!D252+$G$169*Input!G252)</f>
        <v>0</v>
      </c>
      <c r="F461" s="17"/>
    </row>
    <row r="462" spans="1:6" x14ac:dyDescent="0.25">
      <c r="A462" s="29" t="s">
        <v>275</v>
      </c>
      <c r="F462" s="17"/>
    </row>
    <row r="463" spans="1:6" x14ac:dyDescent="0.25">
      <c r="A463" s="4" t="s">
        <v>218</v>
      </c>
      <c r="B463" s="21">
        <f>0.01*Input!F$58*(E$38*B328+F$38*Input!F254)+10*(B$38*Input!B254+C$38*Input!C254+D$38*Input!D254+G$38*Input!G254)</f>
        <v>0.48566639225345132</v>
      </c>
      <c r="C463" s="21">
        <f>0.01*Input!F$58*(E$84*B328+F$84*Input!F254)+10*(B$84*Input!B254+C$84*Input!C254+D$84*Input!D254+G$84*Input!G254)</f>
        <v>3.6345213527571009E-2</v>
      </c>
      <c r="D463" s="21">
        <f>0.01*Input!F$58*(E$130*B328+F$130*Input!F254)+10*(B$130*Input!B254+C$130*Input!C254+D$130*Input!D254+G$130*Input!G254)</f>
        <v>1.4265035459039628</v>
      </c>
      <c r="E463" s="21">
        <f>0.01*Input!F$58*($E$170*B328+$F$170*Input!F254)+10*($B$170*Input!B254+$C$170*Input!C254+$D$170*Input!D254+$G$170*Input!G254)</f>
        <v>0.15105312557580289</v>
      </c>
      <c r="F463" s="17"/>
    </row>
    <row r="464" spans="1:6" x14ac:dyDescent="0.25">
      <c r="A464" s="4" t="s">
        <v>276</v>
      </c>
      <c r="B464" s="21">
        <f>0.01*Input!F$58*(E$38*B329+F$38*Input!F255)+10*(B$38*Input!B255+C$38*Input!C255+D$38*Input!D255+G$38*Input!G255)</f>
        <v>0</v>
      </c>
      <c r="C464" s="21">
        <f>0.01*Input!F$58*(E$84*B329+F$84*Input!F255)+10*(B$84*Input!B255+C$84*Input!C255+D$84*Input!D255+G$84*Input!G255)</f>
        <v>0</v>
      </c>
      <c r="D464" s="21">
        <f>0.01*Input!F$58*(E$130*B329+F$130*Input!F255)+10*(B$130*Input!B255+C$130*Input!C255+D$130*Input!D255+G$130*Input!G255)</f>
        <v>0</v>
      </c>
      <c r="E464" s="21">
        <f>0.01*Input!F$58*($E$170*B329+$F$170*Input!F255)+10*($B$170*Input!B255+$C$170*Input!C255+$D$170*Input!D255+$G$170*Input!G255)</f>
        <v>0</v>
      </c>
      <c r="F464" s="17"/>
    </row>
    <row r="465" spans="1:6" x14ac:dyDescent="0.25">
      <c r="A465" s="4" t="s">
        <v>277</v>
      </c>
      <c r="B465" s="21">
        <f>0.01*Input!F$58*(E$38*B330+F$38*Input!F256)+10*(B$38*Input!B256+C$38*Input!C256+D$38*Input!D256+G$38*Input!G256)</f>
        <v>0</v>
      </c>
      <c r="C465" s="21">
        <f>0.01*Input!F$58*(E$84*B330+F$84*Input!F256)+10*(B$84*Input!B256+C$84*Input!C256+D$84*Input!D256+G$84*Input!G256)</f>
        <v>0</v>
      </c>
      <c r="D465" s="21">
        <f>0.01*Input!F$58*(E$130*B330+F$130*Input!F256)+10*(B$130*Input!B256+C$130*Input!C256+D$130*Input!D256+G$130*Input!G256)</f>
        <v>0</v>
      </c>
      <c r="E465" s="21">
        <f>0.01*Input!F$58*($E$170*B330+$F$170*Input!F256)+10*($B$170*Input!B256+$C$170*Input!C256+$D$170*Input!D256+$G$170*Input!G256)</f>
        <v>0</v>
      </c>
      <c r="F465" s="17"/>
    </row>
    <row r="466" spans="1:6" x14ac:dyDescent="0.25">
      <c r="A466" s="29" t="s">
        <v>278</v>
      </c>
      <c r="F466" s="17"/>
    </row>
    <row r="467" spans="1:6" x14ac:dyDescent="0.25">
      <c r="A467" s="4" t="s">
        <v>219</v>
      </c>
      <c r="B467" s="21">
        <f>0.01*Input!F$58*(E$39*B332+F$39*Input!F258)+10*(B$39*Input!B258+C$39*Input!C258+D$39*Input!D258+G$39*Input!G258)</f>
        <v>2258922.577644933</v>
      </c>
      <c r="C467" s="21">
        <f>0.01*Input!F$58*(E$85*B332+F$85*Input!F258)+10*(B$85*Input!B258+C$85*Input!C258+D$85*Input!D258+G$85*Input!G258)</f>
        <v>309880.75252298056</v>
      </c>
      <c r="D467" s="21">
        <f>0.01*Input!F$58*(E$131*B332+F$131*Input!F258)+10*(B$131*Input!B258+C$131*Input!C258+D$131*Input!D258+G$131*Input!G258)</f>
        <v>5014469.1973335901</v>
      </c>
      <c r="E467" s="21">
        <f>0.01*Input!F$58*($E$171*B332+$F$171*Input!F258)+10*($B$171*Input!B258+$C$171*Input!C258+$D$171*Input!D258+$G$171*Input!G258)</f>
        <v>1287885.0247741647</v>
      </c>
      <c r="F467" s="17"/>
    </row>
    <row r="468" spans="1:6" x14ac:dyDescent="0.25">
      <c r="A468" s="4" t="s">
        <v>279</v>
      </c>
      <c r="B468" s="21">
        <f>0.01*Input!F$58*(E$39*B333+F$39*Input!F259)+10*(B$39*Input!B259+C$39*Input!C259+D$39*Input!D259+G$39*Input!G259)</f>
        <v>0</v>
      </c>
      <c r="C468" s="21">
        <f>0.01*Input!F$58*(E$85*B333+F$85*Input!F259)+10*(B$85*Input!B259+C$85*Input!C259+D$85*Input!D259+G$85*Input!G259)</f>
        <v>0</v>
      </c>
      <c r="D468" s="21">
        <f>0.01*Input!F$58*(E$131*B333+F$131*Input!F259)+10*(B$131*Input!B259+C$131*Input!C259+D$131*Input!D259+G$131*Input!G259)</f>
        <v>0</v>
      </c>
      <c r="E468" s="21">
        <f>0.01*Input!F$58*($E$171*B333+$F$171*Input!F259)+10*($B$171*Input!B259+$C$171*Input!C259+$D$171*Input!D259+$G$171*Input!G259)</f>
        <v>0</v>
      </c>
      <c r="F468" s="17"/>
    </row>
    <row r="469" spans="1:6" x14ac:dyDescent="0.25">
      <c r="A469" s="4" t="s">
        <v>280</v>
      </c>
      <c r="B469" s="21">
        <f>0.01*Input!F$58*(E$39*B334+F$39*Input!F260)+10*(B$39*Input!B260+C$39*Input!C260+D$39*Input!D260+G$39*Input!G260)</f>
        <v>0</v>
      </c>
      <c r="C469" s="21">
        <f>0.01*Input!F$58*(E$85*B334+F$85*Input!F260)+10*(B$85*Input!B260+C$85*Input!C260+D$85*Input!D260+G$85*Input!G260)</f>
        <v>0</v>
      </c>
      <c r="D469" s="21">
        <f>0.01*Input!F$58*(E$131*B334+F$131*Input!F260)+10*(B$131*Input!B260+C$131*Input!C260+D$131*Input!D260+G$131*Input!G260)</f>
        <v>0</v>
      </c>
      <c r="E469" s="21">
        <f>0.01*Input!F$58*($E$171*B334+$F$171*Input!F260)+10*($B$171*Input!B260+$C$171*Input!C260+$D$171*Input!D260+$G$171*Input!G260)</f>
        <v>0</v>
      </c>
      <c r="F469" s="17"/>
    </row>
    <row r="470" spans="1:6" x14ac:dyDescent="0.25">
      <c r="A470" s="29" t="s">
        <v>281</v>
      </c>
      <c r="F470" s="17"/>
    </row>
    <row r="471" spans="1:6" x14ac:dyDescent="0.25">
      <c r="A471" s="4" t="s">
        <v>181</v>
      </c>
      <c r="B471" s="21">
        <f>0.01*Input!F$58*(E$40*B336+F$40*Input!F262)+10*(B$40*Input!B262+C$40*Input!C262+D$40*Input!D262+G$40*Input!G262)</f>
        <v>-4568.8234024026515</v>
      </c>
      <c r="C471" s="21">
        <f>0.01*Input!F$58*(E$86*B336+F$86*Input!F262)+10*(B$86*Input!B262+C$86*Input!C262+D$86*Input!D262+G$86*Input!G262)</f>
        <v>-481.03084325364995</v>
      </c>
      <c r="D471" s="21">
        <f>0.01*Input!F$58*(E$132*B336+F$132*Input!F262)+10*(B$132*Input!B262+C$132*Input!C262+D$132*Input!D262+G$132*Input!G262)</f>
        <v>-1905.2435092761098</v>
      </c>
      <c r="E471" s="21">
        <f>0.01*Input!F$58*($E$172*B336+$F$172*Input!F262)+10*($B$172*Input!B262+$C$172*Input!C262+$D$172*Input!D262+$G$172*Input!G262)</f>
        <v>0</v>
      </c>
      <c r="F471" s="17"/>
    </row>
    <row r="472" spans="1:6" x14ac:dyDescent="0.25">
      <c r="A472" s="4" t="s">
        <v>282</v>
      </c>
      <c r="B472" s="21">
        <f>0.01*Input!F$58*(E$40*B337+F$40*Input!F263)+10*(B$40*Input!B263+C$40*Input!C263+D$40*Input!D263+G$40*Input!G263)</f>
        <v>0</v>
      </c>
      <c r="C472" s="21">
        <f>0.01*Input!F$58*(E$86*B337+F$86*Input!F263)+10*(B$86*Input!B263+C$86*Input!C263+D$86*Input!D263+G$86*Input!G263)</f>
        <v>0</v>
      </c>
      <c r="D472" s="21">
        <f>0.01*Input!F$58*(E$132*B337+F$132*Input!F263)+10*(B$132*Input!B263+C$132*Input!C263+D$132*Input!D263+G$132*Input!G263)</f>
        <v>0</v>
      </c>
      <c r="E472" s="21">
        <f>0.01*Input!F$58*($E$172*B337+$F$172*Input!F263)+10*($B$172*Input!B263+$C$172*Input!C263+$D$172*Input!D263+$G$172*Input!G263)</f>
        <v>0</v>
      </c>
      <c r="F472" s="17"/>
    </row>
    <row r="473" spans="1:6" x14ac:dyDescent="0.25">
      <c r="A473" s="4" t="s">
        <v>283</v>
      </c>
      <c r="B473" s="21">
        <f>0.01*Input!F$58*(E$40*B338+F$40*Input!F264)+10*(B$40*Input!B264+C$40*Input!C264+D$40*Input!D264+G$40*Input!G264)</f>
        <v>0</v>
      </c>
      <c r="C473" s="21">
        <f>0.01*Input!F$58*(E$86*B338+F$86*Input!F264)+10*(B$86*Input!B264+C$86*Input!C264+D$86*Input!D264+G$86*Input!G264)</f>
        <v>0</v>
      </c>
      <c r="D473" s="21">
        <f>0.01*Input!F$58*(E$132*B338+F$132*Input!F264)+10*(B$132*Input!B264+C$132*Input!C264+D$132*Input!D264+G$132*Input!G264)</f>
        <v>0</v>
      </c>
      <c r="E473" s="21">
        <f>0.01*Input!F$58*($E$172*B338+$F$172*Input!F264)+10*($B$172*Input!B264+$C$172*Input!C264+$D$172*Input!D264+$G$172*Input!G264)</f>
        <v>0</v>
      </c>
      <c r="F473" s="17"/>
    </row>
    <row r="474" spans="1:6" x14ac:dyDescent="0.25">
      <c r="A474" s="29" t="s">
        <v>284</v>
      </c>
      <c r="F474" s="17"/>
    </row>
    <row r="475" spans="1:6" x14ac:dyDescent="0.25">
      <c r="A475" s="4" t="s">
        <v>182</v>
      </c>
      <c r="B475" s="21">
        <f>0.01*Input!F$58*(E$41*B340+F$41*Input!F266)+10*(B$41*Input!B266+C$41*Input!C266+D$41*Input!D266+G$41*Input!G266)</f>
        <v>0</v>
      </c>
      <c r="C475" s="21">
        <f>0.01*Input!F$58*(E$87*B340+F$87*Input!F266)+10*(B$87*Input!B266+C$87*Input!C266+D$87*Input!D266+G$87*Input!G266)</f>
        <v>0</v>
      </c>
      <c r="D475" s="21">
        <f>0.01*Input!F$58*(E$133*B340+F$133*Input!F266)+10*(B$133*Input!B266+C$133*Input!C266+D$133*Input!D266+G$133*Input!G266)</f>
        <v>0</v>
      </c>
      <c r="E475" s="21">
        <f>0.01*Input!F$58*($E$173*B340+$F$173*Input!F266)+10*($B$173*Input!B266+$C$173*Input!C266+$D$173*Input!D266+$G$173*Input!G266)</f>
        <v>0</v>
      </c>
      <c r="F475" s="17"/>
    </row>
    <row r="476" spans="1:6" x14ac:dyDescent="0.25">
      <c r="A476" s="4" t="s">
        <v>285</v>
      </c>
      <c r="B476" s="21">
        <f>0.01*Input!F$58*(E$41*B341+F$41*Input!F267)+10*(B$41*Input!B267+C$41*Input!C267+D$41*Input!D267+G$41*Input!G267)</f>
        <v>0</v>
      </c>
      <c r="C476" s="21">
        <f>0.01*Input!F$58*(E$87*B341+F$87*Input!F267)+10*(B$87*Input!B267+C$87*Input!C267+D$87*Input!D267+G$87*Input!G267)</f>
        <v>0</v>
      </c>
      <c r="D476" s="21">
        <f>0.01*Input!F$58*(E$133*B341+F$133*Input!F267)+10*(B$133*Input!B267+C$133*Input!C267+D$133*Input!D267+G$133*Input!G267)</f>
        <v>0</v>
      </c>
      <c r="E476" s="21">
        <f>0.01*Input!F$58*($E$173*B341+$F$173*Input!F267)+10*($B$173*Input!B267+$C$173*Input!C267+$D$173*Input!D267+$G$173*Input!G267)</f>
        <v>0</v>
      </c>
      <c r="F476" s="17"/>
    </row>
    <row r="477" spans="1:6" x14ac:dyDescent="0.25">
      <c r="A477" s="29" t="s">
        <v>286</v>
      </c>
      <c r="F477" s="17"/>
    </row>
    <row r="478" spans="1:6" x14ac:dyDescent="0.25">
      <c r="A478" s="4" t="s">
        <v>183</v>
      </c>
      <c r="B478" s="21">
        <f>0.01*Input!F$58*(E$42*B343+F$42*Input!F269)+10*(B$42*Input!B269+C$42*Input!C269+D$42*Input!D269+G$42*Input!G269)</f>
        <v>-172981.95562348646</v>
      </c>
      <c r="C478" s="21">
        <f>0.01*Input!F$58*(E$88*B343+F$88*Input!F269)+10*(B$88*Input!B269+C$88*Input!C269+D$88*Input!D269+G$88*Input!G269)</f>
        <v>-18223.097046057588</v>
      </c>
      <c r="D478" s="21">
        <f>0.01*Input!F$58*(E$134*B343+F$134*Input!F269)+10*(B$134*Input!B269+C$134*Input!C269+D$134*Input!D269+G$134*Input!G269)</f>
        <v>-72074.449442027704</v>
      </c>
      <c r="E478" s="21">
        <f>0.01*Input!F$58*($E$174*B343+$F$174*Input!F269)+10*($B$174*Input!B269+$C$174*Input!C269+$D$174*Input!D269+$G$174*Input!G269)</f>
        <v>0</v>
      </c>
      <c r="F478" s="17"/>
    </row>
    <row r="479" spans="1:6" x14ac:dyDescent="0.25">
      <c r="A479" s="4" t="s">
        <v>287</v>
      </c>
      <c r="B479" s="21">
        <f>0.01*Input!F$58*(E$42*B344+F$42*Input!F270)+10*(B$42*Input!B270+C$42*Input!C270+D$42*Input!D270+G$42*Input!G270)</f>
        <v>0</v>
      </c>
      <c r="C479" s="21">
        <f>0.01*Input!F$58*(E$88*B344+F$88*Input!F270)+10*(B$88*Input!B270+C$88*Input!C270+D$88*Input!D270+G$88*Input!G270)</f>
        <v>0</v>
      </c>
      <c r="D479" s="21">
        <f>0.01*Input!F$58*(E$134*B344+F$134*Input!F270)+10*(B$134*Input!B270+C$134*Input!C270+D$134*Input!D270+G$134*Input!G270)</f>
        <v>0</v>
      </c>
      <c r="E479" s="21">
        <f>0.01*Input!F$58*($E$174*B344+$F$174*Input!F270)+10*($B$174*Input!B270+$C$174*Input!C270+$D$174*Input!D270+$G$174*Input!G270)</f>
        <v>0</v>
      </c>
      <c r="F479" s="17"/>
    </row>
    <row r="480" spans="1:6" x14ac:dyDescent="0.25">
      <c r="A480" s="4" t="s">
        <v>288</v>
      </c>
      <c r="B480" s="21">
        <f>0.01*Input!F$58*(E$42*B345+F$42*Input!F271)+10*(B$42*Input!B271+C$42*Input!C271+D$42*Input!D271+G$42*Input!G271)</f>
        <v>0</v>
      </c>
      <c r="C480" s="21">
        <f>0.01*Input!F$58*(E$88*B345+F$88*Input!F271)+10*(B$88*Input!B271+C$88*Input!C271+D$88*Input!D271+G$88*Input!G271)</f>
        <v>0</v>
      </c>
      <c r="D480" s="21">
        <f>0.01*Input!F$58*(E$134*B345+F$134*Input!F271)+10*(B$134*Input!B271+C$134*Input!C271+D$134*Input!D271+G$134*Input!G271)</f>
        <v>0</v>
      </c>
      <c r="E480" s="21">
        <f>0.01*Input!F$58*($E$174*B345+$F$174*Input!F271)+10*($B$174*Input!B271+$C$174*Input!C271+$D$174*Input!D271+$G$174*Input!G271)</f>
        <v>0</v>
      </c>
      <c r="F480" s="17"/>
    </row>
    <row r="481" spans="1:6" x14ac:dyDescent="0.25">
      <c r="A481" s="29" t="s">
        <v>289</v>
      </c>
      <c r="F481" s="17"/>
    </row>
    <row r="482" spans="1:6" x14ac:dyDescent="0.25">
      <c r="A482" s="4" t="s">
        <v>184</v>
      </c>
      <c r="B482" s="21">
        <f>0.01*Input!F$58*(E$43*B347+F$43*Input!F273)+10*(B$43*Input!B273+C$43*Input!C273+D$43*Input!D273+G$43*Input!G273)</f>
        <v>-13409.081431511866</v>
      </c>
      <c r="C482" s="21">
        <f>0.01*Input!F$58*(E$89*B347+F$89*Input!F273)+10*(B$89*Input!B273+C$89*Input!C273+D$89*Input!D273+G$89*Input!G273)</f>
        <v>-1338.1916615675968</v>
      </c>
      <c r="D482" s="21">
        <f>0.01*Input!F$58*(E$135*B347+F$135*Input!F273)+10*(B$135*Input!B273+C$135*Input!C273+D$135*Input!D273+G$135*Input!G273)</f>
        <v>-5593.9144003989813</v>
      </c>
      <c r="E482" s="21">
        <f>0.01*Input!F$58*($E$175*B347+$F$175*Input!F273)+10*($B$175*Input!B273+$C$175*Input!C273+$D$175*Input!D273+$G$175*Input!G273)</f>
        <v>0</v>
      </c>
      <c r="F482" s="17"/>
    </row>
    <row r="483" spans="1:6" x14ac:dyDescent="0.25">
      <c r="A483" s="4" t="s">
        <v>290</v>
      </c>
      <c r="B483" s="21">
        <f>0.01*Input!F$58*(E$43*B348+F$43*Input!F274)+10*(B$43*Input!B274+C$43*Input!C274+D$43*Input!D274+G$43*Input!G274)</f>
        <v>-306.8912264582209</v>
      </c>
      <c r="C483" s="21">
        <f>0.01*Input!F$58*(E$89*B348+F$89*Input!F274)+10*(B$89*Input!B274+C$89*Input!C274+D$89*Input!D274+G$89*Input!G274)</f>
        <v>-30.148685639557673</v>
      </c>
      <c r="D483" s="21">
        <f>0.01*Input!F$58*(E$135*B348+F$135*Input!F274)+10*(B$135*Input!B274+C$135*Input!C274+D$135*Input!D274+G$135*Input!G274)</f>
        <v>-128.03907233559008</v>
      </c>
      <c r="E483" s="21">
        <f>0.01*Input!F$58*($E$175*B348+$F$175*Input!F274)+10*($B$175*Input!B274+$C$175*Input!C274+$D$175*Input!D274+$G$175*Input!G274)</f>
        <v>0</v>
      </c>
      <c r="F483" s="17"/>
    </row>
    <row r="484" spans="1:6" x14ac:dyDescent="0.25">
      <c r="A484" s="4" t="s">
        <v>291</v>
      </c>
      <c r="B484" s="21">
        <f>0.01*Input!F$58*(E$43*B349+F$43*Input!F275)+10*(B$43*Input!B275+C$43*Input!C275+D$43*Input!D275+G$43*Input!G275)</f>
        <v>0</v>
      </c>
      <c r="C484" s="21">
        <f>0.01*Input!F$58*(E$89*B349+F$89*Input!F275)+10*(B$89*Input!B275+C$89*Input!C275+D$89*Input!D275+G$89*Input!G275)</f>
        <v>0</v>
      </c>
      <c r="D484" s="21">
        <f>0.01*Input!F$58*(E$135*B349+F$135*Input!F275)+10*(B$135*Input!B275+C$135*Input!C275+D$135*Input!D275+G$135*Input!G275)</f>
        <v>0</v>
      </c>
      <c r="E484" s="21">
        <f>0.01*Input!F$58*($E$175*B349+$F$175*Input!F275)+10*($B$175*Input!B275+$C$175*Input!C275+$D$175*Input!D275+$G$175*Input!G275)</f>
        <v>0</v>
      </c>
      <c r="F484" s="17"/>
    </row>
    <row r="485" spans="1:6" x14ac:dyDescent="0.25">
      <c r="A485" s="29" t="s">
        <v>292</v>
      </c>
      <c r="F485" s="17"/>
    </row>
    <row r="486" spans="1:6" x14ac:dyDescent="0.25">
      <c r="A486" s="4" t="s">
        <v>185</v>
      </c>
      <c r="B486" s="21">
        <f>0.01*Input!F$58*(E$44*B351+F$44*Input!F277)+10*(B$44*Input!B277+C$44*Input!C277+D$44*Input!D277+G$44*Input!G277)</f>
        <v>-6732.3577689920749</v>
      </c>
      <c r="C486" s="21">
        <f>0.01*Input!F$58*(E$90*B351+F$90*Input!F277)+10*(B$90*Input!B277+C$90*Input!C277+D$90*Input!D277+G$90*Input!G277)</f>
        <v>-843.84626045246989</v>
      </c>
      <c r="D486" s="21">
        <f>0.01*Input!F$58*(E$136*B351+F$136*Input!F277)+10*(B$136*Input!B277+C$136*Input!C277+D$136*Input!D277+G$136*Input!G277)</f>
        <v>-2671.3967876319675</v>
      </c>
      <c r="E486" s="21">
        <f>0.01*Input!F$58*($E$176*B351+$F$176*Input!F277)+10*($B$176*Input!B277+$C$176*Input!C277+$D$176*Input!D277+$G$176*Input!G277)</f>
        <v>0</v>
      </c>
      <c r="F486" s="17"/>
    </row>
    <row r="487" spans="1:6" x14ac:dyDescent="0.25">
      <c r="A487" s="4" t="s">
        <v>293</v>
      </c>
      <c r="B487" s="21">
        <f>0.01*Input!F$58*(E$44*B352+F$44*Input!F278)+10*(B$44*Input!B278+C$44*Input!C278+D$44*Input!D278+G$44*Input!G278)</f>
        <v>0</v>
      </c>
      <c r="C487" s="21">
        <f>0.01*Input!F$58*(E$90*B352+F$90*Input!F278)+10*(B$90*Input!B278+C$90*Input!C278+D$90*Input!D278+G$90*Input!G278)</f>
        <v>0</v>
      </c>
      <c r="D487" s="21">
        <f>0.01*Input!F$58*(E$136*B352+F$136*Input!F278)+10*(B$136*Input!B278+C$136*Input!C278+D$136*Input!D278+G$136*Input!G278)</f>
        <v>0</v>
      </c>
      <c r="E487" s="21">
        <f>0.01*Input!F$58*($E$176*B352+$F$176*Input!F278)+10*($B$176*Input!B278+$C$176*Input!C278+$D$176*Input!D278+$G$176*Input!G278)</f>
        <v>0</v>
      </c>
      <c r="F487" s="17"/>
    </row>
    <row r="488" spans="1:6" x14ac:dyDescent="0.25">
      <c r="A488" s="29" t="s">
        <v>294</v>
      </c>
      <c r="F488" s="17"/>
    </row>
    <row r="489" spans="1:6" x14ac:dyDescent="0.25">
      <c r="A489" s="4" t="s">
        <v>186</v>
      </c>
      <c r="B489" s="21">
        <f>0.01*Input!F$58*(E$45*B354+F$45*Input!F280)+10*(B$45*Input!B280+C$45*Input!C280+D$45*Input!D280+G$45*Input!G280)</f>
        <v>-1466.6364384958094</v>
      </c>
      <c r="C489" s="21">
        <f>0.01*Input!F$58*(E$91*B354+F$91*Input!F280)+10*(B$91*Input!B280+C$91*Input!C280+D$91*Input!D280+G$91*Input!G280)</f>
        <v>-210.70315225614644</v>
      </c>
      <c r="D489" s="21">
        <f>0.01*Input!F$58*(E$137*B354+F$137*Input!F280)+10*(B$137*Input!B280+C$137*Input!C280+D$137*Input!D280+G$137*Input!G280)</f>
        <v>-537.6775398697639</v>
      </c>
      <c r="E489" s="21">
        <f>0.01*Input!F$58*($E$177*B354+$F$177*Input!F280)+10*($B$177*Input!B280+$C$177*Input!C280+$D$177*Input!D280+$G$177*Input!G280)</f>
        <v>0</v>
      </c>
      <c r="F489" s="17"/>
    </row>
    <row r="490" spans="1:6" x14ac:dyDescent="0.25">
      <c r="A490" s="4" t="s">
        <v>295</v>
      </c>
      <c r="B490" s="21">
        <f>0.01*Input!F$58*(E$45*B355+F$45*Input!F281)+10*(B$45*Input!B281+C$45*Input!C281+D$45*Input!D281+G$45*Input!G281)</f>
        <v>0</v>
      </c>
      <c r="C490" s="21">
        <f>0.01*Input!F$58*(E$91*B355+F$91*Input!F281)+10*(B$91*Input!B281+C$91*Input!C281+D$91*Input!D281+G$91*Input!G281)</f>
        <v>0</v>
      </c>
      <c r="D490" s="21">
        <f>0.01*Input!F$58*(E$137*B355+F$137*Input!F281)+10*(B$137*Input!B281+C$137*Input!C281+D$137*Input!D281+G$137*Input!G281)</f>
        <v>0</v>
      </c>
      <c r="E490" s="21">
        <f>0.01*Input!F$58*($E$177*B355+$F$177*Input!F281)+10*($B$177*Input!B281+$C$177*Input!C281+$D$177*Input!D281+$G$177*Input!G281)</f>
        <v>0</v>
      </c>
      <c r="F490" s="17"/>
    </row>
    <row r="491" spans="1:6" x14ac:dyDescent="0.25">
      <c r="A491" s="29" t="s">
        <v>296</v>
      </c>
      <c r="F491" s="17"/>
    </row>
    <row r="492" spans="1:6" x14ac:dyDescent="0.25">
      <c r="A492" s="4" t="s">
        <v>194</v>
      </c>
      <c r="B492" s="21">
        <f>0.01*Input!F$58*(E$46*B357+F$46*Input!F283)+10*(B$46*Input!B283+C$46*Input!C283+D$46*Input!D283+G$46*Input!G283)</f>
        <v>-1157995.2136481856</v>
      </c>
      <c r="C492" s="21">
        <f>0.01*Input!F$58*(E$92*B357+F$92*Input!F283)+10*(B$92*Input!B283+C$92*Input!C283+D$92*Input!D283+G$92*Input!G283)</f>
        <v>-208327.63184817584</v>
      </c>
      <c r="D492" s="21">
        <f>0.01*Input!F$58*(E$138*B357+F$138*Input!F283)+10*(B$138*Input!B283+C$138*Input!C283+D$138*Input!D283+G$138*Input!G283)</f>
        <v>-475252.90843382641</v>
      </c>
      <c r="E492" s="21">
        <f>0.01*Input!F$58*($E$178*B357+$F$178*Input!F283)+10*($B$178*Input!B283+$C$178*Input!C283+$D$178*Input!D283+$G$178*Input!G283)</f>
        <v>0</v>
      </c>
      <c r="F492" s="17"/>
    </row>
    <row r="493" spans="1:6" x14ac:dyDescent="0.25">
      <c r="A493" s="4" t="s">
        <v>297</v>
      </c>
      <c r="B493" s="21">
        <f>0.01*Input!F$58*(E$46*B358+F$46*Input!F284)+10*(B$46*Input!B284+C$46*Input!C284+D$46*Input!D284+G$46*Input!G284)</f>
        <v>0</v>
      </c>
      <c r="C493" s="21">
        <f>0.01*Input!F$58*(E$92*B358+F$92*Input!F284)+10*(B$92*Input!B284+C$92*Input!C284+D$92*Input!D284+G$92*Input!G284)</f>
        <v>0</v>
      </c>
      <c r="D493" s="21">
        <f>0.01*Input!F$58*(E$138*B358+F$138*Input!F284)+10*(B$138*Input!B284+C$138*Input!C284+D$138*Input!D284+G$138*Input!G284)</f>
        <v>0</v>
      </c>
      <c r="E493" s="21">
        <f>0.01*Input!F$58*($E$178*B358+$F$178*Input!F284)+10*($B$178*Input!B284+$C$178*Input!C284+$D$178*Input!D284+$G$178*Input!G284)</f>
        <v>0</v>
      </c>
      <c r="F493" s="17"/>
    </row>
    <row r="494" spans="1:6" x14ac:dyDescent="0.25">
      <c r="A494" s="29" t="s">
        <v>298</v>
      </c>
      <c r="F494" s="17"/>
    </row>
    <row r="495" spans="1:6" x14ac:dyDescent="0.25">
      <c r="A495" s="4" t="s">
        <v>195</v>
      </c>
      <c r="B495" s="21">
        <f>0.01*Input!F$58*(E$47*B360+F$47*Input!F286)+10*(B$47*Input!B286+C$47*Input!C286+D$47*Input!D286+G$47*Input!G286)</f>
        <v>-1637305.711933441</v>
      </c>
      <c r="C495" s="21">
        <f>0.01*Input!F$58*(E$93*B360+F$93*Input!F286)+10*(B$93*Input!B286+C$93*Input!C286+D$93*Input!D286+G$93*Input!G286)</f>
        <v>-282975.80832548719</v>
      </c>
      <c r="D495" s="21">
        <f>0.01*Input!F$58*(E$139*B360+F$139*Input!F286)+10*(B$139*Input!B286+C$139*Input!C286+D$139*Input!D286+G$139*Input!G286)</f>
        <v>-674228.01955826604</v>
      </c>
      <c r="E495" s="21">
        <f>0.01*Input!F$58*($E$179*B360+$F$179*Input!F286)+10*($B$179*Input!B286+$C$179*Input!C286+$D$179*Input!D286+$G$179*Input!G286)</f>
        <v>0</v>
      </c>
      <c r="F495" s="17"/>
    </row>
    <row r="496" spans="1:6" x14ac:dyDescent="0.25">
      <c r="A496" s="4" t="s">
        <v>299</v>
      </c>
      <c r="B496" s="21">
        <f>0.01*Input!F$58*(E$47*B361+F$47*Input!F287)+10*(B$47*Input!B287+C$47*Input!C287+D$47*Input!D287+G$47*Input!G287)</f>
        <v>0</v>
      </c>
      <c r="C496" s="21">
        <f>0.01*Input!F$58*(E$93*B361+F$93*Input!F287)+10*(B$93*Input!B287+C$93*Input!C287+D$93*Input!D287+G$93*Input!G287)</f>
        <v>0</v>
      </c>
      <c r="D496" s="21">
        <f>0.01*Input!F$58*(E$139*B361+F$139*Input!F287)+10*(B$139*Input!B287+C$139*Input!C287+D$139*Input!D287+G$139*Input!G287)</f>
        <v>0</v>
      </c>
      <c r="E496" s="21">
        <f>0.01*Input!F$58*($E$179*B361+$F$179*Input!F287)+10*($B$179*Input!B287+$C$179*Input!C287+$D$179*Input!D287+$G$179*Input!G287)</f>
        <v>0</v>
      </c>
      <c r="F496" s="17"/>
    </row>
    <row r="498" spans="1:7" ht="21" customHeight="1" x14ac:dyDescent="0.3">
      <c r="A498" s="1" t="s">
        <v>1566</v>
      </c>
    </row>
    <row r="499" spans="1:7" x14ac:dyDescent="0.25">
      <c r="A499" s="2" t="s">
        <v>350</v>
      </c>
    </row>
    <row r="500" spans="1:7" x14ac:dyDescent="0.25">
      <c r="A500" s="32" t="s">
        <v>506</v>
      </c>
    </row>
    <row r="501" spans="1:7" x14ac:dyDescent="0.25">
      <c r="A501" s="2" t="s">
        <v>632</v>
      </c>
    </row>
    <row r="503" spans="1:7" ht="30" x14ac:dyDescent="0.25">
      <c r="B503" s="15" t="s">
        <v>201</v>
      </c>
      <c r="C503" s="15" t="s">
        <v>202</v>
      </c>
      <c r="D503" s="15" t="s">
        <v>203</v>
      </c>
      <c r="E503" s="15" t="s">
        <v>204</v>
      </c>
      <c r="F503" s="15" t="s">
        <v>205</v>
      </c>
    </row>
    <row r="504" spans="1:7" x14ac:dyDescent="0.25">
      <c r="A504" s="29" t="s">
        <v>171</v>
      </c>
      <c r="G504" s="17"/>
    </row>
    <row r="505" spans="1:7" x14ac:dyDescent="0.25">
      <c r="A505" s="4" t="s">
        <v>171</v>
      </c>
      <c r="B505" s="43">
        <f>Loads!B$78</f>
        <v>1</v>
      </c>
      <c r="C505" s="43">
        <f>Loads!C$78</f>
        <v>0</v>
      </c>
      <c r="D505" s="43">
        <f>Loads!D$78</f>
        <v>0</v>
      </c>
      <c r="E505" s="43">
        <f>Loads!E$78</f>
        <v>0</v>
      </c>
      <c r="F505" s="43">
        <f>Loads!F$78</f>
        <v>0</v>
      </c>
      <c r="G505" s="17"/>
    </row>
    <row r="506" spans="1:7" x14ac:dyDescent="0.25">
      <c r="A506" s="4" t="s">
        <v>231</v>
      </c>
      <c r="B506" s="43">
        <f>Loads!B$79</f>
        <v>0</v>
      </c>
      <c r="C506" s="43">
        <f>Loads!C$79</f>
        <v>1</v>
      </c>
      <c r="D506" s="43">
        <f>Loads!D$79</f>
        <v>0</v>
      </c>
      <c r="E506" s="43">
        <f>Loads!E$79</f>
        <v>0</v>
      </c>
      <c r="F506" s="43">
        <f>Loads!F$79</f>
        <v>0</v>
      </c>
      <c r="G506" s="17"/>
    </row>
    <row r="507" spans="1:7" x14ac:dyDescent="0.25">
      <c r="A507" s="4" t="s">
        <v>232</v>
      </c>
      <c r="B507" s="43">
        <f>Loads!B$80</f>
        <v>0</v>
      </c>
      <c r="C507" s="43">
        <f>Loads!C$80</f>
        <v>0</v>
      </c>
      <c r="D507" s="43">
        <f>Loads!D$80</f>
        <v>1</v>
      </c>
      <c r="E507" s="43">
        <f>Loads!E$80</f>
        <v>0</v>
      </c>
      <c r="F507" s="43">
        <f>Loads!F$80</f>
        <v>0</v>
      </c>
      <c r="G507" s="17"/>
    </row>
    <row r="508" spans="1:7" x14ac:dyDescent="0.25">
      <c r="A508" s="29" t="s">
        <v>1567</v>
      </c>
      <c r="G508" s="17"/>
    </row>
    <row r="509" spans="1:7" x14ac:dyDescent="0.25">
      <c r="A509" s="4" t="s">
        <v>172</v>
      </c>
      <c r="B509" s="43">
        <f>Loads!B$82</f>
        <v>1</v>
      </c>
      <c r="C509" s="43">
        <f>Loads!C$82</f>
        <v>0</v>
      </c>
      <c r="D509" s="43">
        <f>Loads!D$82</f>
        <v>0</v>
      </c>
      <c r="E509" s="43">
        <f>Loads!E$82</f>
        <v>0</v>
      </c>
      <c r="F509" s="43">
        <f>Loads!F$82</f>
        <v>0</v>
      </c>
      <c r="G509" s="17"/>
    </row>
    <row r="510" spans="1:7" x14ac:dyDescent="0.25">
      <c r="A510" s="4" t="s">
        <v>234</v>
      </c>
      <c r="B510" s="43">
        <f>Loads!B$83</f>
        <v>0</v>
      </c>
      <c r="C510" s="43">
        <f>Loads!C$83</f>
        <v>1</v>
      </c>
      <c r="D510" s="43">
        <f>Loads!D$83</f>
        <v>0</v>
      </c>
      <c r="E510" s="43">
        <f>Loads!E$83</f>
        <v>0</v>
      </c>
      <c r="F510" s="43">
        <f>Loads!F$83</f>
        <v>0</v>
      </c>
      <c r="G510" s="17"/>
    </row>
    <row r="511" spans="1:7" x14ac:dyDescent="0.25">
      <c r="A511" s="4" t="s">
        <v>235</v>
      </c>
      <c r="B511" s="43">
        <f>Loads!B$84</f>
        <v>0</v>
      </c>
      <c r="C511" s="43">
        <f>Loads!C$84</f>
        <v>0</v>
      </c>
      <c r="D511" s="43">
        <f>Loads!D$84</f>
        <v>1</v>
      </c>
      <c r="E511" s="43">
        <f>Loads!E$84</f>
        <v>0</v>
      </c>
      <c r="F511" s="43">
        <f>Loads!F$84</f>
        <v>0</v>
      </c>
      <c r="G511" s="17"/>
    </row>
    <row r="512" spans="1:7" x14ac:dyDescent="0.25">
      <c r="A512" s="4" t="s">
        <v>213</v>
      </c>
      <c r="B512" s="43">
        <f>Loads!B$86</f>
        <v>1</v>
      </c>
      <c r="C512" s="43">
        <f>Loads!C$86</f>
        <v>0</v>
      </c>
      <c r="D512" s="43">
        <f>Loads!D$86</f>
        <v>0</v>
      </c>
      <c r="E512" s="43">
        <f>Loads!E$86</f>
        <v>0</v>
      </c>
      <c r="F512" s="43">
        <f>Loads!F$86</f>
        <v>0</v>
      </c>
      <c r="G512" s="17"/>
    </row>
    <row r="513" spans="1:7" x14ac:dyDescent="0.25">
      <c r="A513" s="4" t="s">
        <v>237</v>
      </c>
      <c r="B513" s="43">
        <f>Loads!B$87</f>
        <v>0</v>
      </c>
      <c r="C513" s="43">
        <f>Loads!C$87</f>
        <v>1</v>
      </c>
      <c r="D513" s="43">
        <f>Loads!D$87</f>
        <v>0</v>
      </c>
      <c r="E513" s="43">
        <f>Loads!E$87</f>
        <v>0</v>
      </c>
      <c r="F513" s="43">
        <f>Loads!F$87</f>
        <v>0</v>
      </c>
      <c r="G513" s="17"/>
    </row>
    <row r="514" spans="1:7" x14ac:dyDescent="0.25">
      <c r="A514" s="4" t="s">
        <v>238</v>
      </c>
      <c r="B514" s="43">
        <f>Loads!B$88</f>
        <v>0</v>
      </c>
      <c r="C514" s="43">
        <f>Loads!C$88</f>
        <v>0</v>
      </c>
      <c r="D514" s="43">
        <f>Loads!D$88</f>
        <v>1</v>
      </c>
      <c r="E514" s="43">
        <f>Loads!E$88</f>
        <v>0</v>
      </c>
      <c r="F514" s="43">
        <f>Loads!F$88</f>
        <v>0</v>
      </c>
      <c r="G514" s="17"/>
    </row>
    <row r="515" spans="1:7" x14ac:dyDescent="0.25">
      <c r="A515" s="29" t="s">
        <v>173</v>
      </c>
      <c r="G515" s="17"/>
    </row>
    <row r="516" spans="1:7" x14ac:dyDescent="0.25">
      <c r="A516" s="4" t="s">
        <v>173</v>
      </c>
      <c r="B516" s="43">
        <f>Loads!B$90</f>
        <v>1</v>
      </c>
      <c r="C516" s="43">
        <f>Loads!C$90</f>
        <v>0</v>
      </c>
      <c r="D516" s="43">
        <f>Loads!D$90</f>
        <v>0</v>
      </c>
      <c r="E516" s="43">
        <f>Loads!E$90</f>
        <v>0</v>
      </c>
      <c r="F516" s="43">
        <f>Loads!F$90</f>
        <v>0</v>
      </c>
      <c r="G516" s="17"/>
    </row>
    <row r="517" spans="1:7" x14ac:dyDescent="0.25">
      <c r="A517" s="4" t="s">
        <v>240</v>
      </c>
      <c r="B517" s="43">
        <f>Loads!B$91</f>
        <v>0</v>
      </c>
      <c r="C517" s="43">
        <f>Loads!C$91</f>
        <v>1</v>
      </c>
      <c r="D517" s="43">
        <f>Loads!D$91</f>
        <v>0</v>
      </c>
      <c r="E517" s="43">
        <f>Loads!E$91</f>
        <v>0</v>
      </c>
      <c r="F517" s="43">
        <f>Loads!F$91</f>
        <v>0</v>
      </c>
      <c r="G517" s="17"/>
    </row>
    <row r="518" spans="1:7" x14ac:dyDescent="0.25">
      <c r="A518" s="4" t="s">
        <v>241</v>
      </c>
      <c r="B518" s="43">
        <f>Loads!B$92</f>
        <v>0</v>
      </c>
      <c r="C518" s="43">
        <f>Loads!C$92</f>
        <v>0</v>
      </c>
      <c r="D518" s="43">
        <f>Loads!D$92</f>
        <v>1</v>
      </c>
      <c r="E518" s="43">
        <f>Loads!E$92</f>
        <v>0</v>
      </c>
      <c r="F518" s="43">
        <f>Loads!F$92</f>
        <v>0</v>
      </c>
      <c r="G518" s="17"/>
    </row>
    <row r="519" spans="1:7" ht="30" x14ac:dyDescent="0.25">
      <c r="A519" s="29" t="s">
        <v>1568</v>
      </c>
      <c r="G519" s="17"/>
    </row>
    <row r="520" spans="1:7" x14ac:dyDescent="0.25">
      <c r="A520" s="4" t="s">
        <v>174</v>
      </c>
      <c r="B520" s="43">
        <f>Loads!B$94</f>
        <v>1</v>
      </c>
      <c r="C520" s="43">
        <f>Loads!C$94</f>
        <v>0</v>
      </c>
      <c r="D520" s="43">
        <f>Loads!D$94</f>
        <v>0</v>
      </c>
      <c r="E520" s="43">
        <f>Loads!E$94</f>
        <v>0</v>
      </c>
      <c r="F520" s="43">
        <f>Loads!F$94</f>
        <v>0</v>
      </c>
      <c r="G520" s="17"/>
    </row>
    <row r="521" spans="1:7" x14ac:dyDescent="0.25">
      <c r="A521" s="4" t="s">
        <v>243</v>
      </c>
      <c r="B521" s="43">
        <f>Loads!B$95</f>
        <v>0</v>
      </c>
      <c r="C521" s="43">
        <f>Loads!C$95</f>
        <v>1</v>
      </c>
      <c r="D521" s="43">
        <f>Loads!D$95</f>
        <v>0</v>
      </c>
      <c r="E521" s="43">
        <f>Loads!E$95</f>
        <v>0</v>
      </c>
      <c r="F521" s="43">
        <f>Loads!F$95</f>
        <v>0</v>
      </c>
      <c r="G521" s="17"/>
    </row>
    <row r="522" spans="1:7" x14ac:dyDescent="0.25">
      <c r="A522" s="4" t="s">
        <v>244</v>
      </c>
      <c r="B522" s="43">
        <f>Loads!B$96</f>
        <v>0</v>
      </c>
      <c r="C522" s="43">
        <f>Loads!C$96</f>
        <v>0</v>
      </c>
      <c r="D522" s="43">
        <f>Loads!D$96</f>
        <v>1</v>
      </c>
      <c r="E522" s="43">
        <f>Loads!E$96</f>
        <v>0</v>
      </c>
      <c r="F522" s="43">
        <f>Loads!F$96</f>
        <v>0</v>
      </c>
      <c r="G522" s="17"/>
    </row>
    <row r="523" spans="1:7" x14ac:dyDescent="0.25">
      <c r="A523" s="4" t="s">
        <v>214</v>
      </c>
      <c r="B523" s="43">
        <f>Loads!B$98</f>
        <v>1</v>
      </c>
      <c r="C523" s="43">
        <f>Loads!C$98</f>
        <v>0</v>
      </c>
      <c r="D523" s="43">
        <f>Loads!D$98</f>
        <v>0</v>
      </c>
      <c r="E523" s="43">
        <f>Loads!E$98</f>
        <v>0</v>
      </c>
      <c r="F523" s="43">
        <f>Loads!F$98</f>
        <v>0</v>
      </c>
      <c r="G523" s="17"/>
    </row>
    <row r="524" spans="1:7" ht="30" x14ac:dyDescent="0.25">
      <c r="A524" s="4" t="s">
        <v>246</v>
      </c>
      <c r="B524" s="43">
        <f>Loads!B$99</f>
        <v>0</v>
      </c>
      <c r="C524" s="43">
        <f>Loads!C$99</f>
        <v>1</v>
      </c>
      <c r="D524" s="43">
        <f>Loads!D$99</f>
        <v>0</v>
      </c>
      <c r="E524" s="43">
        <f>Loads!E$99</f>
        <v>0</v>
      </c>
      <c r="F524" s="43">
        <f>Loads!F$99</f>
        <v>0</v>
      </c>
      <c r="G524" s="17"/>
    </row>
    <row r="525" spans="1:7" ht="30" x14ac:dyDescent="0.25">
      <c r="A525" s="4" t="s">
        <v>247</v>
      </c>
      <c r="B525" s="43">
        <f>Loads!B$100</f>
        <v>0</v>
      </c>
      <c r="C525" s="43">
        <f>Loads!C$100</f>
        <v>0</v>
      </c>
      <c r="D525" s="43">
        <f>Loads!D$100</f>
        <v>1</v>
      </c>
      <c r="E525" s="43">
        <f>Loads!E$100</f>
        <v>0</v>
      </c>
      <c r="F525" s="43">
        <f>Loads!F$100</f>
        <v>0</v>
      </c>
      <c r="G525" s="17"/>
    </row>
    <row r="526" spans="1:7" x14ac:dyDescent="0.25">
      <c r="A526" s="29" t="s">
        <v>175</v>
      </c>
      <c r="G526" s="17"/>
    </row>
    <row r="527" spans="1:7" x14ac:dyDescent="0.25">
      <c r="A527" s="4" t="s">
        <v>175</v>
      </c>
      <c r="B527" s="43">
        <f>Loads!B$102</f>
        <v>1</v>
      </c>
      <c r="C527" s="43">
        <f>Loads!C$102</f>
        <v>0</v>
      </c>
      <c r="D527" s="43">
        <f>Loads!D$102</f>
        <v>0</v>
      </c>
      <c r="E527" s="43">
        <f>Loads!E$102</f>
        <v>0</v>
      </c>
      <c r="F527" s="43">
        <f>Loads!F$102</f>
        <v>0</v>
      </c>
      <c r="G527" s="17"/>
    </row>
    <row r="528" spans="1:7" x14ac:dyDescent="0.25">
      <c r="A528" s="4" t="s">
        <v>249</v>
      </c>
      <c r="B528" s="43">
        <f>Loads!B$103</f>
        <v>0</v>
      </c>
      <c r="C528" s="43">
        <f>Loads!C$103</f>
        <v>1</v>
      </c>
      <c r="D528" s="43">
        <f>Loads!D$103</f>
        <v>0</v>
      </c>
      <c r="E528" s="43">
        <f>Loads!E$103</f>
        <v>0</v>
      </c>
      <c r="F528" s="43">
        <f>Loads!F$103</f>
        <v>0</v>
      </c>
      <c r="G528" s="17"/>
    </row>
    <row r="529" spans="1:7" x14ac:dyDescent="0.25">
      <c r="A529" s="4" t="s">
        <v>250</v>
      </c>
      <c r="B529" s="43">
        <f>Loads!B$104</f>
        <v>0</v>
      </c>
      <c r="C529" s="43">
        <f>Loads!C$104</f>
        <v>0</v>
      </c>
      <c r="D529" s="43">
        <f>Loads!D$104</f>
        <v>1</v>
      </c>
      <c r="E529" s="43">
        <f>Loads!E$104</f>
        <v>0</v>
      </c>
      <c r="F529" s="43">
        <f>Loads!F$104</f>
        <v>0</v>
      </c>
      <c r="G529" s="17"/>
    </row>
    <row r="530" spans="1:7" x14ac:dyDescent="0.25">
      <c r="A530" s="29" t="s">
        <v>176</v>
      </c>
      <c r="G530" s="17"/>
    </row>
    <row r="531" spans="1:7" x14ac:dyDescent="0.25">
      <c r="A531" s="4" t="s">
        <v>176</v>
      </c>
      <c r="B531" s="43">
        <f>Loads!B$106</f>
        <v>1</v>
      </c>
      <c r="C531" s="43">
        <f>Loads!C$106</f>
        <v>0</v>
      </c>
      <c r="D531" s="43">
        <f>Loads!D$106</f>
        <v>0</v>
      </c>
      <c r="E531" s="43">
        <f>Loads!E$106</f>
        <v>0</v>
      </c>
      <c r="F531" s="43">
        <f>Loads!F$106</f>
        <v>0</v>
      </c>
      <c r="G531" s="17"/>
    </row>
    <row r="532" spans="1:7" x14ac:dyDescent="0.25">
      <c r="A532" s="29" t="s">
        <v>192</v>
      </c>
      <c r="G532" s="17"/>
    </row>
    <row r="533" spans="1:7" x14ac:dyDescent="0.25">
      <c r="A533" s="4" t="s">
        <v>192</v>
      </c>
      <c r="B533" s="43">
        <f>Loads!B$108</f>
        <v>1</v>
      </c>
      <c r="C533" s="43">
        <f>Loads!C$108</f>
        <v>0</v>
      </c>
      <c r="D533" s="43">
        <f>Loads!D$108</f>
        <v>0</v>
      </c>
      <c r="E533" s="43">
        <f>Loads!E$108</f>
        <v>0</v>
      </c>
      <c r="F533" s="43">
        <f>Loads!F$108</f>
        <v>0</v>
      </c>
      <c r="G533" s="17"/>
    </row>
    <row r="534" spans="1:7" x14ac:dyDescent="0.25">
      <c r="A534" s="29" t="s">
        <v>177</v>
      </c>
      <c r="G534" s="17"/>
    </row>
    <row r="535" spans="1:7" x14ac:dyDescent="0.25">
      <c r="A535" s="4" t="s">
        <v>177</v>
      </c>
      <c r="B535" s="43">
        <f>Loads!B$110</f>
        <v>1</v>
      </c>
      <c r="C535" s="43">
        <f>Loads!C$110</f>
        <v>0</v>
      </c>
      <c r="D535" s="43">
        <f>Loads!D$110</f>
        <v>0</v>
      </c>
      <c r="E535" s="43">
        <f>Loads!E$110</f>
        <v>0</v>
      </c>
      <c r="F535" s="43">
        <f>Loads!F$110</f>
        <v>0</v>
      </c>
      <c r="G535" s="17"/>
    </row>
    <row r="536" spans="1:7" x14ac:dyDescent="0.25">
      <c r="A536" s="4" t="s">
        <v>254</v>
      </c>
      <c r="B536" s="43">
        <f>Loads!B$111</f>
        <v>0</v>
      </c>
      <c r="C536" s="43">
        <f>Loads!C$111</f>
        <v>1</v>
      </c>
      <c r="D536" s="43">
        <f>Loads!D$111</f>
        <v>0</v>
      </c>
      <c r="E536" s="43">
        <f>Loads!E$111</f>
        <v>0</v>
      </c>
      <c r="F536" s="43">
        <f>Loads!F$111</f>
        <v>0</v>
      </c>
      <c r="G536" s="17"/>
    </row>
    <row r="537" spans="1:7" x14ac:dyDescent="0.25">
      <c r="A537" s="4" t="s">
        <v>255</v>
      </c>
      <c r="B537" s="43">
        <f>Loads!B$112</f>
        <v>0</v>
      </c>
      <c r="C537" s="43">
        <f>Loads!C$112</f>
        <v>0</v>
      </c>
      <c r="D537" s="43">
        <f>Loads!D$112</f>
        <v>1</v>
      </c>
      <c r="E537" s="43">
        <f>Loads!E$112</f>
        <v>0</v>
      </c>
      <c r="F537" s="43">
        <f>Loads!F$112</f>
        <v>0</v>
      </c>
      <c r="G537" s="17"/>
    </row>
    <row r="538" spans="1:7" x14ac:dyDescent="0.25">
      <c r="A538" s="29" t="s">
        <v>178</v>
      </c>
      <c r="G538" s="17"/>
    </row>
    <row r="539" spans="1:7" x14ac:dyDescent="0.25">
      <c r="A539" s="4" t="s">
        <v>178</v>
      </c>
      <c r="B539" s="43">
        <f>Loads!B$114</f>
        <v>1</v>
      </c>
      <c r="C539" s="43">
        <f>Loads!C$114</f>
        <v>0</v>
      </c>
      <c r="D539" s="43">
        <f>Loads!D$114</f>
        <v>0</v>
      </c>
      <c r="E539" s="43">
        <f>Loads!E$114</f>
        <v>0</v>
      </c>
      <c r="F539" s="43">
        <f>Loads!F$114</f>
        <v>0</v>
      </c>
      <c r="G539" s="17"/>
    </row>
    <row r="540" spans="1:7" x14ac:dyDescent="0.25">
      <c r="A540" s="4" t="s">
        <v>257</v>
      </c>
      <c r="B540" s="43">
        <f>Loads!B$115</f>
        <v>0</v>
      </c>
      <c r="C540" s="43">
        <f>Loads!C$115</f>
        <v>1</v>
      </c>
      <c r="D540" s="43">
        <f>Loads!D$115</f>
        <v>0</v>
      </c>
      <c r="E540" s="43">
        <f>Loads!E$115</f>
        <v>0</v>
      </c>
      <c r="F540" s="43">
        <f>Loads!F$115</f>
        <v>0</v>
      </c>
      <c r="G540" s="17"/>
    </row>
    <row r="541" spans="1:7" x14ac:dyDescent="0.25">
      <c r="A541" s="4" t="s">
        <v>258</v>
      </c>
      <c r="B541" s="43">
        <f>Loads!B$116</f>
        <v>0</v>
      </c>
      <c r="C541" s="43">
        <f>Loads!C$116</f>
        <v>0</v>
      </c>
      <c r="D541" s="43">
        <f>Loads!D$116</f>
        <v>1</v>
      </c>
      <c r="E541" s="43">
        <f>Loads!E$116</f>
        <v>0</v>
      </c>
      <c r="F541" s="43">
        <f>Loads!F$116</f>
        <v>0</v>
      </c>
      <c r="G541" s="17"/>
    </row>
    <row r="542" spans="1:7" x14ac:dyDescent="0.25">
      <c r="A542" s="29" t="s">
        <v>179</v>
      </c>
      <c r="G542" s="17"/>
    </row>
    <row r="543" spans="1:7" x14ac:dyDescent="0.25">
      <c r="A543" s="4" t="s">
        <v>179</v>
      </c>
      <c r="B543" s="43">
        <f>Loads!B$118</f>
        <v>1</v>
      </c>
      <c r="C543" s="43">
        <f>Loads!C$118</f>
        <v>0</v>
      </c>
      <c r="D543" s="43">
        <f>Loads!D$118</f>
        <v>0</v>
      </c>
      <c r="E543" s="43">
        <f>Loads!E$118</f>
        <v>0</v>
      </c>
      <c r="F543" s="43">
        <f>Loads!F$118</f>
        <v>0</v>
      </c>
      <c r="G543" s="17"/>
    </row>
    <row r="544" spans="1:7" x14ac:dyDescent="0.25">
      <c r="A544" s="4" t="s">
        <v>260</v>
      </c>
      <c r="B544" s="43">
        <f>Loads!B$119</f>
        <v>0</v>
      </c>
      <c r="C544" s="43">
        <f>Loads!C$119</f>
        <v>1</v>
      </c>
      <c r="D544" s="43">
        <f>Loads!D$119</f>
        <v>0</v>
      </c>
      <c r="E544" s="43">
        <f>Loads!E$119</f>
        <v>0</v>
      </c>
      <c r="F544" s="43">
        <f>Loads!F$119</f>
        <v>0</v>
      </c>
      <c r="G544" s="17"/>
    </row>
    <row r="545" spans="1:7" x14ac:dyDescent="0.25">
      <c r="A545" s="4" t="s">
        <v>261</v>
      </c>
      <c r="B545" s="43">
        <f>Loads!B$120</f>
        <v>0</v>
      </c>
      <c r="C545" s="43">
        <f>Loads!C$120</f>
        <v>0</v>
      </c>
      <c r="D545" s="43">
        <f>Loads!D$120</f>
        <v>1</v>
      </c>
      <c r="E545" s="43">
        <f>Loads!E$120</f>
        <v>0</v>
      </c>
      <c r="F545" s="43">
        <f>Loads!F$120</f>
        <v>0</v>
      </c>
      <c r="G545" s="17"/>
    </row>
    <row r="546" spans="1:7" x14ac:dyDescent="0.25">
      <c r="A546" s="29" t="s">
        <v>180</v>
      </c>
      <c r="G546" s="17"/>
    </row>
    <row r="547" spans="1:7" x14ac:dyDescent="0.25">
      <c r="A547" s="4" t="s">
        <v>180</v>
      </c>
      <c r="B547" s="43">
        <f>Loads!B$122</f>
        <v>1</v>
      </c>
      <c r="C547" s="43">
        <f>Loads!C$122</f>
        <v>0</v>
      </c>
      <c r="D547" s="43">
        <f>Loads!D$122</f>
        <v>0</v>
      </c>
      <c r="E547" s="43">
        <f>Loads!E$122</f>
        <v>0</v>
      </c>
      <c r="F547" s="43">
        <f>Loads!F$122</f>
        <v>0</v>
      </c>
      <c r="G547" s="17"/>
    </row>
    <row r="548" spans="1:7" x14ac:dyDescent="0.25">
      <c r="A548" s="4" t="s">
        <v>263</v>
      </c>
      <c r="B548" s="43">
        <f>Loads!B$123</f>
        <v>0</v>
      </c>
      <c r="C548" s="43">
        <f>Loads!C$123</f>
        <v>0</v>
      </c>
      <c r="D548" s="43">
        <f>Loads!D$123</f>
        <v>0</v>
      </c>
      <c r="E548" s="43">
        <f>Loads!E$123</f>
        <v>1</v>
      </c>
      <c r="F548" s="43">
        <f>Loads!F$123</f>
        <v>0</v>
      </c>
      <c r="G548" s="17"/>
    </row>
    <row r="549" spans="1:7" x14ac:dyDescent="0.25">
      <c r="A549" s="29" t="s">
        <v>193</v>
      </c>
      <c r="G549" s="17"/>
    </row>
    <row r="550" spans="1:7" x14ac:dyDescent="0.25">
      <c r="A550" s="4" t="s">
        <v>193</v>
      </c>
      <c r="B550" s="43">
        <f>Loads!B$125</f>
        <v>1</v>
      </c>
      <c r="C550" s="43">
        <f>Loads!C$125</f>
        <v>0</v>
      </c>
      <c r="D550" s="43">
        <f>Loads!D$125</f>
        <v>0</v>
      </c>
      <c r="E550" s="43">
        <f>Loads!E$125</f>
        <v>0</v>
      </c>
      <c r="F550" s="43">
        <f>Loads!F$125</f>
        <v>0</v>
      </c>
      <c r="G550" s="17"/>
    </row>
    <row r="551" spans="1:7" x14ac:dyDescent="0.25">
      <c r="A551" s="4" t="s">
        <v>265</v>
      </c>
      <c r="B551" s="43">
        <f>Loads!B$126</f>
        <v>0</v>
      </c>
      <c r="C551" s="43">
        <f>Loads!C$126</f>
        <v>0</v>
      </c>
      <c r="D551" s="43">
        <f>Loads!D$126</f>
        <v>0</v>
      </c>
      <c r="E551" s="43">
        <f>Loads!E$126</f>
        <v>0</v>
      </c>
      <c r="F551" s="43">
        <f>Loads!F$126</f>
        <v>1</v>
      </c>
      <c r="G551" s="17"/>
    </row>
    <row r="552" spans="1:7" x14ac:dyDescent="0.25">
      <c r="A552" s="29" t="s">
        <v>215</v>
      </c>
      <c r="G552" s="17"/>
    </row>
    <row r="553" spans="1:7" x14ac:dyDescent="0.25">
      <c r="A553" s="4" t="s">
        <v>215</v>
      </c>
      <c r="B553" s="43">
        <f>Loads!B$128</f>
        <v>1</v>
      </c>
      <c r="C553" s="43">
        <f>Loads!C$128</f>
        <v>0</v>
      </c>
      <c r="D553" s="43">
        <f>Loads!D$128</f>
        <v>0</v>
      </c>
      <c r="E553" s="43">
        <f>Loads!E$128</f>
        <v>0</v>
      </c>
      <c r="F553" s="43">
        <f>Loads!F$128</f>
        <v>0</v>
      </c>
      <c r="G553" s="17"/>
    </row>
    <row r="554" spans="1:7" x14ac:dyDescent="0.25">
      <c r="A554" s="4" t="s">
        <v>267</v>
      </c>
      <c r="B554" s="43">
        <f>Loads!B$129</f>
        <v>0</v>
      </c>
      <c r="C554" s="43">
        <f>Loads!C$129</f>
        <v>1</v>
      </c>
      <c r="D554" s="43">
        <f>Loads!D$129</f>
        <v>0</v>
      </c>
      <c r="E554" s="43">
        <f>Loads!E$129</f>
        <v>0</v>
      </c>
      <c r="F554" s="43">
        <f>Loads!F$129</f>
        <v>0</v>
      </c>
      <c r="G554" s="17"/>
    </row>
    <row r="555" spans="1:7" x14ac:dyDescent="0.25">
      <c r="A555" s="4" t="s">
        <v>268</v>
      </c>
      <c r="B555" s="43">
        <f>Loads!B$130</f>
        <v>0</v>
      </c>
      <c r="C555" s="43">
        <f>Loads!C$130</f>
        <v>0</v>
      </c>
      <c r="D555" s="43">
        <f>Loads!D$130</f>
        <v>1</v>
      </c>
      <c r="E555" s="43">
        <f>Loads!E$130</f>
        <v>0</v>
      </c>
      <c r="F555" s="43">
        <f>Loads!F$130</f>
        <v>0</v>
      </c>
      <c r="G555" s="17"/>
    </row>
    <row r="556" spans="1:7" x14ac:dyDescent="0.25">
      <c r="A556" s="29" t="s">
        <v>216</v>
      </c>
      <c r="G556" s="17"/>
    </row>
    <row r="557" spans="1:7" x14ac:dyDescent="0.25">
      <c r="A557" s="4" t="s">
        <v>216</v>
      </c>
      <c r="B557" s="43">
        <f>Loads!B$132</f>
        <v>1</v>
      </c>
      <c r="C557" s="43">
        <f>Loads!C$132</f>
        <v>0</v>
      </c>
      <c r="D557" s="43">
        <f>Loads!D$132</f>
        <v>0</v>
      </c>
      <c r="E557" s="43">
        <f>Loads!E$132</f>
        <v>0</v>
      </c>
      <c r="F557" s="43">
        <f>Loads!F$132</f>
        <v>0</v>
      </c>
      <c r="G557" s="17"/>
    </row>
    <row r="558" spans="1:7" x14ac:dyDescent="0.25">
      <c r="A558" s="4" t="s">
        <v>270</v>
      </c>
      <c r="B558" s="43">
        <f>Loads!B$133</f>
        <v>0</v>
      </c>
      <c r="C558" s="43">
        <f>Loads!C$133</f>
        <v>1</v>
      </c>
      <c r="D558" s="43">
        <f>Loads!D$133</f>
        <v>0</v>
      </c>
      <c r="E558" s="43">
        <f>Loads!E$133</f>
        <v>0</v>
      </c>
      <c r="F558" s="43">
        <f>Loads!F$133</f>
        <v>0</v>
      </c>
      <c r="G558" s="17"/>
    </row>
    <row r="559" spans="1:7" x14ac:dyDescent="0.25">
      <c r="A559" s="4" t="s">
        <v>271</v>
      </c>
      <c r="B559" s="43">
        <f>Loads!B$134</f>
        <v>0</v>
      </c>
      <c r="C559" s="43">
        <f>Loads!C$134</f>
        <v>0</v>
      </c>
      <c r="D559" s="43">
        <f>Loads!D$134</f>
        <v>1</v>
      </c>
      <c r="E559" s="43">
        <f>Loads!E$134</f>
        <v>0</v>
      </c>
      <c r="F559" s="43">
        <f>Loads!F$134</f>
        <v>0</v>
      </c>
      <c r="G559" s="17"/>
    </row>
    <row r="560" spans="1:7" x14ac:dyDescent="0.25">
      <c r="A560" s="29" t="s">
        <v>217</v>
      </c>
      <c r="G560" s="17"/>
    </row>
    <row r="561" spans="1:7" x14ac:dyDescent="0.25">
      <c r="A561" s="4" t="s">
        <v>217</v>
      </c>
      <c r="B561" s="43">
        <f>Loads!B$136</f>
        <v>1</v>
      </c>
      <c r="C561" s="43">
        <f>Loads!C$136</f>
        <v>0</v>
      </c>
      <c r="D561" s="43">
        <f>Loads!D$136</f>
        <v>0</v>
      </c>
      <c r="E561" s="43">
        <f>Loads!E$136</f>
        <v>0</v>
      </c>
      <c r="F561" s="43">
        <f>Loads!F$136</f>
        <v>0</v>
      </c>
      <c r="G561" s="17"/>
    </row>
    <row r="562" spans="1:7" x14ac:dyDescent="0.25">
      <c r="A562" s="4" t="s">
        <v>273</v>
      </c>
      <c r="B562" s="43">
        <f>Loads!B$137</f>
        <v>0</v>
      </c>
      <c r="C562" s="43">
        <f>Loads!C$137</f>
        <v>1</v>
      </c>
      <c r="D562" s="43">
        <f>Loads!D$137</f>
        <v>0</v>
      </c>
      <c r="E562" s="43">
        <f>Loads!E$137</f>
        <v>0</v>
      </c>
      <c r="F562" s="43">
        <f>Loads!F$137</f>
        <v>0</v>
      </c>
      <c r="G562" s="17"/>
    </row>
    <row r="563" spans="1:7" x14ac:dyDescent="0.25">
      <c r="A563" s="4" t="s">
        <v>274</v>
      </c>
      <c r="B563" s="43">
        <f>Loads!B$138</f>
        <v>0</v>
      </c>
      <c r="C563" s="43">
        <f>Loads!C$138</f>
        <v>0</v>
      </c>
      <c r="D563" s="43">
        <f>Loads!D$138</f>
        <v>1</v>
      </c>
      <c r="E563" s="43">
        <f>Loads!E$138</f>
        <v>0</v>
      </c>
      <c r="F563" s="43">
        <f>Loads!F$138</f>
        <v>0</v>
      </c>
      <c r="G563" s="17"/>
    </row>
    <row r="564" spans="1:7" x14ac:dyDescent="0.25">
      <c r="A564" s="29" t="s">
        <v>218</v>
      </c>
      <c r="G564" s="17"/>
    </row>
    <row r="565" spans="1:7" x14ac:dyDescent="0.25">
      <c r="A565" s="4" t="s">
        <v>218</v>
      </c>
      <c r="B565" s="43">
        <f>Loads!B$140</f>
        <v>1</v>
      </c>
      <c r="C565" s="43">
        <f>Loads!C$140</f>
        <v>0</v>
      </c>
      <c r="D565" s="43">
        <f>Loads!D$140</f>
        <v>0</v>
      </c>
      <c r="E565" s="43">
        <f>Loads!E$140</f>
        <v>0</v>
      </c>
      <c r="F565" s="43">
        <f>Loads!F$140</f>
        <v>0</v>
      </c>
      <c r="G565" s="17"/>
    </row>
    <row r="566" spans="1:7" x14ac:dyDescent="0.25">
      <c r="A566" s="4" t="s">
        <v>276</v>
      </c>
      <c r="B566" s="43">
        <f>Loads!B$141</f>
        <v>0</v>
      </c>
      <c r="C566" s="43">
        <f>Loads!C$141</f>
        <v>1</v>
      </c>
      <c r="D566" s="43">
        <f>Loads!D$141</f>
        <v>0</v>
      </c>
      <c r="E566" s="43">
        <f>Loads!E$141</f>
        <v>0</v>
      </c>
      <c r="F566" s="43">
        <f>Loads!F$141</f>
        <v>0</v>
      </c>
      <c r="G566" s="17"/>
    </row>
    <row r="567" spans="1:7" x14ac:dyDescent="0.25">
      <c r="A567" s="4" t="s">
        <v>277</v>
      </c>
      <c r="B567" s="43">
        <f>Loads!B$142</f>
        <v>0</v>
      </c>
      <c r="C567" s="43">
        <f>Loads!C$142</f>
        <v>0</v>
      </c>
      <c r="D567" s="43">
        <f>Loads!D$142</f>
        <v>1</v>
      </c>
      <c r="E567" s="43">
        <f>Loads!E$142</f>
        <v>0</v>
      </c>
      <c r="F567" s="43">
        <f>Loads!F$142</f>
        <v>0</v>
      </c>
      <c r="G567" s="17"/>
    </row>
    <row r="568" spans="1:7" x14ac:dyDescent="0.25">
      <c r="A568" s="29" t="s">
        <v>219</v>
      </c>
      <c r="G568" s="17"/>
    </row>
    <row r="569" spans="1:7" x14ac:dyDescent="0.25">
      <c r="A569" s="4" t="s">
        <v>219</v>
      </c>
      <c r="B569" s="43">
        <f>Loads!B$144</f>
        <v>1</v>
      </c>
      <c r="C569" s="43">
        <f>Loads!C$144</f>
        <v>0</v>
      </c>
      <c r="D569" s="43">
        <f>Loads!D$144</f>
        <v>0</v>
      </c>
      <c r="E569" s="43">
        <f>Loads!E$144</f>
        <v>0</v>
      </c>
      <c r="F569" s="43">
        <f>Loads!F$144</f>
        <v>0</v>
      </c>
      <c r="G569" s="17"/>
    </row>
    <row r="570" spans="1:7" x14ac:dyDescent="0.25">
      <c r="A570" s="4" t="s">
        <v>279</v>
      </c>
      <c r="B570" s="43">
        <f>Loads!B$145</f>
        <v>0</v>
      </c>
      <c r="C570" s="43">
        <f>Loads!C$145</f>
        <v>1</v>
      </c>
      <c r="D570" s="43">
        <f>Loads!D$145</f>
        <v>0</v>
      </c>
      <c r="E570" s="43">
        <f>Loads!E$145</f>
        <v>0</v>
      </c>
      <c r="F570" s="43">
        <f>Loads!F$145</f>
        <v>0</v>
      </c>
      <c r="G570" s="17"/>
    </row>
    <row r="571" spans="1:7" x14ac:dyDescent="0.25">
      <c r="A571" s="4" t="s">
        <v>280</v>
      </c>
      <c r="B571" s="43">
        <f>Loads!B$146</f>
        <v>0</v>
      </c>
      <c r="C571" s="43">
        <f>Loads!C$146</f>
        <v>0</v>
      </c>
      <c r="D571" s="43">
        <f>Loads!D$146</f>
        <v>1</v>
      </c>
      <c r="E571" s="43">
        <f>Loads!E$146</f>
        <v>0</v>
      </c>
      <c r="F571" s="43">
        <f>Loads!F$146</f>
        <v>0</v>
      </c>
      <c r="G571" s="17"/>
    </row>
    <row r="572" spans="1:7" x14ac:dyDescent="0.25">
      <c r="A572" s="29" t="s">
        <v>181</v>
      </c>
      <c r="G572" s="17"/>
    </row>
    <row r="573" spans="1:7" x14ac:dyDescent="0.25">
      <c r="A573" s="4" t="s">
        <v>181</v>
      </c>
      <c r="B573" s="43">
        <f>Loads!B$148</f>
        <v>1</v>
      </c>
      <c r="C573" s="43">
        <f>Loads!C$148</f>
        <v>0</v>
      </c>
      <c r="D573" s="43">
        <f>Loads!D$148</f>
        <v>0</v>
      </c>
      <c r="E573" s="43">
        <f>Loads!E$148</f>
        <v>0</v>
      </c>
      <c r="F573" s="43">
        <f>Loads!F$148</f>
        <v>0</v>
      </c>
      <c r="G573" s="17"/>
    </row>
    <row r="574" spans="1:7" x14ac:dyDescent="0.25">
      <c r="A574" s="4" t="s">
        <v>282</v>
      </c>
      <c r="B574" s="43">
        <f>Loads!B$149</f>
        <v>1</v>
      </c>
      <c r="C574" s="43">
        <f>Loads!C$149</f>
        <v>0</v>
      </c>
      <c r="D574" s="43">
        <f>Loads!D$149</f>
        <v>0</v>
      </c>
      <c r="E574" s="43">
        <f>Loads!E$149</f>
        <v>0</v>
      </c>
      <c r="F574" s="43">
        <f>Loads!F$149</f>
        <v>0</v>
      </c>
      <c r="G574" s="17"/>
    </row>
    <row r="575" spans="1:7" x14ac:dyDescent="0.25">
      <c r="A575" s="4" t="s">
        <v>283</v>
      </c>
      <c r="B575" s="43">
        <f>Loads!B$150</f>
        <v>1</v>
      </c>
      <c r="C575" s="43">
        <f>Loads!C$150</f>
        <v>0</v>
      </c>
      <c r="D575" s="43">
        <f>Loads!D$150</f>
        <v>0</v>
      </c>
      <c r="E575" s="43">
        <f>Loads!E$150</f>
        <v>0</v>
      </c>
      <c r="F575" s="43">
        <f>Loads!F$150</f>
        <v>0</v>
      </c>
      <c r="G575" s="17"/>
    </row>
    <row r="576" spans="1:7" x14ac:dyDescent="0.25">
      <c r="A576" s="29" t="s">
        <v>182</v>
      </c>
      <c r="G576" s="17"/>
    </row>
    <row r="577" spans="1:7" x14ac:dyDescent="0.25">
      <c r="A577" s="4" t="s">
        <v>182</v>
      </c>
      <c r="B577" s="43">
        <f>Loads!B$152</f>
        <v>1</v>
      </c>
      <c r="C577" s="43">
        <f>Loads!C$152</f>
        <v>0</v>
      </c>
      <c r="D577" s="43">
        <f>Loads!D$152</f>
        <v>0</v>
      </c>
      <c r="E577" s="43">
        <f>Loads!E$152</f>
        <v>0</v>
      </c>
      <c r="F577" s="43">
        <f>Loads!F$152</f>
        <v>0</v>
      </c>
      <c r="G577" s="17"/>
    </row>
    <row r="578" spans="1:7" x14ac:dyDescent="0.25">
      <c r="A578" s="4" t="s">
        <v>285</v>
      </c>
      <c r="B578" s="43">
        <f>Loads!B$153</f>
        <v>1</v>
      </c>
      <c r="C578" s="43">
        <f>Loads!C$153</f>
        <v>0</v>
      </c>
      <c r="D578" s="43">
        <f>Loads!D$153</f>
        <v>0</v>
      </c>
      <c r="E578" s="43">
        <f>Loads!E$153</f>
        <v>0</v>
      </c>
      <c r="F578" s="43">
        <f>Loads!F$153</f>
        <v>0</v>
      </c>
      <c r="G578" s="17"/>
    </row>
    <row r="579" spans="1:7" x14ac:dyDescent="0.25">
      <c r="A579" s="29" t="s">
        <v>183</v>
      </c>
      <c r="G579" s="17"/>
    </row>
    <row r="580" spans="1:7" x14ac:dyDescent="0.25">
      <c r="A580" s="4" t="s">
        <v>183</v>
      </c>
      <c r="B580" s="43">
        <f>Loads!B$155</f>
        <v>1</v>
      </c>
      <c r="C580" s="43">
        <f>Loads!C$155</f>
        <v>0</v>
      </c>
      <c r="D580" s="43">
        <f>Loads!D$155</f>
        <v>0</v>
      </c>
      <c r="E580" s="43">
        <f>Loads!E$155</f>
        <v>0</v>
      </c>
      <c r="F580" s="43">
        <f>Loads!F$155</f>
        <v>0</v>
      </c>
      <c r="G580" s="17"/>
    </row>
    <row r="581" spans="1:7" x14ac:dyDescent="0.25">
      <c r="A581" s="4" t="s">
        <v>287</v>
      </c>
      <c r="B581" s="43">
        <f>Loads!B$156</f>
        <v>1</v>
      </c>
      <c r="C581" s="43">
        <f>Loads!C$156</f>
        <v>0</v>
      </c>
      <c r="D581" s="43">
        <f>Loads!D$156</f>
        <v>0</v>
      </c>
      <c r="E581" s="43">
        <f>Loads!E$156</f>
        <v>0</v>
      </c>
      <c r="F581" s="43">
        <f>Loads!F$156</f>
        <v>0</v>
      </c>
      <c r="G581" s="17"/>
    </row>
    <row r="582" spans="1:7" x14ac:dyDescent="0.25">
      <c r="A582" s="4" t="s">
        <v>288</v>
      </c>
      <c r="B582" s="43">
        <f>Loads!B$157</f>
        <v>1</v>
      </c>
      <c r="C582" s="43">
        <f>Loads!C$157</f>
        <v>0</v>
      </c>
      <c r="D582" s="43">
        <f>Loads!D$157</f>
        <v>0</v>
      </c>
      <c r="E582" s="43">
        <f>Loads!E$157</f>
        <v>0</v>
      </c>
      <c r="F582" s="43">
        <f>Loads!F$157</f>
        <v>0</v>
      </c>
      <c r="G582" s="17"/>
    </row>
    <row r="583" spans="1:7" x14ac:dyDescent="0.25">
      <c r="A583" s="29" t="s">
        <v>184</v>
      </c>
      <c r="G583" s="17"/>
    </row>
    <row r="584" spans="1:7" x14ac:dyDescent="0.25">
      <c r="A584" s="4" t="s">
        <v>184</v>
      </c>
      <c r="B584" s="43">
        <f>Loads!B$159</f>
        <v>1</v>
      </c>
      <c r="C584" s="43">
        <f>Loads!C$159</f>
        <v>0</v>
      </c>
      <c r="D584" s="43">
        <f>Loads!D$159</f>
        <v>0</v>
      </c>
      <c r="E584" s="43">
        <f>Loads!E$159</f>
        <v>0</v>
      </c>
      <c r="F584" s="43">
        <f>Loads!F$159</f>
        <v>0</v>
      </c>
      <c r="G584" s="17"/>
    </row>
    <row r="585" spans="1:7" x14ac:dyDescent="0.25">
      <c r="A585" s="4" t="s">
        <v>290</v>
      </c>
      <c r="B585" s="43">
        <f>Loads!B$160</f>
        <v>1</v>
      </c>
      <c r="C585" s="43">
        <f>Loads!C$160</f>
        <v>0</v>
      </c>
      <c r="D585" s="43">
        <f>Loads!D$160</f>
        <v>0</v>
      </c>
      <c r="E585" s="43">
        <f>Loads!E$160</f>
        <v>0</v>
      </c>
      <c r="F585" s="43">
        <f>Loads!F$160</f>
        <v>0</v>
      </c>
      <c r="G585" s="17"/>
    </row>
    <row r="586" spans="1:7" x14ac:dyDescent="0.25">
      <c r="A586" s="4" t="s">
        <v>291</v>
      </c>
      <c r="B586" s="43">
        <f>Loads!B$161</f>
        <v>1</v>
      </c>
      <c r="C586" s="43">
        <f>Loads!C$161</f>
        <v>0</v>
      </c>
      <c r="D586" s="43">
        <f>Loads!D$161</f>
        <v>0</v>
      </c>
      <c r="E586" s="43">
        <f>Loads!E$161</f>
        <v>0</v>
      </c>
      <c r="F586" s="43">
        <f>Loads!F$161</f>
        <v>0</v>
      </c>
      <c r="G586" s="17"/>
    </row>
    <row r="587" spans="1:7" x14ac:dyDescent="0.25">
      <c r="A587" s="29" t="s">
        <v>185</v>
      </c>
      <c r="G587" s="17"/>
    </row>
    <row r="588" spans="1:7" x14ac:dyDescent="0.25">
      <c r="A588" s="4" t="s">
        <v>185</v>
      </c>
      <c r="B588" s="43">
        <f>Loads!B$163</f>
        <v>1</v>
      </c>
      <c r="C588" s="43">
        <f>Loads!C$163</f>
        <v>0</v>
      </c>
      <c r="D588" s="43">
        <f>Loads!D$163</f>
        <v>0</v>
      </c>
      <c r="E588" s="43">
        <f>Loads!E$163</f>
        <v>0</v>
      </c>
      <c r="F588" s="43">
        <f>Loads!F$163</f>
        <v>0</v>
      </c>
      <c r="G588" s="17"/>
    </row>
    <row r="589" spans="1:7" x14ac:dyDescent="0.25">
      <c r="A589" s="4" t="s">
        <v>293</v>
      </c>
      <c r="B589" s="43">
        <f>Loads!B$164</f>
        <v>1</v>
      </c>
      <c r="C589" s="43">
        <f>Loads!C$164</f>
        <v>0</v>
      </c>
      <c r="D589" s="43">
        <f>Loads!D$164</f>
        <v>0</v>
      </c>
      <c r="E589" s="43">
        <f>Loads!E$164</f>
        <v>0</v>
      </c>
      <c r="F589" s="43">
        <f>Loads!F$164</f>
        <v>0</v>
      </c>
      <c r="G589" s="17"/>
    </row>
    <row r="590" spans="1:7" x14ac:dyDescent="0.25">
      <c r="A590" s="29" t="s">
        <v>186</v>
      </c>
      <c r="G590" s="17"/>
    </row>
    <row r="591" spans="1:7" x14ac:dyDescent="0.25">
      <c r="A591" s="4" t="s">
        <v>186</v>
      </c>
      <c r="B591" s="43">
        <f>Loads!B$166</f>
        <v>1</v>
      </c>
      <c r="C591" s="43">
        <f>Loads!C$166</f>
        <v>0</v>
      </c>
      <c r="D591" s="43">
        <f>Loads!D$166</f>
        <v>0</v>
      </c>
      <c r="E591" s="43">
        <f>Loads!E$166</f>
        <v>0</v>
      </c>
      <c r="F591" s="43">
        <f>Loads!F$166</f>
        <v>0</v>
      </c>
      <c r="G591" s="17"/>
    </row>
    <row r="592" spans="1:7" x14ac:dyDescent="0.25">
      <c r="A592" s="4" t="s">
        <v>295</v>
      </c>
      <c r="B592" s="43">
        <f>Loads!B$167</f>
        <v>1</v>
      </c>
      <c r="C592" s="43">
        <f>Loads!C$167</f>
        <v>0</v>
      </c>
      <c r="D592" s="43">
        <f>Loads!D$167</f>
        <v>0</v>
      </c>
      <c r="E592" s="43">
        <f>Loads!E$167</f>
        <v>0</v>
      </c>
      <c r="F592" s="43">
        <f>Loads!F$167</f>
        <v>0</v>
      </c>
      <c r="G592" s="17"/>
    </row>
    <row r="593" spans="1:7" x14ac:dyDescent="0.25">
      <c r="A593" s="29" t="s">
        <v>194</v>
      </c>
      <c r="G593" s="17"/>
    </row>
    <row r="594" spans="1:7" x14ac:dyDescent="0.25">
      <c r="A594" s="4" t="s">
        <v>194</v>
      </c>
      <c r="B594" s="43">
        <f>Loads!B$169</f>
        <v>1</v>
      </c>
      <c r="C594" s="43">
        <f>Loads!C$169</f>
        <v>0</v>
      </c>
      <c r="D594" s="43">
        <f>Loads!D$169</f>
        <v>0</v>
      </c>
      <c r="E594" s="43">
        <f>Loads!E$169</f>
        <v>0</v>
      </c>
      <c r="F594" s="43">
        <f>Loads!F$169</f>
        <v>0</v>
      </c>
      <c r="G594" s="17"/>
    </row>
    <row r="595" spans="1:7" x14ac:dyDescent="0.25">
      <c r="A595" s="4" t="s">
        <v>297</v>
      </c>
      <c r="B595" s="43">
        <f>Loads!B$170</f>
        <v>1</v>
      </c>
      <c r="C595" s="43">
        <f>Loads!C$170</f>
        <v>0</v>
      </c>
      <c r="D595" s="43">
        <f>Loads!D$170</f>
        <v>0</v>
      </c>
      <c r="E595" s="43">
        <f>Loads!E$170</f>
        <v>0</v>
      </c>
      <c r="F595" s="43">
        <f>Loads!F$170</f>
        <v>0</v>
      </c>
      <c r="G595" s="17"/>
    </row>
    <row r="596" spans="1:7" x14ac:dyDescent="0.25">
      <c r="A596" s="29" t="s">
        <v>195</v>
      </c>
      <c r="G596" s="17"/>
    </row>
    <row r="597" spans="1:7" x14ac:dyDescent="0.25">
      <c r="A597" s="4" t="s">
        <v>195</v>
      </c>
      <c r="B597" s="43">
        <f>Loads!B$172</f>
        <v>1</v>
      </c>
      <c r="C597" s="43">
        <f>Loads!C$172</f>
        <v>0</v>
      </c>
      <c r="D597" s="43">
        <f>Loads!D$172</f>
        <v>0</v>
      </c>
      <c r="E597" s="43">
        <f>Loads!E$172</f>
        <v>0</v>
      </c>
      <c r="F597" s="43">
        <f>Loads!F$172</f>
        <v>0</v>
      </c>
      <c r="G597" s="17"/>
    </row>
    <row r="598" spans="1:7" x14ac:dyDescent="0.25">
      <c r="A598" s="4" t="s">
        <v>299</v>
      </c>
      <c r="B598" s="43">
        <f>Loads!B$173</f>
        <v>1</v>
      </c>
      <c r="C598" s="43">
        <f>Loads!C$173</f>
        <v>0</v>
      </c>
      <c r="D598" s="43">
        <f>Loads!D$173</f>
        <v>0</v>
      </c>
      <c r="E598" s="43">
        <f>Loads!E$173</f>
        <v>0</v>
      </c>
      <c r="F598" s="43">
        <f>Loads!F$173</f>
        <v>0</v>
      </c>
      <c r="G598" s="17"/>
    </row>
    <row r="600" spans="1:7" ht="21" customHeight="1" x14ac:dyDescent="0.3">
      <c r="A600" s="1" t="s">
        <v>1569</v>
      </c>
    </row>
    <row r="601" spans="1:7" x14ac:dyDescent="0.25">
      <c r="A601" s="2" t="s">
        <v>350</v>
      </c>
    </row>
    <row r="602" spans="1:7" x14ac:dyDescent="0.25">
      <c r="A602" s="32" t="s">
        <v>1570</v>
      </c>
    </row>
    <row r="603" spans="1:7" x14ac:dyDescent="0.25">
      <c r="A603" s="32" t="s">
        <v>1571</v>
      </c>
    </row>
    <row r="604" spans="1:7" x14ac:dyDescent="0.25">
      <c r="A604" s="2" t="s">
        <v>363</v>
      </c>
    </row>
    <row r="606" spans="1:7" ht="45" x14ac:dyDescent="0.25">
      <c r="B606" s="15" t="s">
        <v>525</v>
      </c>
    </row>
    <row r="607" spans="1:7" x14ac:dyDescent="0.25">
      <c r="A607" s="29" t="s">
        <v>171</v>
      </c>
      <c r="C607" s="17"/>
    </row>
    <row r="608" spans="1:7" x14ac:dyDescent="0.25">
      <c r="A608" s="4" t="s">
        <v>171</v>
      </c>
      <c r="B608" s="39">
        <f>SUMPRODUCT($B505:$F505,Input!$B$159:$F$159)</f>
        <v>0</v>
      </c>
      <c r="C608" s="17"/>
    </row>
    <row r="609" spans="1:3" x14ac:dyDescent="0.25">
      <c r="A609" s="4" t="s">
        <v>231</v>
      </c>
      <c r="B609" s="39">
        <f>SUMPRODUCT($B506:$F506,Input!$B$159:$F$159)</f>
        <v>0.67772781657009762</v>
      </c>
      <c r="C609" s="17"/>
    </row>
    <row r="610" spans="1:3" x14ac:dyDescent="0.25">
      <c r="A610" s="4" t="s">
        <v>232</v>
      </c>
      <c r="B610" s="39">
        <f>SUMPRODUCT($B507:$F507,Input!$B$159:$F$159)</f>
        <v>1.1036161135010634</v>
      </c>
      <c r="C610" s="17"/>
    </row>
    <row r="611" spans="1:3" x14ac:dyDescent="0.25">
      <c r="A611" s="29" t="s">
        <v>1567</v>
      </c>
      <c r="C611" s="17"/>
    </row>
    <row r="612" spans="1:3" x14ac:dyDescent="0.25">
      <c r="A612" s="4" t="s">
        <v>172</v>
      </c>
      <c r="B612" s="39">
        <f>SUMPRODUCT($B509:$F509,Input!$B$159:$F$159)</f>
        <v>0</v>
      </c>
      <c r="C612" s="17"/>
    </row>
    <row r="613" spans="1:3" x14ac:dyDescent="0.25">
      <c r="A613" s="4" t="s">
        <v>234</v>
      </c>
      <c r="B613" s="39">
        <f>SUMPRODUCT($B510:$F510,Input!$B$159:$F$159)</f>
        <v>0.67772781657009762</v>
      </c>
      <c r="C613" s="17"/>
    </row>
    <row r="614" spans="1:3" x14ac:dyDescent="0.25">
      <c r="A614" s="4" t="s">
        <v>235</v>
      </c>
      <c r="B614" s="39">
        <f>SUMPRODUCT($B511:$F511,Input!$B$159:$F$159)</f>
        <v>1.1036161135010634</v>
      </c>
      <c r="C614" s="17"/>
    </row>
    <row r="615" spans="1:3" x14ac:dyDescent="0.25">
      <c r="A615" s="4" t="s">
        <v>213</v>
      </c>
      <c r="B615" s="39">
        <f>SUMPRODUCT($B512:$F512,Input!$B$159:$F$159)</f>
        <v>0</v>
      </c>
      <c r="C615" s="17"/>
    </row>
    <row r="616" spans="1:3" x14ac:dyDescent="0.25">
      <c r="A616" s="4" t="s">
        <v>237</v>
      </c>
      <c r="B616" s="39">
        <f>SUMPRODUCT($B513:$F513,Input!$B$159:$F$159)</f>
        <v>0.67772781657009762</v>
      </c>
      <c r="C616" s="17"/>
    </row>
    <row r="617" spans="1:3" x14ac:dyDescent="0.25">
      <c r="A617" s="4" t="s">
        <v>238</v>
      </c>
      <c r="B617" s="39">
        <f>SUMPRODUCT($B514:$F514,Input!$B$159:$F$159)</f>
        <v>1.1036161135010634</v>
      </c>
      <c r="C617" s="17"/>
    </row>
    <row r="618" spans="1:3" x14ac:dyDescent="0.25">
      <c r="A618" s="29" t="s">
        <v>173</v>
      </c>
      <c r="C618" s="17"/>
    </row>
    <row r="619" spans="1:3" x14ac:dyDescent="0.25">
      <c r="A619" s="4" t="s">
        <v>173</v>
      </c>
      <c r="B619" s="39">
        <f>SUMPRODUCT($B516:$F516,Input!$B$159:$F$159)</f>
        <v>0</v>
      </c>
      <c r="C619" s="17"/>
    </row>
    <row r="620" spans="1:3" x14ac:dyDescent="0.25">
      <c r="A620" s="4" t="s">
        <v>240</v>
      </c>
      <c r="B620" s="39">
        <f>SUMPRODUCT($B517:$F517,Input!$B$159:$F$159)</f>
        <v>0.67772781657009762</v>
      </c>
      <c r="C620" s="17"/>
    </row>
    <row r="621" spans="1:3" x14ac:dyDescent="0.25">
      <c r="A621" s="4" t="s">
        <v>241</v>
      </c>
      <c r="B621" s="39">
        <f>SUMPRODUCT($B518:$F518,Input!$B$159:$F$159)</f>
        <v>1.1036161135010634</v>
      </c>
      <c r="C621" s="17"/>
    </row>
    <row r="622" spans="1:3" ht="30" x14ac:dyDescent="0.25">
      <c r="A622" s="29" t="s">
        <v>1568</v>
      </c>
      <c r="C622" s="17"/>
    </row>
    <row r="623" spans="1:3" x14ac:dyDescent="0.25">
      <c r="A623" s="4" t="s">
        <v>174</v>
      </c>
      <c r="B623" s="39">
        <f>SUMPRODUCT($B520:$F520,Input!$B$159:$F$159)</f>
        <v>0</v>
      </c>
      <c r="C623" s="17"/>
    </row>
    <row r="624" spans="1:3" x14ac:dyDescent="0.25">
      <c r="A624" s="4" t="s">
        <v>243</v>
      </c>
      <c r="B624" s="39">
        <f>SUMPRODUCT($B521:$F521,Input!$B$159:$F$159)</f>
        <v>0.67772781657009762</v>
      </c>
      <c r="C624" s="17"/>
    </row>
    <row r="625" spans="1:3" x14ac:dyDescent="0.25">
      <c r="A625" s="4" t="s">
        <v>244</v>
      </c>
      <c r="B625" s="39">
        <f>SUMPRODUCT($B522:$F522,Input!$B$159:$F$159)</f>
        <v>1.1036161135010634</v>
      </c>
      <c r="C625" s="17"/>
    </row>
    <row r="626" spans="1:3" x14ac:dyDescent="0.25">
      <c r="A626" s="4" t="s">
        <v>214</v>
      </c>
      <c r="B626" s="39">
        <f>SUMPRODUCT($B523:$F523,Input!$B$159:$F$159)</f>
        <v>0</v>
      </c>
      <c r="C626" s="17"/>
    </row>
    <row r="627" spans="1:3" ht="30" x14ac:dyDescent="0.25">
      <c r="A627" s="4" t="s">
        <v>246</v>
      </c>
      <c r="B627" s="39">
        <f>SUMPRODUCT($B524:$F524,Input!$B$159:$F$159)</f>
        <v>0.67772781657009762</v>
      </c>
      <c r="C627" s="17"/>
    </row>
    <row r="628" spans="1:3" ht="30" x14ac:dyDescent="0.25">
      <c r="A628" s="4" t="s">
        <v>247</v>
      </c>
      <c r="B628" s="39">
        <f>SUMPRODUCT($B525:$F525,Input!$B$159:$F$159)</f>
        <v>1.1036161135010634</v>
      </c>
      <c r="C628" s="17"/>
    </row>
    <row r="629" spans="1:3" x14ac:dyDescent="0.25">
      <c r="A629" s="29" t="s">
        <v>175</v>
      </c>
      <c r="C629" s="17"/>
    </row>
    <row r="630" spans="1:3" x14ac:dyDescent="0.25">
      <c r="A630" s="4" t="s">
        <v>175</v>
      </c>
      <c r="B630" s="39">
        <f>SUMPRODUCT($B527:$F527,Input!$B$159:$F$159)</f>
        <v>0</v>
      </c>
      <c r="C630" s="17"/>
    </row>
    <row r="631" spans="1:3" x14ac:dyDescent="0.25">
      <c r="A631" s="4" t="s">
        <v>249</v>
      </c>
      <c r="B631" s="39">
        <f>SUMPRODUCT($B528:$F528,Input!$B$159:$F$159)</f>
        <v>0.67772781657009762</v>
      </c>
      <c r="C631" s="17"/>
    </row>
    <row r="632" spans="1:3" x14ac:dyDescent="0.25">
      <c r="A632" s="4" t="s">
        <v>250</v>
      </c>
      <c r="B632" s="39">
        <f>SUMPRODUCT($B529:$F529,Input!$B$159:$F$159)</f>
        <v>1.1036161135010634</v>
      </c>
      <c r="C632" s="17"/>
    </row>
    <row r="633" spans="1:3" x14ac:dyDescent="0.25">
      <c r="A633" s="29" t="s">
        <v>176</v>
      </c>
      <c r="C633" s="17"/>
    </row>
    <row r="634" spans="1:3" x14ac:dyDescent="0.25">
      <c r="A634" s="4" t="s">
        <v>176</v>
      </c>
      <c r="B634" s="39">
        <f>SUMPRODUCT($B531:$F531,Input!$B$159:$F$159)</f>
        <v>0</v>
      </c>
      <c r="C634" s="17"/>
    </row>
    <row r="635" spans="1:3" x14ac:dyDescent="0.25">
      <c r="A635" s="29" t="s">
        <v>192</v>
      </c>
      <c r="C635" s="17"/>
    </row>
    <row r="636" spans="1:3" x14ac:dyDescent="0.25">
      <c r="A636" s="4" t="s">
        <v>192</v>
      </c>
      <c r="B636" s="39">
        <f>SUMPRODUCT($B533:$F533,Input!$B$159:$F$159)</f>
        <v>0</v>
      </c>
      <c r="C636" s="17"/>
    </row>
    <row r="637" spans="1:3" x14ac:dyDescent="0.25">
      <c r="A637" s="29" t="s">
        <v>177</v>
      </c>
      <c r="C637" s="17"/>
    </row>
    <row r="638" spans="1:3" x14ac:dyDescent="0.25">
      <c r="A638" s="4" t="s">
        <v>177</v>
      </c>
      <c r="B638" s="39">
        <f>SUMPRODUCT($B535:$F535,Input!$B$159:$F$159)</f>
        <v>0</v>
      </c>
      <c r="C638" s="17"/>
    </row>
    <row r="639" spans="1:3" x14ac:dyDescent="0.25">
      <c r="A639" s="4" t="s">
        <v>254</v>
      </c>
      <c r="B639" s="39">
        <f>SUMPRODUCT($B536:$F536,Input!$B$159:$F$159)</f>
        <v>0.67772781657009762</v>
      </c>
      <c r="C639" s="17"/>
    </row>
    <row r="640" spans="1:3" x14ac:dyDescent="0.25">
      <c r="A640" s="4" t="s">
        <v>255</v>
      </c>
      <c r="B640" s="39">
        <f>SUMPRODUCT($B537:$F537,Input!$B$159:$F$159)</f>
        <v>1.1036161135010634</v>
      </c>
      <c r="C640" s="17"/>
    </row>
    <row r="641" spans="1:3" x14ac:dyDescent="0.25">
      <c r="A641" s="29" t="s">
        <v>178</v>
      </c>
      <c r="C641" s="17"/>
    </row>
    <row r="642" spans="1:3" x14ac:dyDescent="0.25">
      <c r="A642" s="4" t="s">
        <v>178</v>
      </c>
      <c r="B642" s="39">
        <f>SUMPRODUCT($B539:$F539,Input!$B$159:$F$159)</f>
        <v>0</v>
      </c>
      <c r="C642" s="17"/>
    </row>
    <row r="643" spans="1:3" x14ac:dyDescent="0.25">
      <c r="A643" s="4" t="s">
        <v>257</v>
      </c>
      <c r="B643" s="39">
        <f>SUMPRODUCT($B540:$F540,Input!$B$159:$F$159)</f>
        <v>0.67772781657009762</v>
      </c>
      <c r="C643" s="17"/>
    </row>
    <row r="644" spans="1:3" x14ac:dyDescent="0.25">
      <c r="A644" s="4" t="s">
        <v>258</v>
      </c>
      <c r="B644" s="39">
        <f>SUMPRODUCT($B541:$F541,Input!$B$159:$F$159)</f>
        <v>1.1036161135010634</v>
      </c>
      <c r="C644" s="17"/>
    </row>
    <row r="645" spans="1:3" x14ac:dyDescent="0.25">
      <c r="A645" s="29" t="s">
        <v>179</v>
      </c>
      <c r="C645" s="17"/>
    </row>
    <row r="646" spans="1:3" x14ac:dyDescent="0.25">
      <c r="A646" s="4" t="s">
        <v>179</v>
      </c>
      <c r="B646" s="39">
        <f>SUMPRODUCT($B543:$F543,Input!$B$159:$F$159)</f>
        <v>0</v>
      </c>
      <c r="C646" s="17"/>
    </row>
    <row r="647" spans="1:3" x14ac:dyDescent="0.25">
      <c r="A647" s="4" t="s">
        <v>260</v>
      </c>
      <c r="B647" s="39">
        <f>SUMPRODUCT($B544:$F544,Input!$B$159:$F$159)</f>
        <v>0.67772781657009762</v>
      </c>
      <c r="C647" s="17"/>
    </row>
    <row r="648" spans="1:3" x14ac:dyDescent="0.25">
      <c r="A648" s="4" t="s">
        <v>261</v>
      </c>
      <c r="B648" s="39">
        <f>SUMPRODUCT($B545:$F545,Input!$B$159:$F$159)</f>
        <v>1.1036161135010634</v>
      </c>
      <c r="C648" s="17"/>
    </row>
    <row r="649" spans="1:3" x14ac:dyDescent="0.25">
      <c r="A649" s="29" t="s">
        <v>180</v>
      </c>
      <c r="C649" s="17"/>
    </row>
    <row r="650" spans="1:3" x14ac:dyDescent="0.25">
      <c r="A650" s="4" t="s">
        <v>180</v>
      </c>
      <c r="B650" s="39">
        <f>SUMPRODUCT($B547:$F547,Input!$B$159:$F$159)</f>
        <v>0</v>
      </c>
      <c r="C650" s="17"/>
    </row>
    <row r="651" spans="1:3" x14ac:dyDescent="0.25">
      <c r="A651" s="4" t="s">
        <v>263</v>
      </c>
      <c r="B651" s="39">
        <f>SUMPRODUCT($B548:$F548,Input!$B$159:$F$159)</f>
        <v>0.64406863107562107</v>
      </c>
      <c r="C651" s="17"/>
    </row>
    <row r="652" spans="1:3" x14ac:dyDescent="0.25">
      <c r="A652" s="29" t="s">
        <v>193</v>
      </c>
      <c r="C652" s="17"/>
    </row>
    <row r="653" spans="1:3" x14ac:dyDescent="0.25">
      <c r="A653" s="4" t="s">
        <v>193</v>
      </c>
      <c r="B653" s="39">
        <f>SUMPRODUCT($B550:$F550,Input!$B$159:$F$159)</f>
        <v>0</v>
      </c>
      <c r="C653" s="17"/>
    </row>
    <row r="654" spans="1:3" x14ac:dyDescent="0.25">
      <c r="A654" s="4" t="s">
        <v>265</v>
      </c>
      <c r="B654" s="39">
        <f>SUMPRODUCT($B551:$F551,Input!$B$159:$F$159)</f>
        <v>0.41336739720279175</v>
      </c>
      <c r="C654" s="17"/>
    </row>
    <row r="655" spans="1:3" x14ac:dyDescent="0.25">
      <c r="A655" s="29" t="s">
        <v>215</v>
      </c>
      <c r="C655" s="17"/>
    </row>
    <row r="656" spans="1:3" x14ac:dyDescent="0.25">
      <c r="A656" s="4" t="s">
        <v>215</v>
      </c>
      <c r="B656" s="39">
        <f>SUMPRODUCT($B553:$F553,Input!$B$159:$F$159)</f>
        <v>0</v>
      </c>
      <c r="C656" s="17"/>
    </row>
    <row r="657" spans="1:3" x14ac:dyDescent="0.25">
      <c r="A657" s="4" t="s">
        <v>267</v>
      </c>
      <c r="B657" s="39">
        <f>SUMPRODUCT($B554:$F554,Input!$B$159:$F$159)</f>
        <v>0.67772781657009762</v>
      </c>
      <c r="C657" s="17"/>
    </row>
    <row r="658" spans="1:3" x14ac:dyDescent="0.25">
      <c r="A658" s="4" t="s">
        <v>268</v>
      </c>
      <c r="B658" s="39">
        <f>SUMPRODUCT($B555:$F555,Input!$B$159:$F$159)</f>
        <v>1.1036161135010634</v>
      </c>
      <c r="C658" s="17"/>
    </row>
    <row r="659" spans="1:3" x14ac:dyDescent="0.25">
      <c r="A659" s="29" t="s">
        <v>216</v>
      </c>
      <c r="C659" s="17"/>
    </row>
    <row r="660" spans="1:3" x14ac:dyDescent="0.25">
      <c r="A660" s="4" t="s">
        <v>216</v>
      </c>
      <c r="B660" s="39">
        <f>SUMPRODUCT($B557:$F557,Input!$B$159:$F$159)</f>
        <v>0</v>
      </c>
      <c r="C660" s="17"/>
    </row>
    <row r="661" spans="1:3" x14ac:dyDescent="0.25">
      <c r="A661" s="4" t="s">
        <v>270</v>
      </c>
      <c r="B661" s="39">
        <f>SUMPRODUCT($B558:$F558,Input!$B$159:$F$159)</f>
        <v>0.67772781657009762</v>
      </c>
      <c r="C661" s="17"/>
    </row>
    <row r="662" spans="1:3" x14ac:dyDescent="0.25">
      <c r="A662" s="4" t="s">
        <v>271</v>
      </c>
      <c r="B662" s="39">
        <f>SUMPRODUCT($B559:$F559,Input!$B$159:$F$159)</f>
        <v>1.1036161135010634</v>
      </c>
      <c r="C662" s="17"/>
    </row>
    <row r="663" spans="1:3" x14ac:dyDescent="0.25">
      <c r="A663" s="29" t="s">
        <v>217</v>
      </c>
      <c r="C663" s="17"/>
    </row>
    <row r="664" spans="1:3" x14ac:dyDescent="0.25">
      <c r="A664" s="4" t="s">
        <v>217</v>
      </c>
      <c r="B664" s="39">
        <f>SUMPRODUCT($B561:$F561,Input!$B$159:$F$159)</f>
        <v>0</v>
      </c>
      <c r="C664" s="17"/>
    </row>
    <row r="665" spans="1:3" x14ac:dyDescent="0.25">
      <c r="A665" s="4" t="s">
        <v>273</v>
      </c>
      <c r="B665" s="39">
        <f>SUMPRODUCT($B562:$F562,Input!$B$159:$F$159)</f>
        <v>0.67772781657009762</v>
      </c>
      <c r="C665" s="17"/>
    </row>
    <row r="666" spans="1:3" x14ac:dyDescent="0.25">
      <c r="A666" s="4" t="s">
        <v>274</v>
      </c>
      <c r="B666" s="39">
        <f>SUMPRODUCT($B563:$F563,Input!$B$159:$F$159)</f>
        <v>1.1036161135010634</v>
      </c>
      <c r="C666" s="17"/>
    </row>
    <row r="667" spans="1:3" x14ac:dyDescent="0.25">
      <c r="A667" s="29" t="s">
        <v>218</v>
      </c>
      <c r="C667" s="17"/>
    </row>
    <row r="668" spans="1:3" x14ac:dyDescent="0.25">
      <c r="A668" s="4" t="s">
        <v>218</v>
      </c>
      <c r="B668" s="39">
        <f>SUMPRODUCT($B565:$F565,Input!$B$159:$F$159)</f>
        <v>0</v>
      </c>
      <c r="C668" s="17"/>
    </row>
    <row r="669" spans="1:3" x14ac:dyDescent="0.25">
      <c r="A669" s="4" t="s">
        <v>276</v>
      </c>
      <c r="B669" s="39">
        <f>SUMPRODUCT($B566:$F566,Input!$B$159:$F$159)</f>
        <v>0.67772781657009762</v>
      </c>
      <c r="C669" s="17"/>
    </row>
    <row r="670" spans="1:3" x14ac:dyDescent="0.25">
      <c r="A670" s="4" t="s">
        <v>277</v>
      </c>
      <c r="B670" s="39">
        <f>SUMPRODUCT($B567:$F567,Input!$B$159:$F$159)</f>
        <v>1.1036161135010634</v>
      </c>
      <c r="C670" s="17"/>
    </row>
    <row r="671" spans="1:3" x14ac:dyDescent="0.25">
      <c r="A671" s="29" t="s">
        <v>219</v>
      </c>
      <c r="C671" s="17"/>
    </row>
    <row r="672" spans="1:3" x14ac:dyDescent="0.25">
      <c r="A672" s="4" t="s">
        <v>219</v>
      </c>
      <c r="B672" s="39">
        <f>SUMPRODUCT($B569:$F569,Input!$B$159:$F$159)</f>
        <v>0</v>
      </c>
      <c r="C672" s="17"/>
    </row>
    <row r="673" spans="1:3" x14ac:dyDescent="0.25">
      <c r="A673" s="4" t="s">
        <v>279</v>
      </c>
      <c r="B673" s="39">
        <f>SUMPRODUCT($B570:$F570,Input!$B$159:$F$159)</f>
        <v>0.67772781657009762</v>
      </c>
      <c r="C673" s="17"/>
    </row>
    <row r="674" spans="1:3" x14ac:dyDescent="0.25">
      <c r="A674" s="4" t="s">
        <v>280</v>
      </c>
      <c r="B674" s="39">
        <f>SUMPRODUCT($B571:$F571,Input!$B$159:$F$159)</f>
        <v>1.1036161135010634</v>
      </c>
      <c r="C674" s="17"/>
    </row>
    <row r="675" spans="1:3" x14ac:dyDescent="0.25">
      <c r="A675" s="29" t="s">
        <v>181</v>
      </c>
      <c r="C675" s="17"/>
    </row>
    <row r="676" spans="1:3" x14ac:dyDescent="0.25">
      <c r="A676" s="4" t="s">
        <v>181</v>
      </c>
      <c r="B676" s="39">
        <f>SUMPRODUCT($B573:$F573,Input!$B$159:$F$159)</f>
        <v>0</v>
      </c>
      <c r="C676" s="17"/>
    </row>
    <row r="677" spans="1:3" x14ac:dyDescent="0.25">
      <c r="A677" s="4" t="s">
        <v>282</v>
      </c>
      <c r="B677" s="39">
        <f>SUMPRODUCT($B574:$F574,Input!$B$159:$F$159)</f>
        <v>0</v>
      </c>
      <c r="C677" s="17"/>
    </row>
    <row r="678" spans="1:3" x14ac:dyDescent="0.25">
      <c r="A678" s="4" t="s">
        <v>283</v>
      </c>
      <c r="B678" s="39">
        <f>SUMPRODUCT($B575:$F575,Input!$B$159:$F$159)</f>
        <v>0</v>
      </c>
      <c r="C678" s="17"/>
    </row>
    <row r="679" spans="1:3" x14ac:dyDescent="0.25">
      <c r="A679" s="29" t="s">
        <v>182</v>
      </c>
      <c r="C679" s="17"/>
    </row>
    <row r="680" spans="1:3" x14ac:dyDescent="0.25">
      <c r="A680" s="4" t="s">
        <v>182</v>
      </c>
      <c r="B680" s="39">
        <f>SUMPRODUCT($B577:$F577,Input!$B$159:$F$159)</f>
        <v>0</v>
      </c>
      <c r="C680" s="17"/>
    </row>
    <row r="681" spans="1:3" x14ac:dyDescent="0.25">
      <c r="A681" s="4" t="s">
        <v>285</v>
      </c>
      <c r="B681" s="39">
        <f>SUMPRODUCT($B578:$F578,Input!$B$159:$F$159)</f>
        <v>0</v>
      </c>
      <c r="C681" s="17"/>
    </row>
    <row r="682" spans="1:3" x14ac:dyDescent="0.25">
      <c r="A682" s="29" t="s">
        <v>183</v>
      </c>
      <c r="C682" s="17"/>
    </row>
    <row r="683" spans="1:3" x14ac:dyDescent="0.25">
      <c r="A683" s="4" t="s">
        <v>183</v>
      </c>
      <c r="B683" s="39">
        <f>SUMPRODUCT($B580:$F580,Input!$B$159:$F$159)</f>
        <v>0</v>
      </c>
      <c r="C683" s="17"/>
    </row>
    <row r="684" spans="1:3" x14ac:dyDescent="0.25">
      <c r="A684" s="4" t="s">
        <v>287</v>
      </c>
      <c r="B684" s="39">
        <f>SUMPRODUCT($B581:$F581,Input!$B$159:$F$159)</f>
        <v>0</v>
      </c>
      <c r="C684" s="17"/>
    </row>
    <row r="685" spans="1:3" x14ac:dyDescent="0.25">
      <c r="A685" s="4" t="s">
        <v>288</v>
      </c>
      <c r="B685" s="39">
        <f>SUMPRODUCT($B582:$F582,Input!$B$159:$F$159)</f>
        <v>0</v>
      </c>
      <c r="C685" s="17"/>
    </row>
    <row r="686" spans="1:3" x14ac:dyDescent="0.25">
      <c r="A686" s="29" t="s">
        <v>184</v>
      </c>
      <c r="C686" s="17"/>
    </row>
    <row r="687" spans="1:3" x14ac:dyDescent="0.25">
      <c r="A687" s="4" t="s">
        <v>184</v>
      </c>
      <c r="B687" s="39">
        <f>SUMPRODUCT($B584:$F584,Input!$B$159:$F$159)</f>
        <v>0</v>
      </c>
      <c r="C687" s="17"/>
    </row>
    <row r="688" spans="1:3" x14ac:dyDescent="0.25">
      <c r="A688" s="4" t="s">
        <v>290</v>
      </c>
      <c r="B688" s="39">
        <f>SUMPRODUCT($B585:$F585,Input!$B$159:$F$159)</f>
        <v>0</v>
      </c>
      <c r="C688" s="17"/>
    </row>
    <row r="689" spans="1:3" x14ac:dyDescent="0.25">
      <c r="A689" s="4" t="s">
        <v>291</v>
      </c>
      <c r="B689" s="39">
        <f>SUMPRODUCT($B586:$F586,Input!$B$159:$F$159)</f>
        <v>0</v>
      </c>
      <c r="C689" s="17"/>
    </row>
    <row r="690" spans="1:3" x14ac:dyDescent="0.25">
      <c r="A690" s="29" t="s">
        <v>185</v>
      </c>
      <c r="C690" s="17"/>
    </row>
    <row r="691" spans="1:3" x14ac:dyDescent="0.25">
      <c r="A691" s="4" t="s">
        <v>185</v>
      </c>
      <c r="B691" s="39">
        <f>SUMPRODUCT($B588:$F588,Input!$B$159:$F$159)</f>
        <v>0</v>
      </c>
      <c r="C691" s="17"/>
    </row>
    <row r="692" spans="1:3" x14ac:dyDescent="0.25">
      <c r="A692" s="4" t="s">
        <v>293</v>
      </c>
      <c r="B692" s="39">
        <f>SUMPRODUCT($B589:$F589,Input!$B$159:$F$159)</f>
        <v>0</v>
      </c>
      <c r="C692" s="17"/>
    </row>
    <row r="693" spans="1:3" x14ac:dyDescent="0.25">
      <c r="A693" s="29" t="s">
        <v>186</v>
      </c>
      <c r="C693" s="17"/>
    </row>
    <row r="694" spans="1:3" x14ac:dyDescent="0.25">
      <c r="A694" s="4" t="s">
        <v>186</v>
      </c>
      <c r="B694" s="39">
        <f>SUMPRODUCT($B591:$F591,Input!$B$159:$F$159)</f>
        <v>0</v>
      </c>
      <c r="C694" s="17"/>
    </row>
    <row r="695" spans="1:3" x14ac:dyDescent="0.25">
      <c r="A695" s="4" t="s">
        <v>295</v>
      </c>
      <c r="B695" s="39">
        <f>SUMPRODUCT($B592:$F592,Input!$B$159:$F$159)</f>
        <v>0</v>
      </c>
      <c r="C695" s="17"/>
    </row>
    <row r="696" spans="1:3" x14ac:dyDescent="0.25">
      <c r="A696" s="29" t="s">
        <v>194</v>
      </c>
      <c r="C696" s="17"/>
    </row>
    <row r="697" spans="1:3" x14ac:dyDescent="0.25">
      <c r="A697" s="4" t="s">
        <v>194</v>
      </c>
      <c r="B697" s="39">
        <f>SUMPRODUCT($B594:$F594,Input!$B$159:$F$159)</f>
        <v>0</v>
      </c>
      <c r="C697" s="17"/>
    </row>
    <row r="698" spans="1:3" x14ac:dyDescent="0.25">
      <c r="A698" s="4" t="s">
        <v>297</v>
      </c>
      <c r="B698" s="39">
        <f>SUMPRODUCT($B595:$F595,Input!$B$159:$F$159)</f>
        <v>0</v>
      </c>
      <c r="C698" s="17"/>
    </row>
    <row r="699" spans="1:3" x14ac:dyDescent="0.25">
      <c r="A699" s="29" t="s">
        <v>195</v>
      </c>
      <c r="C699" s="17"/>
    </row>
    <row r="700" spans="1:3" x14ac:dyDescent="0.25">
      <c r="A700" s="4" t="s">
        <v>195</v>
      </c>
      <c r="B700" s="39">
        <f>SUMPRODUCT($B597:$F597,Input!$B$159:$F$159)</f>
        <v>0</v>
      </c>
      <c r="C700" s="17"/>
    </row>
    <row r="701" spans="1:3" x14ac:dyDescent="0.25">
      <c r="A701" s="4" t="s">
        <v>299</v>
      </c>
      <c r="B701" s="39">
        <f>SUMPRODUCT($B598:$F598,Input!$B$159:$F$159)</f>
        <v>0</v>
      </c>
      <c r="C701" s="17"/>
    </row>
    <row r="703" spans="1:3" ht="21" customHeight="1" x14ac:dyDescent="0.3">
      <c r="A703" s="1" t="s">
        <v>1572</v>
      </c>
    </row>
    <row r="704" spans="1:3" x14ac:dyDescent="0.25">
      <c r="A704" s="2" t="s">
        <v>350</v>
      </c>
    </row>
    <row r="705" spans="1:7" x14ac:dyDescent="0.25">
      <c r="A705" s="32" t="s">
        <v>1573</v>
      </c>
    </row>
    <row r="706" spans="1:7" x14ac:dyDescent="0.25">
      <c r="A706" s="32" t="s">
        <v>1574</v>
      </c>
    </row>
    <row r="707" spans="1:7" x14ac:dyDescent="0.25">
      <c r="A707" s="32" t="s">
        <v>1575</v>
      </c>
    </row>
    <row r="708" spans="1:7" x14ac:dyDescent="0.25">
      <c r="A708" s="32" t="s">
        <v>1576</v>
      </c>
    </row>
    <row r="709" spans="1:7" x14ac:dyDescent="0.25">
      <c r="A709" s="32" t="s">
        <v>510</v>
      </c>
    </row>
    <row r="710" spans="1:7" x14ac:dyDescent="0.25">
      <c r="A710" s="32" t="s">
        <v>511</v>
      </c>
    </row>
    <row r="711" spans="1:7" x14ac:dyDescent="0.25">
      <c r="A711" s="32" t="s">
        <v>512</v>
      </c>
    </row>
    <row r="712" spans="1:7" x14ac:dyDescent="0.25">
      <c r="A712" s="33" t="s">
        <v>353</v>
      </c>
      <c r="B712" s="33" t="s">
        <v>412</v>
      </c>
      <c r="C712" s="33" t="s">
        <v>412</v>
      </c>
      <c r="D712" s="33" t="s">
        <v>412</v>
      </c>
      <c r="E712" s="33" t="s">
        <v>412</v>
      </c>
      <c r="F712" s="33" t="s">
        <v>483</v>
      </c>
    </row>
    <row r="713" spans="1:7" x14ac:dyDescent="0.25">
      <c r="A713" s="33" t="s">
        <v>356</v>
      </c>
      <c r="B713" s="33" t="s">
        <v>1577</v>
      </c>
      <c r="C713" s="33" t="s">
        <v>415</v>
      </c>
      <c r="D713" s="33" t="s">
        <v>1578</v>
      </c>
      <c r="E713" s="33" t="s">
        <v>1013</v>
      </c>
      <c r="F713" s="33" t="s">
        <v>1579</v>
      </c>
    </row>
    <row r="715" spans="1:7" ht="60" x14ac:dyDescent="0.25">
      <c r="B715" s="15" t="s">
        <v>1562</v>
      </c>
      <c r="C715" s="15" t="s">
        <v>1563</v>
      </c>
      <c r="D715" s="15" t="s">
        <v>1564</v>
      </c>
      <c r="E715" s="15" t="s">
        <v>1565</v>
      </c>
      <c r="F715" s="15" t="s">
        <v>1580</v>
      </c>
    </row>
    <row r="716" spans="1:7" x14ac:dyDescent="0.25">
      <c r="A716" s="29" t="s">
        <v>171</v>
      </c>
      <c r="G716" s="17"/>
    </row>
    <row r="717" spans="1:7" x14ac:dyDescent="0.25">
      <c r="A717" s="4" t="s">
        <v>171</v>
      </c>
      <c r="B717" s="43">
        <f>B$401</f>
        <v>71796042.0313586</v>
      </c>
      <c r="C717" s="43">
        <f>C$401</f>
        <v>8049334.1507476885</v>
      </c>
      <c r="D717" s="43">
        <f>D$401</f>
        <v>52432809.929255307</v>
      </c>
      <c r="E717" s="43">
        <f>E$401</f>
        <v>33453568.276662916</v>
      </c>
      <c r="F717" s="21">
        <f>Input!B$192+Input!C$192+Input!D$192</f>
        <v>6548048.3229739498</v>
      </c>
      <c r="G717" s="17"/>
    </row>
    <row r="718" spans="1:7" x14ac:dyDescent="0.25">
      <c r="A718" s="4" t="s">
        <v>231</v>
      </c>
      <c r="B718" s="43">
        <f>B$402</f>
        <v>1177369.9635073796</v>
      </c>
      <c r="C718" s="43">
        <f>C$402</f>
        <v>131971.01058166593</v>
      </c>
      <c r="D718" s="43">
        <f>D$402</f>
        <v>881202.09334123158</v>
      </c>
      <c r="E718" s="43">
        <f>E$402</f>
        <v>548480.30040147773</v>
      </c>
      <c r="F718" s="21">
        <f>Input!B$193+Input!C$193+Input!D$193</f>
        <v>107357.023368223</v>
      </c>
      <c r="G718" s="17"/>
    </row>
    <row r="719" spans="1:7" x14ac:dyDescent="0.25">
      <c r="A719" s="4" t="s">
        <v>232</v>
      </c>
      <c r="B719" s="43">
        <f>B$403</f>
        <v>673216.97504585085</v>
      </c>
      <c r="C719" s="43">
        <f>C$403</f>
        <v>75485.345702281134</v>
      </c>
      <c r="D719" s="43">
        <f>D$403</f>
        <v>485385.40420582786</v>
      </c>
      <c r="E719" s="43">
        <f>E$403</f>
        <v>313722.1190033711</v>
      </c>
      <c r="F719" s="21">
        <f>Input!B$194+Input!C$194+Input!D$194</f>
        <v>61406.531531433298</v>
      </c>
      <c r="G719" s="17"/>
    </row>
    <row r="720" spans="1:7" x14ac:dyDescent="0.25">
      <c r="A720" s="29" t="s">
        <v>1567</v>
      </c>
      <c r="G720" s="17"/>
    </row>
    <row r="721" spans="1:7" x14ac:dyDescent="0.25">
      <c r="A721" s="4" t="s">
        <v>172</v>
      </c>
      <c r="B721" s="43">
        <f>B$405</f>
        <v>6760679.8237258242</v>
      </c>
      <c r="C721" s="43">
        <f>C$405</f>
        <v>709564.18432496546</v>
      </c>
      <c r="D721" s="43">
        <f>D$405</f>
        <v>4840016.8228839068</v>
      </c>
      <c r="E721" s="43">
        <f>E$405</f>
        <v>2948995.9594713729</v>
      </c>
      <c r="F721" s="21">
        <f>Input!B$196+Input!C$196+Input!D$196</f>
        <v>948933.11451811693</v>
      </c>
      <c r="G721" s="17"/>
    </row>
    <row r="722" spans="1:7" x14ac:dyDescent="0.25">
      <c r="A722" s="4" t="s">
        <v>234</v>
      </c>
      <c r="B722" s="43">
        <f>B$406</f>
        <v>5235.3779424087597</v>
      </c>
      <c r="C722" s="43">
        <f>C$406</f>
        <v>579.62635901827764</v>
      </c>
      <c r="D722" s="43">
        <f>D$406</f>
        <v>3810.3643781616456</v>
      </c>
      <c r="E722" s="43">
        <f>E$406</f>
        <v>2408.9657123465709</v>
      </c>
      <c r="F722" s="21">
        <f>Input!B$197+Input!C$197+Input!D$197</f>
        <v>497.083813702572</v>
      </c>
      <c r="G722" s="17"/>
    </row>
    <row r="723" spans="1:7" x14ac:dyDescent="0.25">
      <c r="A723" s="4" t="s">
        <v>235</v>
      </c>
      <c r="B723" s="43">
        <f>B$407</f>
        <v>42332.55175961287</v>
      </c>
      <c r="C723" s="43">
        <f>C$407</f>
        <v>4534.8865302228096</v>
      </c>
      <c r="D723" s="43">
        <f>D$407</f>
        <v>29398.570297922153</v>
      </c>
      <c r="E723" s="43">
        <f>E$407</f>
        <v>18847.290139102486</v>
      </c>
      <c r="F723" s="21">
        <f>Input!B$198+Input!C$198+Input!D$198</f>
        <v>5229.7858868720996</v>
      </c>
      <c r="G723" s="17"/>
    </row>
    <row r="724" spans="1:7" x14ac:dyDescent="0.25">
      <c r="A724" s="4" t="s">
        <v>213</v>
      </c>
      <c r="B724" s="43">
        <f>B$409</f>
        <v>25092.755453082242</v>
      </c>
      <c r="C724" s="43">
        <f>C$409</f>
        <v>1138.4525886352926</v>
      </c>
      <c r="D724" s="43">
        <f>D$409</f>
        <v>10557.120194589988</v>
      </c>
      <c r="E724" s="43">
        <f>E$409</f>
        <v>4731.4847030069832</v>
      </c>
      <c r="F724" s="21">
        <f>Input!B$200+Input!C$200+Input!D$200</f>
        <v>16657.9640809597</v>
      </c>
      <c r="G724" s="17"/>
    </row>
    <row r="725" spans="1:7" x14ac:dyDescent="0.25">
      <c r="A725" s="4" t="s">
        <v>237</v>
      </c>
      <c r="B725" s="43">
        <f>B$410</f>
        <v>0</v>
      </c>
      <c r="C725" s="43">
        <f>C$410</f>
        <v>0</v>
      </c>
      <c r="D725" s="43">
        <f>D$410</f>
        <v>0</v>
      </c>
      <c r="E725" s="43">
        <f>E$410</f>
        <v>0</v>
      </c>
      <c r="F725" s="21">
        <f>Input!B$201+Input!C$201+Input!D$201</f>
        <v>0</v>
      </c>
      <c r="G725" s="17"/>
    </row>
    <row r="726" spans="1:7" x14ac:dyDescent="0.25">
      <c r="A726" s="4" t="s">
        <v>238</v>
      </c>
      <c r="B726" s="43">
        <f>B$411</f>
        <v>0</v>
      </c>
      <c r="C726" s="43">
        <f>C$411</f>
        <v>0</v>
      </c>
      <c r="D726" s="43">
        <f>D$411</f>
        <v>0</v>
      </c>
      <c r="E726" s="43">
        <f>E$411</f>
        <v>0</v>
      </c>
      <c r="F726" s="21">
        <f>Input!B$202+Input!C$202+Input!D$202</f>
        <v>0</v>
      </c>
      <c r="G726" s="17"/>
    </row>
    <row r="727" spans="1:7" x14ac:dyDescent="0.25">
      <c r="A727" s="29" t="s">
        <v>173</v>
      </c>
      <c r="G727" s="17"/>
    </row>
    <row r="728" spans="1:7" x14ac:dyDescent="0.25">
      <c r="A728" s="4" t="s">
        <v>173</v>
      </c>
      <c r="B728" s="43">
        <f>B$413</f>
        <v>16872424.842083946</v>
      </c>
      <c r="C728" s="43">
        <f>C$413</f>
        <v>1733117.5952229737</v>
      </c>
      <c r="D728" s="43">
        <f>D$413</f>
        <v>8423390.0834147707</v>
      </c>
      <c r="E728" s="43">
        <f>E$413</f>
        <v>7202952.0352179734</v>
      </c>
      <c r="F728" s="21">
        <f>Input!B$204+Input!C$204+Input!D$204</f>
        <v>1571617.92627062</v>
      </c>
      <c r="G728" s="17"/>
    </row>
    <row r="729" spans="1:7" x14ac:dyDescent="0.25">
      <c r="A729" s="4" t="s">
        <v>240</v>
      </c>
      <c r="B729" s="43">
        <f>B$414</f>
        <v>29663.698890486041</v>
      </c>
      <c r="C729" s="43">
        <f>C$414</f>
        <v>3045.4561349500818</v>
      </c>
      <c r="D729" s="43">
        <f>D$414</f>
        <v>16094.356831675166</v>
      </c>
      <c r="E729" s="43">
        <f>E$414</f>
        <v>12657.118320112346</v>
      </c>
      <c r="F729" s="21">
        <f>Input!B$205+Input!C$205+Input!D$205</f>
        <v>2761.6668762413701</v>
      </c>
      <c r="G729" s="17"/>
    </row>
    <row r="730" spans="1:7" x14ac:dyDescent="0.25">
      <c r="A730" s="4" t="s">
        <v>241</v>
      </c>
      <c r="B730" s="43">
        <f>B$415</f>
        <v>64626.930276831692</v>
      </c>
      <c r="C730" s="43">
        <f>C$415</f>
        <v>6638.134980320905</v>
      </c>
      <c r="D730" s="43">
        <f>D$415</f>
        <v>32489.619612438964</v>
      </c>
      <c r="E730" s="43">
        <f>E$415</f>
        <v>27588.530633088725</v>
      </c>
      <c r="F730" s="21">
        <f>Input!B$206+Input!C$206+Input!D$206</f>
        <v>6019.5637969587397</v>
      </c>
      <c r="G730" s="17"/>
    </row>
    <row r="731" spans="1:7" ht="30" x14ac:dyDescent="0.25">
      <c r="A731" s="29" t="s">
        <v>1568</v>
      </c>
      <c r="G731" s="17"/>
    </row>
    <row r="732" spans="1:7" x14ac:dyDescent="0.25">
      <c r="A732" s="4" t="s">
        <v>174</v>
      </c>
      <c r="B732" s="43">
        <f>B$417</f>
        <v>6457384.8014426483</v>
      </c>
      <c r="C732" s="43">
        <f>C$417</f>
        <v>661059.38800147572</v>
      </c>
      <c r="D732" s="43">
        <f>D$417</f>
        <v>3069532.1229592515</v>
      </c>
      <c r="E732" s="43">
        <f>E$417</f>
        <v>2747406.7987825018</v>
      </c>
      <c r="F732" s="21">
        <f>Input!B$208+Input!C$208+Input!D$208</f>
        <v>791413.98270592699</v>
      </c>
      <c r="G732" s="17"/>
    </row>
    <row r="733" spans="1:7" x14ac:dyDescent="0.25">
      <c r="A733" s="4" t="s">
        <v>243</v>
      </c>
      <c r="B733" s="43">
        <f>B$418</f>
        <v>628.88669470480306</v>
      </c>
      <c r="C733" s="43">
        <f>C$418</f>
        <v>61.452103417181725</v>
      </c>
      <c r="D733" s="43">
        <f>D$418</f>
        <v>610.81964233367114</v>
      </c>
      <c r="E733" s="43">
        <f>E$418</f>
        <v>255.39903039312645</v>
      </c>
      <c r="F733" s="21">
        <f>Input!B$209+Input!C$209+Input!D$209</f>
        <v>102.8248333333333</v>
      </c>
      <c r="G733" s="17"/>
    </row>
    <row r="734" spans="1:7" x14ac:dyDescent="0.25">
      <c r="A734" s="4" t="s">
        <v>244</v>
      </c>
      <c r="B734" s="43">
        <f>B$419</f>
        <v>0</v>
      </c>
      <c r="C734" s="43">
        <f>C$419</f>
        <v>0</v>
      </c>
      <c r="D734" s="43">
        <f>D$419</f>
        <v>0</v>
      </c>
      <c r="E734" s="43">
        <f>E$419</f>
        <v>0</v>
      </c>
      <c r="F734" s="21">
        <f>Input!B$210+Input!C$210+Input!D$210</f>
        <v>0</v>
      </c>
      <c r="G734" s="17"/>
    </row>
    <row r="735" spans="1:7" x14ac:dyDescent="0.25">
      <c r="A735" s="4" t="s">
        <v>214</v>
      </c>
      <c r="B735" s="43">
        <f>B$421</f>
        <v>20611.132137527497</v>
      </c>
      <c r="C735" s="43">
        <f>C$421</f>
        <v>676.24225668378517</v>
      </c>
      <c r="D735" s="43">
        <f>D$421</f>
        <v>8686.382520418183</v>
      </c>
      <c r="E735" s="43">
        <f>E$421</f>
        <v>2810.5078111876169</v>
      </c>
      <c r="F735" s="21">
        <f>Input!B$212+Input!C$212+Input!D$212</f>
        <v>18224.065631184701</v>
      </c>
      <c r="G735" s="17"/>
    </row>
    <row r="736" spans="1:7" ht="30" x14ac:dyDescent="0.25">
      <c r="A736" s="4" t="s">
        <v>246</v>
      </c>
      <c r="B736" s="43">
        <f>B$422</f>
        <v>0</v>
      </c>
      <c r="C736" s="43">
        <f>C$422</f>
        <v>0</v>
      </c>
      <c r="D736" s="43">
        <f>D$422</f>
        <v>0</v>
      </c>
      <c r="E736" s="43">
        <f>E$422</f>
        <v>0</v>
      </c>
      <c r="F736" s="21">
        <f>Input!B$213+Input!C$213+Input!D$213</f>
        <v>0</v>
      </c>
      <c r="G736" s="17"/>
    </row>
    <row r="737" spans="1:7" ht="30" x14ac:dyDescent="0.25">
      <c r="A737" s="4" t="s">
        <v>247</v>
      </c>
      <c r="B737" s="43">
        <f>B$423</f>
        <v>0</v>
      </c>
      <c r="C737" s="43">
        <f>C$423</f>
        <v>0</v>
      </c>
      <c r="D737" s="43">
        <f>D$423</f>
        <v>0</v>
      </c>
      <c r="E737" s="43">
        <f>E$423</f>
        <v>0</v>
      </c>
      <c r="F737" s="21">
        <f>Input!B$214+Input!C$214+Input!D$214</f>
        <v>0</v>
      </c>
      <c r="G737" s="17"/>
    </row>
    <row r="738" spans="1:7" x14ac:dyDescent="0.25">
      <c r="A738" s="29" t="s">
        <v>175</v>
      </c>
      <c r="G738" s="17"/>
    </row>
    <row r="739" spans="1:7" x14ac:dyDescent="0.25">
      <c r="A739" s="4" t="s">
        <v>175</v>
      </c>
      <c r="B739" s="43">
        <f>B$425</f>
        <v>0</v>
      </c>
      <c r="C739" s="43">
        <f>C$425</f>
        <v>0</v>
      </c>
      <c r="D739" s="43">
        <f>D$425</f>
        <v>0</v>
      </c>
      <c r="E739" s="43">
        <f>E$425</f>
        <v>0</v>
      </c>
      <c r="F739" s="21">
        <f>Input!B$216+Input!C$216+Input!D$216</f>
        <v>0</v>
      </c>
      <c r="G739" s="17"/>
    </row>
    <row r="740" spans="1:7" x14ac:dyDescent="0.25">
      <c r="A740" s="4" t="s">
        <v>249</v>
      </c>
      <c r="B740" s="43">
        <f>B$426</f>
        <v>0</v>
      </c>
      <c r="C740" s="43">
        <f>C$426</f>
        <v>0</v>
      </c>
      <c r="D740" s="43">
        <f>D$426</f>
        <v>0</v>
      </c>
      <c r="E740" s="43">
        <f>E$426</f>
        <v>0</v>
      </c>
      <c r="F740" s="21">
        <f>Input!B$217+Input!C$217+Input!D$217</f>
        <v>0</v>
      </c>
      <c r="G740" s="17"/>
    </row>
    <row r="741" spans="1:7" x14ac:dyDescent="0.25">
      <c r="A741" s="4" t="s">
        <v>250</v>
      </c>
      <c r="B741" s="43">
        <f>B$427</f>
        <v>0</v>
      </c>
      <c r="C741" s="43">
        <f>C$427</f>
        <v>0</v>
      </c>
      <c r="D741" s="43">
        <f>D$427</f>
        <v>0</v>
      </c>
      <c r="E741" s="43">
        <f>E$427</f>
        <v>0</v>
      </c>
      <c r="F741" s="21">
        <f>Input!B$218+Input!C$218+Input!D$218</f>
        <v>0</v>
      </c>
      <c r="G741" s="17"/>
    </row>
    <row r="742" spans="1:7" x14ac:dyDescent="0.25">
      <c r="A742" s="29" t="s">
        <v>176</v>
      </c>
      <c r="G742" s="17"/>
    </row>
    <row r="743" spans="1:7" x14ac:dyDescent="0.25">
      <c r="A743" s="4" t="s">
        <v>176</v>
      </c>
      <c r="B743" s="43">
        <f>B$429</f>
        <v>0</v>
      </c>
      <c r="C743" s="43">
        <f>C$429</f>
        <v>0</v>
      </c>
      <c r="D743" s="43">
        <f>D$429</f>
        <v>0</v>
      </c>
      <c r="E743" s="43">
        <f>E$429</f>
        <v>0</v>
      </c>
      <c r="F743" s="21">
        <f>Input!B$220+Input!C$220+Input!D$220</f>
        <v>0</v>
      </c>
      <c r="G743" s="17"/>
    </row>
    <row r="744" spans="1:7" x14ac:dyDescent="0.25">
      <c r="A744" s="29" t="s">
        <v>192</v>
      </c>
      <c r="G744" s="17"/>
    </row>
    <row r="745" spans="1:7" x14ac:dyDescent="0.25">
      <c r="A745" s="4" t="s">
        <v>192</v>
      </c>
      <c r="B745" s="43">
        <f>B$431</f>
        <v>37146.278276803554</v>
      </c>
      <c r="C745" s="43">
        <f>C$431</f>
        <v>6362.8028065921671</v>
      </c>
      <c r="D745" s="43">
        <f>D$431</f>
        <v>38732.21127700981</v>
      </c>
      <c r="E745" s="43">
        <f>E$431</f>
        <v>26444.231800403199</v>
      </c>
      <c r="F745" s="21">
        <f>Input!B$222+Input!C$222+Input!D$222</f>
        <v>7293.5860311247598</v>
      </c>
      <c r="G745" s="17"/>
    </row>
    <row r="746" spans="1:7" x14ac:dyDescent="0.25">
      <c r="A746" s="29" t="s">
        <v>177</v>
      </c>
      <c r="G746" s="17"/>
    </row>
    <row r="747" spans="1:7" x14ac:dyDescent="0.25">
      <c r="A747" s="4" t="s">
        <v>177</v>
      </c>
      <c r="B747" s="43">
        <f>B$433</f>
        <v>0</v>
      </c>
      <c r="C747" s="43">
        <f>C$433</f>
        <v>0</v>
      </c>
      <c r="D747" s="43">
        <f>D$433</f>
        <v>0</v>
      </c>
      <c r="E747" s="43">
        <f>E$433</f>
        <v>0</v>
      </c>
      <c r="F747" s="21">
        <f>Input!B$224+Input!C$224+Input!D$224</f>
        <v>0</v>
      </c>
      <c r="G747" s="17"/>
    </row>
    <row r="748" spans="1:7" x14ac:dyDescent="0.25">
      <c r="A748" s="4" t="s">
        <v>254</v>
      </c>
      <c r="B748" s="43">
        <f>B$434</f>
        <v>0</v>
      </c>
      <c r="C748" s="43">
        <f>C$434</f>
        <v>0</v>
      </c>
      <c r="D748" s="43">
        <f>D$434</f>
        <v>0</v>
      </c>
      <c r="E748" s="43">
        <f>E$434</f>
        <v>0</v>
      </c>
      <c r="F748" s="21">
        <f>Input!B$225+Input!C$225+Input!D$225</f>
        <v>0</v>
      </c>
      <c r="G748" s="17"/>
    </row>
    <row r="749" spans="1:7" x14ac:dyDescent="0.25">
      <c r="A749" s="4" t="s">
        <v>255</v>
      </c>
      <c r="B749" s="43">
        <f>B$435</f>
        <v>0</v>
      </c>
      <c r="C749" s="43">
        <f>C$435</f>
        <v>0</v>
      </c>
      <c r="D749" s="43">
        <f>D$435</f>
        <v>0</v>
      </c>
      <c r="E749" s="43">
        <f>E$435</f>
        <v>0</v>
      </c>
      <c r="F749" s="21">
        <f>Input!B$226+Input!C$226+Input!D$226</f>
        <v>0</v>
      </c>
      <c r="G749" s="17"/>
    </row>
    <row r="750" spans="1:7" x14ac:dyDescent="0.25">
      <c r="A750" s="29" t="s">
        <v>178</v>
      </c>
      <c r="G750" s="17"/>
    </row>
    <row r="751" spans="1:7" x14ac:dyDescent="0.25">
      <c r="A751" s="4" t="s">
        <v>178</v>
      </c>
      <c r="B751" s="43">
        <f>B$437</f>
        <v>5182207.9707031455</v>
      </c>
      <c r="C751" s="43">
        <f>C$437</f>
        <v>547633.1837918316</v>
      </c>
      <c r="D751" s="43">
        <f>D$437</f>
        <v>2221863.6442757901</v>
      </c>
      <c r="E751" s="43">
        <f>E$437</f>
        <v>2275999.9475043025</v>
      </c>
      <c r="F751" s="21">
        <f>Input!B$228+Input!C$228+Input!D$228</f>
        <v>512249.98082569428</v>
      </c>
      <c r="G751" s="17"/>
    </row>
    <row r="752" spans="1:7" x14ac:dyDescent="0.25">
      <c r="A752" s="4" t="s">
        <v>257</v>
      </c>
      <c r="B752" s="43">
        <f>B$438</f>
        <v>0</v>
      </c>
      <c r="C752" s="43">
        <f>C$438</f>
        <v>0</v>
      </c>
      <c r="D752" s="43">
        <f>D$438</f>
        <v>0</v>
      </c>
      <c r="E752" s="43">
        <f>E$438</f>
        <v>0</v>
      </c>
      <c r="F752" s="21">
        <f>Input!B$229+Input!C$229+Input!D$229</f>
        <v>0</v>
      </c>
      <c r="G752" s="17"/>
    </row>
    <row r="753" spans="1:7" x14ac:dyDescent="0.25">
      <c r="A753" s="4" t="s">
        <v>258</v>
      </c>
      <c r="B753" s="43">
        <f>B$439</f>
        <v>0</v>
      </c>
      <c r="C753" s="43">
        <f>C$439</f>
        <v>0</v>
      </c>
      <c r="D753" s="43">
        <f>D$439</f>
        <v>0</v>
      </c>
      <c r="E753" s="43">
        <f>E$439</f>
        <v>0</v>
      </c>
      <c r="F753" s="21">
        <f>Input!B$230+Input!C$230+Input!D$230</f>
        <v>0</v>
      </c>
      <c r="G753" s="17"/>
    </row>
    <row r="754" spans="1:7" x14ac:dyDescent="0.25">
      <c r="A754" s="29" t="s">
        <v>179</v>
      </c>
      <c r="G754" s="17"/>
    </row>
    <row r="755" spans="1:7" x14ac:dyDescent="0.25">
      <c r="A755" s="4" t="s">
        <v>179</v>
      </c>
      <c r="B755" s="43">
        <f>B$441</f>
        <v>26036368.774377845</v>
      </c>
      <c r="C755" s="43">
        <f>C$441</f>
        <v>2123511.3674183222</v>
      </c>
      <c r="D755" s="43">
        <f>D$441</f>
        <v>13906404.122032046</v>
      </c>
      <c r="E755" s="43">
        <f>E$441</f>
        <v>8825454.5265213009</v>
      </c>
      <c r="F755" s="21">
        <f>Input!B$232+Input!C$232+Input!D$232</f>
        <v>2236614.4618773088</v>
      </c>
      <c r="G755" s="17"/>
    </row>
    <row r="756" spans="1:7" x14ac:dyDescent="0.25">
      <c r="A756" s="4" t="s">
        <v>260</v>
      </c>
      <c r="B756" s="43">
        <f>B$442</f>
        <v>41240.123932165647</v>
      </c>
      <c r="C756" s="43">
        <f>C$442</f>
        <v>3159.847089395219</v>
      </c>
      <c r="D756" s="43">
        <f>D$442</f>
        <v>22097.117819661922</v>
      </c>
      <c r="E756" s="43">
        <f>E$442</f>
        <v>13132.534737556958</v>
      </c>
      <c r="F756" s="21">
        <f>Input!B$233+Input!C$233+Input!D$233</f>
        <v>3680.8365276223813</v>
      </c>
      <c r="G756" s="17"/>
    </row>
    <row r="757" spans="1:7" x14ac:dyDescent="0.25">
      <c r="A757" s="4" t="s">
        <v>261</v>
      </c>
      <c r="B757" s="43">
        <f>B$443</f>
        <v>503487.00017081609</v>
      </c>
      <c r="C757" s="43">
        <f>C$443</f>
        <v>37538.645992971564</v>
      </c>
      <c r="D757" s="43">
        <f>D$443</f>
        <v>266495.16433792957</v>
      </c>
      <c r="E757" s="43">
        <f>E$443</f>
        <v>156013.11030462111</v>
      </c>
      <c r="F757" s="21">
        <f>Input!B$234+Input!C$234+Input!D$234</f>
        <v>49363.633056916486</v>
      </c>
      <c r="G757" s="17"/>
    </row>
    <row r="758" spans="1:7" x14ac:dyDescent="0.25">
      <c r="A758" s="29" t="s">
        <v>180</v>
      </c>
      <c r="G758" s="17"/>
    </row>
    <row r="759" spans="1:7" x14ac:dyDescent="0.25">
      <c r="A759" s="4" t="s">
        <v>180</v>
      </c>
      <c r="B759" s="43">
        <f>B$445</f>
        <v>11242495.981269389</v>
      </c>
      <c r="C759" s="43">
        <f>C$445</f>
        <v>1120594.6161977639</v>
      </c>
      <c r="D759" s="43">
        <f>D$445</f>
        <v>6871872.8261357415</v>
      </c>
      <c r="E759" s="43">
        <f>E$445</f>
        <v>4657265.7814125642</v>
      </c>
      <c r="F759" s="21">
        <f>Input!B$236+Input!C$236+Input!D$236</f>
        <v>1297895.2148618158</v>
      </c>
      <c r="G759" s="17"/>
    </row>
    <row r="760" spans="1:7" x14ac:dyDescent="0.25">
      <c r="A760" s="4" t="s">
        <v>263</v>
      </c>
      <c r="B760" s="43">
        <f>B$446</f>
        <v>10158.184602308271</v>
      </c>
      <c r="C760" s="43">
        <f>C$446</f>
        <v>467.28051332249498</v>
      </c>
      <c r="D760" s="43">
        <f>D$446</f>
        <v>8273.7574438598531</v>
      </c>
      <c r="E760" s="43">
        <f>E$446</f>
        <v>1942.0489029314472</v>
      </c>
      <c r="F760" s="21">
        <f>Input!B$237+Input!C$237+Input!D$237</f>
        <v>692.41550000000007</v>
      </c>
      <c r="G760" s="17"/>
    </row>
    <row r="761" spans="1:7" x14ac:dyDescent="0.25">
      <c r="A761" s="29" t="s">
        <v>193</v>
      </c>
      <c r="G761" s="17"/>
    </row>
    <row r="762" spans="1:7" x14ac:dyDescent="0.25">
      <c r="A762" s="4" t="s">
        <v>193</v>
      </c>
      <c r="B762" s="43">
        <f>B$448</f>
        <v>25362148.663274631</v>
      </c>
      <c r="C762" s="43">
        <f>C$448</f>
        <v>3696719.7640256686</v>
      </c>
      <c r="D762" s="43">
        <f>D$448</f>
        <v>16418587.88878521</v>
      </c>
      <c r="E762" s="43">
        <f>E$448</f>
        <v>15363813.293057863</v>
      </c>
      <c r="F762" s="21">
        <f>Input!B$239+Input!C$239+Input!D$239</f>
        <v>5094855.1435059113</v>
      </c>
      <c r="G762" s="17"/>
    </row>
    <row r="763" spans="1:7" x14ac:dyDescent="0.25">
      <c r="A763" s="4" t="s">
        <v>265</v>
      </c>
      <c r="B763" s="43">
        <f>B$449</f>
        <v>128028.39411393522</v>
      </c>
      <c r="C763" s="43">
        <f>C$449</f>
        <v>12496.543223163628</v>
      </c>
      <c r="D763" s="43">
        <f>D$449</f>
        <v>101154.2496304643</v>
      </c>
      <c r="E763" s="43">
        <f>E$449</f>
        <v>51936.465067677855</v>
      </c>
      <c r="F763" s="21">
        <f>Input!B$240+Input!C$240+Input!D$240</f>
        <v>22115.600771416051</v>
      </c>
      <c r="G763" s="17"/>
    </row>
    <row r="764" spans="1:7" x14ac:dyDescent="0.25">
      <c r="A764" s="29" t="s">
        <v>215</v>
      </c>
      <c r="G764" s="17"/>
    </row>
    <row r="765" spans="1:7" x14ac:dyDescent="0.25">
      <c r="A765" s="4" t="s">
        <v>215</v>
      </c>
      <c r="B765" s="43">
        <f>B$451</f>
        <v>242553.62368823972</v>
      </c>
      <c r="C765" s="43">
        <f>C$451</f>
        <v>25426.042084009438</v>
      </c>
      <c r="D765" s="43">
        <f>D$451</f>
        <v>671891.32476685394</v>
      </c>
      <c r="E765" s="43">
        <f>E$451</f>
        <v>105672.32257138987</v>
      </c>
      <c r="F765" s="21">
        <f>Input!B$242+Input!C$242+Input!D$242</f>
        <v>36671.232710255303</v>
      </c>
      <c r="G765" s="17"/>
    </row>
    <row r="766" spans="1:7" x14ac:dyDescent="0.25">
      <c r="A766" s="4" t="s">
        <v>267</v>
      </c>
      <c r="B766" s="43">
        <f>B$452</f>
        <v>0</v>
      </c>
      <c r="C766" s="43">
        <f>C$452</f>
        <v>0</v>
      </c>
      <c r="D766" s="43">
        <f>D$452</f>
        <v>0</v>
      </c>
      <c r="E766" s="43">
        <f>E$452</f>
        <v>0</v>
      </c>
      <c r="F766" s="21">
        <f>Input!B$243+Input!C$243+Input!D$243</f>
        <v>0</v>
      </c>
      <c r="G766" s="17"/>
    </row>
    <row r="767" spans="1:7" x14ac:dyDescent="0.25">
      <c r="A767" s="4" t="s">
        <v>268</v>
      </c>
      <c r="B767" s="43">
        <f>B$453</f>
        <v>0</v>
      </c>
      <c r="C767" s="43">
        <f>C$453</f>
        <v>0</v>
      </c>
      <c r="D767" s="43">
        <f>D$453</f>
        <v>0</v>
      </c>
      <c r="E767" s="43">
        <f>E$453</f>
        <v>0</v>
      </c>
      <c r="F767" s="21">
        <f>Input!B$244+Input!C$244+Input!D$244</f>
        <v>0</v>
      </c>
      <c r="G767" s="17"/>
    </row>
    <row r="768" spans="1:7" x14ac:dyDescent="0.25">
      <c r="A768" s="29" t="s">
        <v>216</v>
      </c>
      <c r="G768" s="17"/>
    </row>
    <row r="769" spans="1:7" x14ac:dyDescent="0.25">
      <c r="A769" s="4" t="s">
        <v>216</v>
      </c>
      <c r="B769" s="43">
        <f>B$455</f>
        <v>77968.726475318996</v>
      </c>
      <c r="C769" s="43">
        <f>C$455</f>
        <v>10794.66900417718</v>
      </c>
      <c r="D769" s="43">
        <f>D$455</f>
        <v>188069.00292235985</v>
      </c>
      <c r="E769" s="43">
        <f>E$455</f>
        <v>44863.362582813686</v>
      </c>
      <c r="F769" s="21">
        <f>Input!B$246+Input!C$246+Input!D$246</f>
        <v>9979.0774254830903</v>
      </c>
      <c r="G769" s="17"/>
    </row>
    <row r="770" spans="1:7" x14ac:dyDescent="0.25">
      <c r="A770" s="4" t="s">
        <v>270</v>
      </c>
      <c r="B770" s="43">
        <f>B$456</f>
        <v>1168.0917292699824</v>
      </c>
      <c r="C770" s="43">
        <f>C$456</f>
        <v>161.72078414000816</v>
      </c>
      <c r="D770" s="43">
        <f>D$456</f>
        <v>2817.5636152682446</v>
      </c>
      <c r="E770" s="43">
        <f>E$456</f>
        <v>672.12233865091673</v>
      </c>
      <c r="F770" s="21">
        <f>Input!B$247+Input!C$247+Input!D$247</f>
        <v>149.50196486974099</v>
      </c>
      <c r="G770" s="17"/>
    </row>
    <row r="771" spans="1:7" x14ac:dyDescent="0.25">
      <c r="A771" s="4" t="s">
        <v>271</v>
      </c>
      <c r="B771" s="43">
        <f>B$457</f>
        <v>1353.1663482865288</v>
      </c>
      <c r="C771" s="43">
        <f>C$457</f>
        <v>187.34412498026444</v>
      </c>
      <c r="D771" s="43">
        <f>D$457</f>
        <v>3263.9836177251991</v>
      </c>
      <c r="E771" s="43">
        <f>E$457</f>
        <v>778.61464798014208</v>
      </c>
      <c r="F771" s="21">
        <f>Input!B$248+Input!C$248+Input!D$248</f>
        <v>173.189333333333</v>
      </c>
      <c r="G771" s="17"/>
    </row>
    <row r="772" spans="1:7" x14ac:dyDescent="0.25">
      <c r="A772" s="29" t="s">
        <v>217</v>
      </c>
      <c r="G772" s="17"/>
    </row>
    <row r="773" spans="1:7" x14ac:dyDescent="0.25">
      <c r="A773" s="4" t="s">
        <v>217</v>
      </c>
      <c r="B773" s="43">
        <f>B$459</f>
        <v>3769.1911106291054</v>
      </c>
      <c r="C773" s="43">
        <f>C$459</f>
        <v>546.15142636333053</v>
      </c>
      <c r="D773" s="43">
        <f>D$459</f>
        <v>5781.4055854784428</v>
      </c>
      <c r="E773" s="43">
        <f>E$459</f>
        <v>2269.8416650457211</v>
      </c>
      <c r="F773" s="21">
        <f>Input!B$250+Input!C$250+Input!D$250</f>
        <v>265.80818738323097</v>
      </c>
      <c r="G773" s="17"/>
    </row>
    <row r="774" spans="1:7" x14ac:dyDescent="0.25">
      <c r="A774" s="4" t="s">
        <v>273</v>
      </c>
      <c r="B774" s="43">
        <f>B$460</f>
        <v>0</v>
      </c>
      <c r="C774" s="43">
        <f>C$460</f>
        <v>0</v>
      </c>
      <c r="D774" s="43">
        <f>D$460</f>
        <v>0</v>
      </c>
      <c r="E774" s="43">
        <f>E$460</f>
        <v>0</v>
      </c>
      <c r="F774" s="21">
        <f>Input!B$251+Input!C$251+Input!D$251</f>
        <v>0</v>
      </c>
      <c r="G774" s="17"/>
    </row>
    <row r="775" spans="1:7" x14ac:dyDescent="0.25">
      <c r="A775" s="4" t="s">
        <v>274</v>
      </c>
      <c r="B775" s="43">
        <f>B$461</f>
        <v>0</v>
      </c>
      <c r="C775" s="43">
        <f>C$461</f>
        <v>0</v>
      </c>
      <c r="D775" s="43">
        <f>D$461</f>
        <v>0</v>
      </c>
      <c r="E775" s="43">
        <f>E$461</f>
        <v>0</v>
      </c>
      <c r="F775" s="21">
        <f>Input!B$252+Input!C$252+Input!D$252</f>
        <v>0</v>
      </c>
      <c r="G775" s="17"/>
    </row>
    <row r="776" spans="1:7" x14ac:dyDescent="0.25">
      <c r="A776" s="29" t="s">
        <v>218</v>
      </c>
      <c r="G776" s="17"/>
    </row>
    <row r="777" spans="1:7" x14ac:dyDescent="0.25">
      <c r="A777" s="4" t="s">
        <v>218</v>
      </c>
      <c r="B777" s="43">
        <f>B$463</f>
        <v>0.48566639225345132</v>
      </c>
      <c r="C777" s="43">
        <f>C$463</f>
        <v>3.6345213527571009E-2</v>
      </c>
      <c r="D777" s="43">
        <f>D$463</f>
        <v>1.4265035459039628</v>
      </c>
      <c r="E777" s="43">
        <f>E$463</f>
        <v>0.15105312557580289</v>
      </c>
      <c r="F777" s="21">
        <f>Input!B$254+Input!C$254+Input!D$254</f>
        <v>7.86378751503896E-2</v>
      </c>
      <c r="G777" s="17"/>
    </row>
    <row r="778" spans="1:7" x14ac:dyDescent="0.25">
      <c r="A778" s="4" t="s">
        <v>276</v>
      </c>
      <c r="B778" s="43">
        <f>B$464</f>
        <v>0</v>
      </c>
      <c r="C778" s="43">
        <f>C$464</f>
        <v>0</v>
      </c>
      <c r="D778" s="43">
        <f>D$464</f>
        <v>0</v>
      </c>
      <c r="E778" s="43">
        <f>E$464</f>
        <v>0</v>
      </c>
      <c r="F778" s="21">
        <f>Input!B$255+Input!C$255+Input!D$255</f>
        <v>0</v>
      </c>
      <c r="G778" s="17"/>
    </row>
    <row r="779" spans="1:7" x14ac:dyDescent="0.25">
      <c r="A779" s="4" t="s">
        <v>277</v>
      </c>
      <c r="B779" s="43">
        <f>B$465</f>
        <v>0</v>
      </c>
      <c r="C779" s="43">
        <f>C$465</f>
        <v>0</v>
      </c>
      <c r="D779" s="43">
        <f>D$465</f>
        <v>0</v>
      </c>
      <c r="E779" s="43">
        <f>E$465</f>
        <v>0</v>
      </c>
      <c r="F779" s="21">
        <f>Input!B$256+Input!C$256+Input!D$256</f>
        <v>0</v>
      </c>
      <c r="G779" s="17"/>
    </row>
    <row r="780" spans="1:7" x14ac:dyDescent="0.25">
      <c r="A780" s="29" t="s">
        <v>219</v>
      </c>
      <c r="G780" s="17"/>
    </row>
    <row r="781" spans="1:7" x14ac:dyDescent="0.25">
      <c r="A781" s="4" t="s">
        <v>219</v>
      </c>
      <c r="B781" s="43">
        <f>B$467</f>
        <v>2258922.577644933</v>
      </c>
      <c r="C781" s="43">
        <f>C$467</f>
        <v>309880.75252298056</v>
      </c>
      <c r="D781" s="43">
        <f>D$467</f>
        <v>5014469.1973335901</v>
      </c>
      <c r="E781" s="43">
        <f>E$467</f>
        <v>1287885.0247741647</v>
      </c>
      <c r="F781" s="21">
        <f>Input!B$258+Input!C$258+Input!D$258</f>
        <v>260654.37782110399</v>
      </c>
      <c r="G781" s="17"/>
    </row>
    <row r="782" spans="1:7" x14ac:dyDescent="0.25">
      <c r="A782" s="4" t="s">
        <v>279</v>
      </c>
      <c r="B782" s="43">
        <f>B$468</f>
        <v>0</v>
      </c>
      <c r="C782" s="43">
        <f>C$468</f>
        <v>0</v>
      </c>
      <c r="D782" s="43">
        <f>D$468</f>
        <v>0</v>
      </c>
      <c r="E782" s="43">
        <f>E$468</f>
        <v>0</v>
      </c>
      <c r="F782" s="21">
        <f>Input!B$259+Input!C$259+Input!D$259</f>
        <v>0</v>
      </c>
      <c r="G782" s="17"/>
    </row>
    <row r="783" spans="1:7" x14ac:dyDescent="0.25">
      <c r="A783" s="4" t="s">
        <v>280</v>
      </c>
      <c r="B783" s="43">
        <f>B$469</f>
        <v>0</v>
      </c>
      <c r="C783" s="43">
        <f>C$469</f>
        <v>0</v>
      </c>
      <c r="D783" s="43">
        <f>D$469</f>
        <v>0</v>
      </c>
      <c r="E783" s="43">
        <f>E$469</f>
        <v>0</v>
      </c>
      <c r="F783" s="21">
        <f>Input!B$260+Input!C$260+Input!D$260</f>
        <v>0</v>
      </c>
      <c r="G783" s="17"/>
    </row>
    <row r="784" spans="1:7" x14ac:dyDescent="0.25">
      <c r="A784" s="29" t="s">
        <v>181</v>
      </c>
      <c r="G784" s="17"/>
    </row>
    <row r="785" spans="1:7" x14ac:dyDescent="0.25">
      <c r="A785" s="4" t="s">
        <v>181</v>
      </c>
      <c r="B785" s="43">
        <f>B$471</f>
        <v>-4568.8234024026515</v>
      </c>
      <c r="C785" s="43">
        <f>C$471</f>
        <v>-481.03084325364995</v>
      </c>
      <c r="D785" s="43">
        <f>D$471</f>
        <v>-1905.2435092761098</v>
      </c>
      <c r="E785" s="43">
        <f>E$471</f>
        <v>0</v>
      </c>
      <c r="F785" s="21">
        <f>Input!B$262+Input!C$262+Input!D$262</f>
        <v>762.555542901438</v>
      </c>
      <c r="G785" s="17"/>
    </row>
    <row r="786" spans="1:7" x14ac:dyDescent="0.25">
      <c r="A786" s="4" t="s">
        <v>282</v>
      </c>
      <c r="B786" s="43">
        <f>B$472</f>
        <v>0</v>
      </c>
      <c r="C786" s="43">
        <f>C$472</f>
        <v>0</v>
      </c>
      <c r="D786" s="43">
        <f>D$472</f>
        <v>0</v>
      </c>
      <c r="E786" s="43">
        <f>E$472</f>
        <v>0</v>
      </c>
      <c r="F786" s="21">
        <f>Input!B$263+Input!C$263+Input!D$263</f>
        <v>0</v>
      </c>
      <c r="G786" s="17"/>
    </row>
    <row r="787" spans="1:7" x14ac:dyDescent="0.25">
      <c r="A787" s="4" t="s">
        <v>283</v>
      </c>
      <c r="B787" s="43">
        <f>B$473</f>
        <v>0</v>
      </c>
      <c r="C787" s="43">
        <f>C$473</f>
        <v>0</v>
      </c>
      <c r="D787" s="43">
        <f>D$473</f>
        <v>0</v>
      </c>
      <c r="E787" s="43">
        <f>E$473</f>
        <v>0</v>
      </c>
      <c r="F787" s="21">
        <f>Input!B$264+Input!C$264+Input!D$264</f>
        <v>0</v>
      </c>
      <c r="G787" s="17"/>
    </row>
    <row r="788" spans="1:7" x14ac:dyDescent="0.25">
      <c r="A788" s="29" t="s">
        <v>182</v>
      </c>
      <c r="G788" s="17"/>
    </row>
    <row r="789" spans="1:7" x14ac:dyDescent="0.25">
      <c r="A789" s="4" t="s">
        <v>182</v>
      </c>
      <c r="B789" s="43">
        <f>B$475</f>
        <v>0</v>
      </c>
      <c r="C789" s="43">
        <f>C$475</f>
        <v>0</v>
      </c>
      <c r="D789" s="43">
        <f>D$475</f>
        <v>0</v>
      </c>
      <c r="E789" s="43">
        <f>E$475</f>
        <v>0</v>
      </c>
      <c r="F789" s="21">
        <f>Input!B$266+Input!C$266+Input!D$266</f>
        <v>0</v>
      </c>
      <c r="G789" s="17"/>
    </row>
    <row r="790" spans="1:7" x14ac:dyDescent="0.25">
      <c r="A790" s="4" t="s">
        <v>285</v>
      </c>
      <c r="B790" s="43">
        <f>B$476</f>
        <v>0</v>
      </c>
      <c r="C790" s="43">
        <f>C$476</f>
        <v>0</v>
      </c>
      <c r="D790" s="43">
        <f>D$476</f>
        <v>0</v>
      </c>
      <c r="E790" s="43">
        <f>E$476</f>
        <v>0</v>
      </c>
      <c r="F790" s="21">
        <f>Input!B$267+Input!C$267+Input!D$267</f>
        <v>0</v>
      </c>
      <c r="G790" s="17"/>
    </row>
    <row r="791" spans="1:7" x14ac:dyDescent="0.25">
      <c r="A791" s="29" t="s">
        <v>183</v>
      </c>
      <c r="G791" s="17"/>
    </row>
    <row r="792" spans="1:7" x14ac:dyDescent="0.25">
      <c r="A792" s="4" t="s">
        <v>183</v>
      </c>
      <c r="B792" s="43">
        <f>B$478</f>
        <v>-172981.95562348646</v>
      </c>
      <c r="C792" s="43">
        <f>C$478</f>
        <v>-18223.097046057588</v>
      </c>
      <c r="D792" s="43">
        <f>D$478</f>
        <v>-72074.449442027704</v>
      </c>
      <c r="E792" s="43">
        <f>E$478</f>
        <v>0</v>
      </c>
      <c r="F792" s="21">
        <f>Input!B$269+Input!C$269+Input!D$269</f>
        <v>29085.818544960101</v>
      </c>
      <c r="G792" s="17"/>
    </row>
    <row r="793" spans="1:7" x14ac:dyDescent="0.25">
      <c r="A793" s="4" t="s">
        <v>287</v>
      </c>
      <c r="B793" s="43">
        <f>B$479</f>
        <v>0</v>
      </c>
      <c r="C793" s="43">
        <f>C$479</f>
        <v>0</v>
      </c>
      <c r="D793" s="43">
        <f>D$479</f>
        <v>0</v>
      </c>
      <c r="E793" s="43">
        <f>E$479</f>
        <v>0</v>
      </c>
      <c r="F793" s="21">
        <f>Input!B$270+Input!C$270+Input!D$270</f>
        <v>0</v>
      </c>
      <c r="G793" s="17"/>
    </row>
    <row r="794" spans="1:7" x14ac:dyDescent="0.25">
      <c r="A794" s="4" t="s">
        <v>288</v>
      </c>
      <c r="B794" s="43">
        <f>B$480</f>
        <v>0</v>
      </c>
      <c r="C794" s="43">
        <f>C$480</f>
        <v>0</v>
      </c>
      <c r="D794" s="43">
        <f>D$480</f>
        <v>0</v>
      </c>
      <c r="E794" s="43">
        <f>E$480</f>
        <v>0</v>
      </c>
      <c r="F794" s="21">
        <f>Input!B$271+Input!C$271+Input!D$271</f>
        <v>0</v>
      </c>
      <c r="G794" s="17"/>
    </row>
    <row r="795" spans="1:7" x14ac:dyDescent="0.25">
      <c r="A795" s="29" t="s">
        <v>184</v>
      </c>
      <c r="G795" s="17"/>
    </row>
    <row r="796" spans="1:7" x14ac:dyDescent="0.25">
      <c r="A796" s="4" t="s">
        <v>184</v>
      </c>
      <c r="B796" s="43">
        <f>B$482</f>
        <v>-13409.081431511866</v>
      </c>
      <c r="C796" s="43">
        <f>C$482</f>
        <v>-1338.1916615675968</v>
      </c>
      <c r="D796" s="43">
        <f>D$482</f>
        <v>-5593.9144003989813</v>
      </c>
      <c r="E796" s="43">
        <f>E$482</f>
        <v>0</v>
      </c>
      <c r="F796" s="21">
        <f>Input!B$273+Input!C$273+Input!D$273</f>
        <v>2500.3566732867102</v>
      </c>
      <c r="G796" s="17"/>
    </row>
    <row r="797" spans="1:7" x14ac:dyDescent="0.25">
      <c r="A797" s="4" t="s">
        <v>290</v>
      </c>
      <c r="B797" s="43">
        <f>B$483</f>
        <v>-306.8912264582209</v>
      </c>
      <c r="C797" s="43">
        <f>C$483</f>
        <v>-30.148685639557673</v>
      </c>
      <c r="D797" s="43">
        <f>D$483</f>
        <v>-128.03907233559008</v>
      </c>
      <c r="E797" s="43">
        <f>E$483</f>
        <v>0</v>
      </c>
      <c r="F797" s="21">
        <f>Input!B$274+Input!C$274+Input!D$274</f>
        <v>36.711099999999995</v>
      </c>
      <c r="G797" s="17"/>
    </row>
    <row r="798" spans="1:7" x14ac:dyDescent="0.25">
      <c r="A798" s="4" t="s">
        <v>291</v>
      </c>
      <c r="B798" s="43">
        <f>B$484</f>
        <v>0</v>
      </c>
      <c r="C798" s="43">
        <f>C$484</f>
        <v>0</v>
      </c>
      <c r="D798" s="43">
        <f>D$484</f>
        <v>0</v>
      </c>
      <c r="E798" s="43">
        <f>E$484</f>
        <v>0</v>
      </c>
      <c r="F798" s="21">
        <f>Input!B$275+Input!C$275+Input!D$275</f>
        <v>0</v>
      </c>
      <c r="G798" s="17"/>
    </row>
    <row r="799" spans="1:7" x14ac:dyDescent="0.25">
      <c r="A799" s="29" t="s">
        <v>185</v>
      </c>
      <c r="G799" s="17"/>
    </row>
    <row r="800" spans="1:7" x14ac:dyDescent="0.25">
      <c r="A800" s="4" t="s">
        <v>185</v>
      </c>
      <c r="B800" s="43">
        <f>B$486</f>
        <v>-6732.3577689920749</v>
      </c>
      <c r="C800" s="43">
        <f>C$486</f>
        <v>-843.84626045246989</v>
      </c>
      <c r="D800" s="43">
        <f>D$486</f>
        <v>-2671.3967876319675</v>
      </c>
      <c r="E800" s="43">
        <f>E$486</f>
        <v>0</v>
      </c>
      <c r="F800" s="21">
        <f>Input!B$277+Input!C$277+Input!D$277</f>
        <v>1410.5414699999999</v>
      </c>
      <c r="G800" s="17"/>
    </row>
    <row r="801" spans="1:7" x14ac:dyDescent="0.25">
      <c r="A801" s="4" t="s">
        <v>293</v>
      </c>
      <c r="B801" s="43">
        <f>B$487</f>
        <v>0</v>
      </c>
      <c r="C801" s="43">
        <f>C$487</f>
        <v>0</v>
      </c>
      <c r="D801" s="43">
        <f>D$487</f>
        <v>0</v>
      </c>
      <c r="E801" s="43">
        <f>E$487</f>
        <v>0</v>
      </c>
      <c r="F801" s="21">
        <f>Input!B$278+Input!C$278+Input!D$278</f>
        <v>0</v>
      </c>
      <c r="G801" s="17"/>
    </row>
    <row r="802" spans="1:7" x14ac:dyDescent="0.25">
      <c r="A802" s="29" t="s">
        <v>186</v>
      </c>
      <c r="G802" s="17"/>
    </row>
    <row r="803" spans="1:7" x14ac:dyDescent="0.25">
      <c r="A803" s="4" t="s">
        <v>186</v>
      </c>
      <c r="B803" s="43">
        <f>B$489</f>
        <v>-1466.6364384958094</v>
      </c>
      <c r="C803" s="43">
        <f>C$489</f>
        <v>-210.70315225614644</v>
      </c>
      <c r="D803" s="43">
        <f>D$489</f>
        <v>-537.6775398697639</v>
      </c>
      <c r="E803" s="43">
        <f>E$489</f>
        <v>0</v>
      </c>
      <c r="F803" s="21">
        <f>Input!B$280+Input!C$280+Input!D$280</f>
        <v>391.24710000000005</v>
      </c>
      <c r="G803" s="17"/>
    </row>
    <row r="804" spans="1:7" x14ac:dyDescent="0.25">
      <c r="A804" s="4" t="s">
        <v>295</v>
      </c>
      <c r="B804" s="43">
        <f>B$490</f>
        <v>0</v>
      </c>
      <c r="C804" s="43">
        <f>C$490</f>
        <v>0</v>
      </c>
      <c r="D804" s="43">
        <f>D$490</f>
        <v>0</v>
      </c>
      <c r="E804" s="43">
        <f>E$490</f>
        <v>0</v>
      </c>
      <c r="F804" s="21">
        <f>Input!B$281+Input!C$281+Input!D$281</f>
        <v>0</v>
      </c>
      <c r="G804" s="17"/>
    </row>
    <row r="805" spans="1:7" x14ac:dyDescent="0.25">
      <c r="A805" s="29" t="s">
        <v>194</v>
      </c>
      <c r="G805" s="17"/>
    </row>
    <row r="806" spans="1:7" x14ac:dyDescent="0.25">
      <c r="A806" s="4" t="s">
        <v>194</v>
      </c>
      <c r="B806" s="43">
        <f>B$492</f>
        <v>-1157995.2136481856</v>
      </c>
      <c r="C806" s="43">
        <f>C$492</f>
        <v>-208327.63184817584</v>
      </c>
      <c r="D806" s="43">
        <f>D$492</f>
        <v>-475252.90843382641</v>
      </c>
      <c r="E806" s="43">
        <f>E$492</f>
        <v>0</v>
      </c>
      <c r="F806" s="21">
        <f>Input!B$283+Input!C$283+Input!D$283</f>
        <v>352888.28028544399</v>
      </c>
      <c r="G806" s="17"/>
    </row>
    <row r="807" spans="1:7" x14ac:dyDescent="0.25">
      <c r="A807" s="4" t="s">
        <v>297</v>
      </c>
      <c r="B807" s="43">
        <f>B$493</f>
        <v>0</v>
      </c>
      <c r="C807" s="43">
        <f>C$493</f>
        <v>0</v>
      </c>
      <c r="D807" s="43">
        <f>D$493</f>
        <v>0</v>
      </c>
      <c r="E807" s="43">
        <f>E$493</f>
        <v>0</v>
      </c>
      <c r="F807" s="21">
        <f>Input!B$284+Input!C$284+Input!D$284</f>
        <v>0</v>
      </c>
      <c r="G807" s="17"/>
    </row>
    <row r="808" spans="1:7" x14ac:dyDescent="0.25">
      <c r="A808" s="29" t="s">
        <v>195</v>
      </c>
      <c r="G808" s="17"/>
    </row>
    <row r="809" spans="1:7" x14ac:dyDescent="0.25">
      <c r="A809" s="4" t="s">
        <v>195</v>
      </c>
      <c r="B809" s="43">
        <f>B$495</f>
        <v>-1637305.711933441</v>
      </c>
      <c r="C809" s="43">
        <f>C$495</f>
        <v>-282975.80832548719</v>
      </c>
      <c r="D809" s="43">
        <f>D$495</f>
        <v>-674228.01955826604</v>
      </c>
      <c r="E809" s="43">
        <f>E$495</f>
        <v>0</v>
      </c>
      <c r="F809" s="21">
        <f>Input!B$286+Input!C$286+Input!D$286</f>
        <v>535991.72393183364</v>
      </c>
      <c r="G809" s="17"/>
    </row>
    <row r="810" spans="1:7" x14ac:dyDescent="0.25">
      <c r="A810" s="4" t="s">
        <v>299</v>
      </c>
      <c r="B810" s="43">
        <f>B$496</f>
        <v>0</v>
      </c>
      <c r="C810" s="43">
        <f>C$496</f>
        <v>0</v>
      </c>
      <c r="D810" s="43">
        <f>D$496</f>
        <v>0</v>
      </c>
      <c r="E810" s="43">
        <f>E$496</f>
        <v>0</v>
      </c>
      <c r="F810" s="21">
        <f>Input!B$287+Input!C$287+Input!D$287</f>
        <v>0</v>
      </c>
      <c r="G810" s="17"/>
    </row>
    <row r="812" spans="1:7" ht="21" customHeight="1" x14ac:dyDescent="0.3">
      <c r="A812" s="1" t="s">
        <v>1581</v>
      </c>
    </row>
    <row r="813" spans="1:7" x14ac:dyDescent="0.25">
      <c r="A813" s="2" t="s">
        <v>350</v>
      </c>
    </row>
    <row r="814" spans="1:7" x14ac:dyDescent="0.25">
      <c r="A814" s="32" t="s">
        <v>1582</v>
      </c>
    </row>
    <row r="815" spans="1:7" x14ac:dyDescent="0.25">
      <c r="A815" s="32" t="s">
        <v>1583</v>
      </c>
    </row>
    <row r="816" spans="1:7" x14ac:dyDescent="0.25">
      <c r="A816" s="32" t="s">
        <v>1584</v>
      </c>
    </row>
    <row r="817" spans="1:7" x14ac:dyDescent="0.25">
      <c r="A817" s="32" t="s">
        <v>1585</v>
      </c>
    </row>
    <row r="818" spans="1:7" x14ac:dyDescent="0.25">
      <c r="A818" s="32" t="s">
        <v>1586</v>
      </c>
    </row>
    <row r="819" spans="1:7" x14ac:dyDescent="0.25">
      <c r="A819" s="33" t="s">
        <v>353</v>
      </c>
      <c r="B819" s="33" t="s">
        <v>484</v>
      </c>
      <c r="C819" s="33" t="s">
        <v>484</v>
      </c>
      <c r="D819" s="33" t="s">
        <v>484</v>
      </c>
      <c r="E819" s="33" t="s">
        <v>484</v>
      </c>
      <c r="F819" s="33" t="s">
        <v>484</v>
      </c>
    </row>
    <row r="820" spans="1:7" x14ac:dyDescent="0.25">
      <c r="A820" s="33" t="s">
        <v>356</v>
      </c>
      <c r="B820" s="33" t="s">
        <v>534</v>
      </c>
      <c r="C820" s="33" t="s">
        <v>535</v>
      </c>
      <c r="D820" s="33" t="s">
        <v>536</v>
      </c>
      <c r="E820" s="33" t="s">
        <v>537</v>
      </c>
      <c r="F820" s="33" t="s">
        <v>486</v>
      </c>
    </row>
    <row r="822" spans="1:7" ht="75" x14ac:dyDescent="0.25">
      <c r="B822" s="15" t="s">
        <v>1587</v>
      </c>
      <c r="C822" s="15" t="s">
        <v>1588</v>
      </c>
      <c r="D822" s="15" t="s">
        <v>1589</v>
      </c>
      <c r="E822" s="15" t="s">
        <v>1590</v>
      </c>
      <c r="F822" s="15" t="s">
        <v>1591</v>
      </c>
    </row>
    <row r="823" spans="1:7" x14ac:dyDescent="0.25">
      <c r="A823" s="4" t="s">
        <v>171</v>
      </c>
      <c r="B823" s="21">
        <f>SUM(B$717:B$719)</f>
        <v>73646628.969911829</v>
      </c>
      <c r="C823" s="21">
        <f>SUM(C$717:C$719)</f>
        <v>8256790.5070316354</v>
      </c>
      <c r="D823" s="21">
        <f>SUM(D$717:D$719)</f>
        <v>53799397.426802367</v>
      </c>
      <c r="E823" s="21">
        <f>SUM(E$717:E$719)</f>
        <v>34315770.696067765</v>
      </c>
      <c r="F823" s="21">
        <f>SUM(F$717:F$719)</f>
        <v>6716811.877873606</v>
      </c>
      <c r="G823" s="17"/>
    </row>
    <row r="824" spans="1:7" x14ac:dyDescent="0.25">
      <c r="A824" s="4" t="s">
        <v>1567</v>
      </c>
      <c r="B824" s="21">
        <f>SUM(B$721:B$726)</f>
        <v>6833340.5088809272</v>
      </c>
      <c r="C824" s="21">
        <f>SUM(C$721:C$726)</f>
        <v>715817.14980284183</v>
      </c>
      <c r="D824" s="21">
        <f>SUM(D$721:D$726)</f>
        <v>4883782.8777545802</v>
      </c>
      <c r="E824" s="21">
        <f>SUM(E$721:E$726)</f>
        <v>2974983.700025829</v>
      </c>
      <c r="F824" s="21">
        <f>SUM(F$721:F$726)</f>
        <v>971317.94829965127</v>
      </c>
      <c r="G824" s="17"/>
    </row>
    <row r="825" spans="1:7" x14ac:dyDescent="0.25">
      <c r="A825" s="4" t="s">
        <v>173</v>
      </c>
      <c r="B825" s="21">
        <f>SUM(B$728:B$730)</f>
        <v>16966715.471251264</v>
      </c>
      <c r="C825" s="21">
        <f>SUM(C$728:C$730)</f>
        <v>1742801.1863382447</v>
      </c>
      <c r="D825" s="21">
        <f>SUM(D$728:D$730)</f>
        <v>8471974.0598588847</v>
      </c>
      <c r="E825" s="21">
        <f>SUM(E$728:E$730)</f>
        <v>7243197.6841711747</v>
      </c>
      <c r="F825" s="21">
        <f>SUM(F$728:F$730)</f>
        <v>1580399.15694382</v>
      </c>
      <c r="G825" s="17"/>
    </row>
    <row r="826" spans="1:7" ht="30" x14ac:dyDescent="0.25">
      <c r="A826" s="4" t="s">
        <v>1568</v>
      </c>
      <c r="B826" s="21">
        <f>SUM(B$732:B$737)</f>
        <v>6478624.8202748811</v>
      </c>
      <c r="C826" s="21">
        <f>SUM(C$732:C$737)</f>
        <v>661797.08236157661</v>
      </c>
      <c r="D826" s="21">
        <f>SUM(D$732:D$737)</f>
        <v>3078829.3251220034</v>
      </c>
      <c r="E826" s="21">
        <f>SUM(E$732:E$737)</f>
        <v>2750472.7056240826</v>
      </c>
      <c r="F826" s="21">
        <f>SUM(F$732:F$737)</f>
        <v>809740.87317044509</v>
      </c>
      <c r="G826" s="17"/>
    </row>
    <row r="827" spans="1:7" x14ac:dyDescent="0.25">
      <c r="A827" s="4" t="s">
        <v>175</v>
      </c>
      <c r="B827" s="21">
        <f>SUM(B$739:B$741)</f>
        <v>0</v>
      </c>
      <c r="C827" s="21">
        <f>SUM(C$739:C$741)</f>
        <v>0</v>
      </c>
      <c r="D827" s="21">
        <f>SUM(D$739:D$741)</f>
        <v>0</v>
      </c>
      <c r="E827" s="21">
        <f>SUM(E$739:E$741)</f>
        <v>0</v>
      </c>
      <c r="F827" s="21">
        <f>SUM(F$739:F$741)</f>
        <v>0</v>
      </c>
      <c r="G827" s="17"/>
    </row>
    <row r="828" spans="1:7" x14ac:dyDescent="0.25">
      <c r="A828" s="4" t="s">
        <v>176</v>
      </c>
      <c r="B828" s="21">
        <f>SUM(B$743:B$743)</f>
        <v>0</v>
      </c>
      <c r="C828" s="21">
        <f>SUM(C$743:C$743)</f>
        <v>0</v>
      </c>
      <c r="D828" s="21">
        <f>SUM(D$743:D$743)</f>
        <v>0</v>
      </c>
      <c r="E828" s="21">
        <f>SUM(E$743:E$743)</f>
        <v>0</v>
      </c>
      <c r="F828" s="21">
        <f>SUM(F$743:F$743)</f>
        <v>0</v>
      </c>
      <c r="G828" s="17"/>
    </row>
    <row r="829" spans="1:7" x14ac:dyDescent="0.25">
      <c r="A829" s="4" t="s">
        <v>192</v>
      </c>
      <c r="B829" s="21">
        <f>SUM(B$745:B$745)</f>
        <v>37146.278276803554</v>
      </c>
      <c r="C829" s="21">
        <f>SUM(C$745:C$745)</f>
        <v>6362.8028065921671</v>
      </c>
      <c r="D829" s="21">
        <f>SUM(D$745:D$745)</f>
        <v>38732.21127700981</v>
      </c>
      <c r="E829" s="21">
        <f>SUM(E$745:E$745)</f>
        <v>26444.231800403199</v>
      </c>
      <c r="F829" s="21">
        <f>SUM(F$745:F$745)</f>
        <v>7293.5860311247598</v>
      </c>
      <c r="G829" s="17"/>
    </row>
    <row r="830" spans="1:7" x14ac:dyDescent="0.25">
      <c r="A830" s="4" t="s">
        <v>177</v>
      </c>
      <c r="B830" s="21">
        <f>SUM(B$747:B$749)</f>
        <v>0</v>
      </c>
      <c r="C830" s="21">
        <f>SUM(C$747:C$749)</f>
        <v>0</v>
      </c>
      <c r="D830" s="21">
        <f>SUM(D$747:D$749)</f>
        <v>0</v>
      </c>
      <c r="E830" s="21">
        <f>SUM(E$747:E$749)</f>
        <v>0</v>
      </c>
      <c r="F830" s="21">
        <f>SUM(F$747:F$749)</f>
        <v>0</v>
      </c>
      <c r="G830" s="17"/>
    </row>
    <row r="831" spans="1:7" x14ac:dyDescent="0.25">
      <c r="A831" s="4" t="s">
        <v>178</v>
      </c>
      <c r="B831" s="21">
        <f>SUM(B$751:B$753)</f>
        <v>5182207.9707031455</v>
      </c>
      <c r="C831" s="21">
        <f>SUM(C$751:C$753)</f>
        <v>547633.1837918316</v>
      </c>
      <c r="D831" s="21">
        <f>SUM(D$751:D$753)</f>
        <v>2221863.6442757901</v>
      </c>
      <c r="E831" s="21">
        <f>SUM(E$751:E$753)</f>
        <v>2275999.9475043025</v>
      </c>
      <c r="F831" s="21">
        <f>SUM(F$751:F$753)</f>
        <v>512249.98082569428</v>
      </c>
      <c r="G831" s="17"/>
    </row>
    <row r="832" spans="1:7" x14ac:dyDescent="0.25">
      <c r="A832" s="4" t="s">
        <v>179</v>
      </c>
      <c r="B832" s="21">
        <f>SUM(B$755:B$757)</f>
        <v>26581095.898480825</v>
      </c>
      <c r="C832" s="21">
        <f>SUM(C$755:C$757)</f>
        <v>2164209.8605006891</v>
      </c>
      <c r="D832" s="21">
        <f>SUM(D$755:D$757)</f>
        <v>14194996.404189637</v>
      </c>
      <c r="E832" s="21">
        <f>SUM(E$755:E$757)</f>
        <v>8994600.17156348</v>
      </c>
      <c r="F832" s="21">
        <f>SUM(F$755:F$757)</f>
        <v>2289658.9314618474</v>
      </c>
      <c r="G832" s="17"/>
    </row>
    <row r="833" spans="1:7" x14ac:dyDescent="0.25">
      <c r="A833" s="4" t="s">
        <v>180</v>
      </c>
      <c r="B833" s="21">
        <f>SUM(B$759:B$760)</f>
        <v>11252654.165871698</v>
      </c>
      <c r="C833" s="21">
        <f>SUM(C$759:C$760)</f>
        <v>1121061.8967110864</v>
      </c>
      <c r="D833" s="21">
        <f>SUM(D$759:D$760)</f>
        <v>6880146.5835796017</v>
      </c>
      <c r="E833" s="21">
        <f>SUM(E$759:E$760)</f>
        <v>4659207.8303154958</v>
      </c>
      <c r="F833" s="21">
        <f>SUM(F$759:F$760)</f>
        <v>1298587.6303618157</v>
      </c>
      <c r="G833" s="17"/>
    </row>
    <row r="834" spans="1:7" x14ac:dyDescent="0.25">
      <c r="A834" s="4" t="s">
        <v>193</v>
      </c>
      <c r="B834" s="21">
        <f>SUM(B$762:B$763)</f>
        <v>25490177.057388566</v>
      </c>
      <c r="C834" s="21">
        <f>SUM(C$762:C$763)</f>
        <v>3709216.3072488322</v>
      </c>
      <c r="D834" s="21">
        <f>SUM(D$762:D$763)</f>
        <v>16519742.138415674</v>
      </c>
      <c r="E834" s="21">
        <f>SUM(E$762:E$763)</f>
        <v>15415749.75812554</v>
      </c>
      <c r="F834" s="21">
        <f>SUM(F$762:F$763)</f>
        <v>5116970.7442773273</v>
      </c>
      <c r="G834" s="17"/>
    </row>
    <row r="835" spans="1:7" x14ac:dyDescent="0.25">
      <c r="A835" s="4" t="s">
        <v>215</v>
      </c>
      <c r="B835" s="21">
        <f>SUM(B$765:B$767)</f>
        <v>242553.62368823972</v>
      </c>
      <c r="C835" s="21">
        <f>SUM(C$765:C$767)</f>
        <v>25426.042084009438</v>
      </c>
      <c r="D835" s="21">
        <f>SUM(D$765:D$767)</f>
        <v>671891.32476685394</v>
      </c>
      <c r="E835" s="21">
        <f>SUM(E$765:E$767)</f>
        <v>105672.32257138987</v>
      </c>
      <c r="F835" s="21">
        <f>SUM(F$765:F$767)</f>
        <v>36671.232710255303</v>
      </c>
      <c r="G835" s="17"/>
    </row>
    <row r="836" spans="1:7" x14ac:dyDescent="0.25">
      <c r="A836" s="4" t="s">
        <v>216</v>
      </c>
      <c r="B836" s="21">
        <f>SUM(B$769:B$771)</f>
        <v>80489.98455287551</v>
      </c>
      <c r="C836" s="21">
        <f>SUM(C$769:C$771)</f>
        <v>11143.733913297452</v>
      </c>
      <c r="D836" s="21">
        <f>SUM(D$769:D$771)</f>
        <v>194150.5501553533</v>
      </c>
      <c r="E836" s="21">
        <f>SUM(E$769:E$771)</f>
        <v>46314.099569444741</v>
      </c>
      <c r="F836" s="21">
        <f>SUM(F$769:F$771)</f>
        <v>10301.768723686166</v>
      </c>
      <c r="G836" s="17"/>
    </row>
    <row r="837" spans="1:7" x14ac:dyDescent="0.25">
      <c r="A837" s="4" t="s">
        <v>217</v>
      </c>
      <c r="B837" s="21">
        <f>SUM(B$773:B$775)</f>
        <v>3769.1911106291054</v>
      </c>
      <c r="C837" s="21">
        <f>SUM(C$773:C$775)</f>
        <v>546.15142636333053</v>
      </c>
      <c r="D837" s="21">
        <f>SUM(D$773:D$775)</f>
        <v>5781.4055854784428</v>
      </c>
      <c r="E837" s="21">
        <f>SUM(E$773:E$775)</f>
        <v>2269.8416650457211</v>
      </c>
      <c r="F837" s="21">
        <f>SUM(F$773:F$775)</f>
        <v>265.80818738323097</v>
      </c>
      <c r="G837" s="17"/>
    </row>
    <row r="838" spans="1:7" x14ac:dyDescent="0.25">
      <c r="A838" s="4" t="s">
        <v>218</v>
      </c>
      <c r="B838" s="21">
        <f>SUM(B$777:B$779)</f>
        <v>0.48566639225345132</v>
      </c>
      <c r="C838" s="21">
        <f>SUM(C$777:C$779)</f>
        <v>3.6345213527571009E-2</v>
      </c>
      <c r="D838" s="21">
        <f>SUM(D$777:D$779)</f>
        <v>1.4265035459039628</v>
      </c>
      <c r="E838" s="21">
        <f>SUM(E$777:E$779)</f>
        <v>0.15105312557580289</v>
      </c>
      <c r="F838" s="21">
        <f>SUM(F$777:F$779)</f>
        <v>7.86378751503896E-2</v>
      </c>
      <c r="G838" s="17"/>
    </row>
    <row r="839" spans="1:7" x14ac:dyDescent="0.25">
      <c r="A839" s="4" t="s">
        <v>219</v>
      </c>
      <c r="B839" s="21">
        <f>SUM(B$781:B$783)</f>
        <v>2258922.577644933</v>
      </c>
      <c r="C839" s="21">
        <f>SUM(C$781:C$783)</f>
        <v>309880.75252298056</v>
      </c>
      <c r="D839" s="21">
        <f>SUM(D$781:D$783)</f>
        <v>5014469.1973335901</v>
      </c>
      <c r="E839" s="21">
        <f>SUM(E$781:E$783)</f>
        <v>1287885.0247741647</v>
      </c>
      <c r="F839" s="21">
        <f>SUM(F$781:F$783)</f>
        <v>260654.37782110399</v>
      </c>
      <c r="G839" s="17"/>
    </row>
    <row r="840" spans="1:7" x14ac:dyDescent="0.25">
      <c r="A840" s="4" t="s">
        <v>181</v>
      </c>
      <c r="B840" s="21">
        <f>SUM(B$785:B$787)</f>
        <v>-4568.8234024026515</v>
      </c>
      <c r="C840" s="21">
        <f>SUM(C$785:C$787)</f>
        <v>-481.03084325364995</v>
      </c>
      <c r="D840" s="21">
        <f>SUM(D$785:D$787)</f>
        <v>-1905.2435092761098</v>
      </c>
      <c r="E840" s="21">
        <f>SUM(E$785:E$787)</f>
        <v>0</v>
      </c>
      <c r="F840" s="21">
        <f>SUM(F$785:F$787)</f>
        <v>762.555542901438</v>
      </c>
      <c r="G840" s="17"/>
    </row>
    <row r="841" spans="1:7" x14ac:dyDescent="0.25">
      <c r="A841" s="4" t="s">
        <v>182</v>
      </c>
      <c r="B841" s="21">
        <f>SUM(B$789:B$790)</f>
        <v>0</v>
      </c>
      <c r="C841" s="21">
        <f>SUM(C$789:C$790)</f>
        <v>0</v>
      </c>
      <c r="D841" s="21">
        <f>SUM(D$789:D$790)</f>
        <v>0</v>
      </c>
      <c r="E841" s="21">
        <f>SUM(E$789:E$790)</f>
        <v>0</v>
      </c>
      <c r="F841" s="21">
        <f>SUM(F$789:F$790)</f>
        <v>0</v>
      </c>
      <c r="G841" s="17"/>
    </row>
    <row r="842" spans="1:7" x14ac:dyDescent="0.25">
      <c r="A842" s="4" t="s">
        <v>183</v>
      </c>
      <c r="B842" s="21">
        <f>SUM(B$792:B$794)</f>
        <v>-172981.95562348646</v>
      </c>
      <c r="C842" s="21">
        <f>SUM(C$792:C$794)</f>
        <v>-18223.097046057588</v>
      </c>
      <c r="D842" s="21">
        <f>SUM(D$792:D$794)</f>
        <v>-72074.449442027704</v>
      </c>
      <c r="E842" s="21">
        <f>SUM(E$792:E$794)</f>
        <v>0</v>
      </c>
      <c r="F842" s="21">
        <f>SUM(F$792:F$794)</f>
        <v>29085.818544960101</v>
      </c>
      <c r="G842" s="17"/>
    </row>
    <row r="843" spans="1:7" x14ac:dyDescent="0.25">
      <c r="A843" s="4" t="s">
        <v>184</v>
      </c>
      <c r="B843" s="21">
        <f>SUM(B$796:B$798)</f>
        <v>-13715.972657970087</v>
      </c>
      <c r="C843" s="21">
        <f>SUM(C$796:C$798)</f>
        <v>-1368.3403472071545</v>
      </c>
      <c r="D843" s="21">
        <f>SUM(D$796:D$798)</f>
        <v>-5721.9534727345717</v>
      </c>
      <c r="E843" s="21">
        <f>SUM(E$796:E$798)</f>
        <v>0</v>
      </c>
      <c r="F843" s="21">
        <f>SUM(F$796:F$798)</f>
        <v>2537.0677732867102</v>
      </c>
      <c r="G843" s="17"/>
    </row>
    <row r="844" spans="1:7" x14ac:dyDescent="0.25">
      <c r="A844" s="4" t="s">
        <v>185</v>
      </c>
      <c r="B844" s="21">
        <f>SUM(B$800:B$801)</f>
        <v>-6732.3577689920749</v>
      </c>
      <c r="C844" s="21">
        <f>SUM(C$800:C$801)</f>
        <v>-843.84626045246989</v>
      </c>
      <c r="D844" s="21">
        <f>SUM(D$800:D$801)</f>
        <v>-2671.3967876319675</v>
      </c>
      <c r="E844" s="21">
        <f>SUM(E$800:E$801)</f>
        <v>0</v>
      </c>
      <c r="F844" s="21">
        <f>SUM(F$800:F$801)</f>
        <v>1410.5414699999999</v>
      </c>
      <c r="G844" s="17"/>
    </row>
    <row r="845" spans="1:7" x14ac:dyDescent="0.25">
      <c r="A845" s="4" t="s">
        <v>186</v>
      </c>
      <c r="B845" s="21">
        <f>SUM(B$803:B$804)</f>
        <v>-1466.6364384958094</v>
      </c>
      <c r="C845" s="21">
        <f>SUM(C$803:C$804)</f>
        <v>-210.70315225614644</v>
      </c>
      <c r="D845" s="21">
        <f>SUM(D$803:D$804)</f>
        <v>-537.6775398697639</v>
      </c>
      <c r="E845" s="21">
        <f>SUM(E$803:E$804)</f>
        <v>0</v>
      </c>
      <c r="F845" s="21">
        <f>SUM(F$803:F$804)</f>
        <v>391.24710000000005</v>
      </c>
      <c r="G845" s="17"/>
    </row>
    <row r="846" spans="1:7" x14ac:dyDescent="0.25">
      <c r="A846" s="4" t="s">
        <v>194</v>
      </c>
      <c r="B846" s="21">
        <f>SUM(B$806:B$807)</f>
        <v>-1157995.2136481856</v>
      </c>
      <c r="C846" s="21">
        <f>SUM(C$806:C$807)</f>
        <v>-208327.63184817584</v>
      </c>
      <c r="D846" s="21">
        <f>SUM(D$806:D$807)</f>
        <v>-475252.90843382641</v>
      </c>
      <c r="E846" s="21">
        <f>SUM(E$806:E$807)</f>
        <v>0</v>
      </c>
      <c r="F846" s="21">
        <f>SUM(F$806:F$807)</f>
        <v>352888.28028544399</v>
      </c>
      <c r="G846" s="17"/>
    </row>
    <row r="847" spans="1:7" x14ac:dyDescent="0.25">
      <c r="A847" s="4" t="s">
        <v>195</v>
      </c>
      <c r="B847" s="21">
        <f>SUM(B$809:B$810)</f>
        <v>-1637305.711933441</v>
      </c>
      <c r="C847" s="21">
        <f>SUM(C$809:C$810)</f>
        <v>-282975.80832548719</v>
      </c>
      <c r="D847" s="21">
        <f>SUM(D$809:D$810)</f>
        <v>-674228.01955826604</v>
      </c>
      <c r="E847" s="21">
        <f>SUM(E$809:E$810)</f>
        <v>0</v>
      </c>
      <c r="F847" s="21">
        <f>SUM(F$809:F$810)</f>
        <v>535991.72393183364</v>
      </c>
      <c r="G847" s="17"/>
    </row>
    <row r="849" spans="1:5" ht="21" customHeight="1" x14ac:dyDescent="0.3">
      <c r="A849" s="1" t="s">
        <v>1592</v>
      </c>
    </row>
    <row r="851" spans="1:5" ht="75" x14ac:dyDescent="0.25">
      <c r="B851" s="15" t="s">
        <v>1593</v>
      </c>
      <c r="C851" s="15" t="s">
        <v>1594</v>
      </c>
      <c r="D851" s="15" t="s">
        <v>1595</v>
      </c>
    </row>
    <row r="852" spans="1:5" x14ac:dyDescent="0.25">
      <c r="A852" s="4" t="s">
        <v>1596</v>
      </c>
      <c r="B852" s="28">
        <v>1</v>
      </c>
      <c r="C852" s="28">
        <v>1</v>
      </c>
      <c r="D852" s="28">
        <v>1</v>
      </c>
      <c r="E852" s="17"/>
    </row>
    <row r="854" spans="1:5" ht="21" customHeight="1" x14ac:dyDescent="0.3">
      <c r="A854" s="1" t="s">
        <v>1597</v>
      </c>
    </row>
    <row r="855" spans="1:5" x14ac:dyDescent="0.25">
      <c r="A855" s="2" t="s">
        <v>350</v>
      </c>
    </row>
    <row r="856" spans="1:5" x14ac:dyDescent="0.25">
      <c r="A856" s="32" t="s">
        <v>1598</v>
      </c>
    </row>
    <row r="857" spans="1:5" x14ac:dyDescent="0.25">
      <c r="A857" s="32" t="s">
        <v>1599</v>
      </c>
    </row>
    <row r="858" spans="1:5" x14ac:dyDescent="0.25">
      <c r="A858" s="32" t="s">
        <v>1600</v>
      </c>
    </row>
    <row r="859" spans="1:5" x14ac:dyDescent="0.25">
      <c r="A859" s="32" t="s">
        <v>1601</v>
      </c>
    </row>
    <row r="860" spans="1:5" x14ac:dyDescent="0.25">
      <c r="A860" s="32" t="s">
        <v>1602</v>
      </c>
    </row>
    <row r="861" spans="1:5" x14ac:dyDescent="0.25">
      <c r="A861" s="32" t="s">
        <v>1603</v>
      </c>
    </row>
    <row r="862" spans="1:5" x14ac:dyDescent="0.25">
      <c r="A862" s="32" t="s">
        <v>1604</v>
      </c>
    </row>
    <row r="863" spans="1:5" x14ac:dyDescent="0.25">
      <c r="A863" s="32" t="s">
        <v>1605</v>
      </c>
    </row>
    <row r="864" spans="1:5" x14ac:dyDescent="0.25">
      <c r="A864" s="2" t="s">
        <v>1606</v>
      </c>
    </row>
    <row r="866" spans="1:3" x14ac:dyDescent="0.25">
      <c r="B866" s="15" t="s">
        <v>1607</v>
      </c>
    </row>
    <row r="867" spans="1:3" x14ac:dyDescent="0.25">
      <c r="A867" s="4" t="s">
        <v>171</v>
      </c>
      <c r="B867" s="37">
        <f t="shared" ref="B867:B891" si="0">IF(F823,(B823+C823*B$852+D823*C$852+E823*D$852)/F823*0.1,0)</f>
        <v>2.5312393839685399</v>
      </c>
      <c r="C867" s="17"/>
    </row>
    <row r="868" spans="1:3" x14ac:dyDescent="0.25">
      <c r="A868" s="4" t="s">
        <v>1567</v>
      </c>
      <c r="B868" s="37">
        <f t="shared" si="0"/>
        <v>1.5862904894773795</v>
      </c>
      <c r="C868" s="17"/>
    </row>
    <row r="869" spans="1:3" x14ac:dyDescent="0.25">
      <c r="A869" s="4" t="s">
        <v>173</v>
      </c>
      <c r="B869" s="37">
        <f t="shared" si="0"/>
        <v>2.1782274592065796</v>
      </c>
      <c r="C869" s="17"/>
    </row>
    <row r="870" spans="1:3" ht="30" x14ac:dyDescent="0.25">
      <c r="A870" s="4" t="s">
        <v>1568</v>
      </c>
      <c r="B870" s="37">
        <f t="shared" si="0"/>
        <v>1.601712889038331</v>
      </c>
      <c r="C870" s="17"/>
    </row>
    <row r="871" spans="1:3" x14ac:dyDescent="0.25">
      <c r="A871" s="4" t="s">
        <v>175</v>
      </c>
      <c r="B871" s="37">
        <f t="shared" si="0"/>
        <v>0</v>
      </c>
      <c r="C871" s="17"/>
    </row>
    <row r="872" spans="1:3" x14ac:dyDescent="0.25">
      <c r="A872" s="4" t="s">
        <v>176</v>
      </c>
      <c r="B872" s="37">
        <f t="shared" si="0"/>
        <v>0</v>
      </c>
      <c r="C872" s="17"/>
    </row>
    <row r="873" spans="1:3" x14ac:dyDescent="0.25">
      <c r="A873" s="4" t="s">
        <v>192</v>
      </c>
      <c r="B873" s="37">
        <f t="shared" si="0"/>
        <v>1.4901520828986246</v>
      </c>
      <c r="C873" s="17"/>
    </row>
    <row r="874" spans="1:3" x14ac:dyDescent="0.25">
      <c r="A874" s="4" t="s">
        <v>177</v>
      </c>
      <c r="B874" s="37">
        <f t="shared" si="0"/>
        <v>0</v>
      </c>
      <c r="C874" s="17"/>
    </row>
    <row r="875" spans="1:3" x14ac:dyDescent="0.25">
      <c r="A875" s="4" t="s">
        <v>178</v>
      </c>
      <c r="B875" s="37">
        <f t="shared" si="0"/>
        <v>1.9966237440924961</v>
      </c>
      <c r="C875" s="17"/>
    </row>
    <row r="876" spans="1:3" x14ac:dyDescent="0.25">
      <c r="A876" s="4" t="s">
        <v>179</v>
      </c>
      <c r="B876" s="37">
        <f t="shared" si="0"/>
        <v>2.2682374925411475</v>
      </c>
      <c r="C876" s="17"/>
    </row>
    <row r="877" spans="1:3" x14ac:dyDescent="0.25">
      <c r="A877" s="4" t="s">
        <v>180</v>
      </c>
      <c r="B877" s="37">
        <f t="shared" si="0"/>
        <v>1.8414676004433499</v>
      </c>
      <c r="C877" s="17"/>
    </row>
    <row r="878" spans="1:3" x14ac:dyDescent="0.25">
      <c r="A878" s="4" t="s">
        <v>193</v>
      </c>
      <c r="B878" s="37">
        <f t="shared" si="0"/>
        <v>1.1947476019781842</v>
      </c>
      <c r="C878" s="17"/>
    </row>
    <row r="879" spans="1:3" x14ac:dyDescent="0.25">
      <c r="A879" s="4" t="s">
        <v>215</v>
      </c>
      <c r="B879" s="37">
        <f t="shared" si="0"/>
        <v>2.8511267166050334</v>
      </c>
      <c r="C879" s="17"/>
    </row>
    <row r="880" spans="1:3" x14ac:dyDescent="0.25">
      <c r="A880" s="4" t="s">
        <v>216</v>
      </c>
      <c r="B880" s="37">
        <f t="shared" si="0"/>
        <v>3.223702425267998</v>
      </c>
      <c r="C880" s="17"/>
    </row>
    <row r="881" spans="1:3" x14ac:dyDescent="0.25">
      <c r="A881" s="4" t="s">
        <v>217</v>
      </c>
      <c r="B881" s="37">
        <f t="shared" si="0"/>
        <v>4.6524487861944506</v>
      </c>
      <c r="C881" s="17"/>
    </row>
    <row r="882" spans="1:3" x14ac:dyDescent="0.25">
      <c r="A882" s="4" t="s">
        <v>218</v>
      </c>
      <c r="B882" s="37">
        <f t="shared" si="0"/>
        <v>2.669919899597371</v>
      </c>
      <c r="C882" s="17"/>
    </row>
    <row r="883" spans="1:3" x14ac:dyDescent="0.25">
      <c r="A883" s="4" t="s">
        <v>219</v>
      </c>
      <c r="B883" s="37">
        <f t="shared" si="0"/>
        <v>3.4034178234152841</v>
      </c>
      <c r="C883" s="17"/>
    </row>
    <row r="884" spans="1:3" x14ac:dyDescent="0.25">
      <c r="A884" s="4" t="s">
        <v>181</v>
      </c>
      <c r="B884" s="37">
        <f t="shared" si="0"/>
        <v>-0.91207752926023566</v>
      </c>
      <c r="C884" s="17"/>
    </row>
    <row r="885" spans="1:3" x14ac:dyDescent="0.25">
      <c r="A885" s="4" t="s">
        <v>182</v>
      </c>
      <c r="B885" s="37">
        <f t="shared" si="0"/>
        <v>0</v>
      </c>
      <c r="C885" s="17"/>
    </row>
    <row r="886" spans="1:3" x14ac:dyDescent="0.25">
      <c r="A886" s="4" t="s">
        <v>183</v>
      </c>
      <c r="B886" s="37">
        <f t="shared" si="0"/>
        <v>-0.90518168400384236</v>
      </c>
      <c r="C886" s="17"/>
    </row>
    <row r="887" spans="1:3" x14ac:dyDescent="0.25">
      <c r="A887" s="4" t="s">
        <v>184</v>
      </c>
      <c r="B887" s="37">
        <f t="shared" si="0"/>
        <v>-0.8200910790395558</v>
      </c>
      <c r="C887" s="17"/>
    </row>
    <row r="888" spans="1:3" x14ac:dyDescent="0.25">
      <c r="A888" s="4" t="s">
        <v>185</v>
      </c>
      <c r="B888" s="37">
        <f t="shared" si="0"/>
        <v>-0.72650120787136541</v>
      </c>
      <c r="C888" s="17"/>
    </row>
    <row r="889" spans="1:3" x14ac:dyDescent="0.25">
      <c r="A889" s="4" t="s">
        <v>186</v>
      </c>
      <c r="B889" s="37">
        <f t="shared" si="0"/>
        <v>-0.56614276006690389</v>
      </c>
      <c r="C889" s="17"/>
    </row>
    <row r="890" spans="1:3" x14ac:dyDescent="0.25">
      <c r="A890" s="4" t="s">
        <v>194</v>
      </c>
      <c r="B890" s="37">
        <f t="shared" si="0"/>
        <v>-0.5218580091241839</v>
      </c>
      <c r="C890" s="17"/>
    </row>
    <row r="891" spans="1:3" x14ac:dyDescent="0.25">
      <c r="A891" s="4" t="s">
        <v>195</v>
      </c>
      <c r="B891" s="37">
        <f t="shared" si="0"/>
        <v>-0.48405776133721778</v>
      </c>
      <c r="C891" s="17"/>
    </row>
    <row r="893" spans="1:3" ht="21" customHeight="1" x14ac:dyDescent="0.3">
      <c r="A893" s="1" t="s">
        <v>1608</v>
      </c>
    </row>
    <row r="894" spans="1:3" x14ac:dyDescent="0.25">
      <c r="A894" s="2" t="s">
        <v>350</v>
      </c>
    </row>
    <row r="895" spans="1:3" x14ac:dyDescent="0.25">
      <c r="A895" s="32" t="s">
        <v>1609</v>
      </c>
    </row>
    <row r="896" spans="1:3" x14ac:dyDescent="0.25">
      <c r="A896" s="32" t="s">
        <v>1610</v>
      </c>
    </row>
    <row r="897" spans="1:3" x14ac:dyDescent="0.25">
      <c r="A897" s="2" t="s">
        <v>1611</v>
      </c>
    </row>
    <row r="899" spans="1:3" ht="30" x14ac:dyDescent="0.25">
      <c r="B899" s="15" t="s">
        <v>1612</v>
      </c>
    </row>
    <row r="900" spans="1:3" x14ac:dyDescent="0.25">
      <c r="A900" s="29" t="s">
        <v>171</v>
      </c>
      <c r="C900" s="17"/>
    </row>
    <row r="901" spans="1:3" x14ac:dyDescent="0.25">
      <c r="A901" s="4" t="s">
        <v>171</v>
      </c>
      <c r="B901" s="39">
        <f>IF(B$867,1-B608/B$867,0)</f>
        <v>1</v>
      </c>
      <c r="C901" s="17"/>
    </row>
    <row r="902" spans="1:3" x14ac:dyDescent="0.25">
      <c r="A902" s="4" t="s">
        <v>231</v>
      </c>
      <c r="B902" s="39">
        <f>IF(B$867,1-B609/B$867,0)</f>
        <v>0.73225455448329058</v>
      </c>
      <c r="C902" s="17"/>
    </row>
    <row r="903" spans="1:3" x14ac:dyDescent="0.25">
      <c r="A903" s="4" t="s">
        <v>232</v>
      </c>
      <c r="B903" s="39">
        <f>IF(B$867,1-B610/B$867,0)</f>
        <v>0.56400168214403068</v>
      </c>
      <c r="C903" s="17"/>
    </row>
    <row r="904" spans="1:3" x14ac:dyDescent="0.25">
      <c r="A904" s="29" t="s">
        <v>1567</v>
      </c>
      <c r="C904" s="17"/>
    </row>
    <row r="905" spans="1:3" x14ac:dyDescent="0.25">
      <c r="A905" s="4" t="s">
        <v>172</v>
      </c>
      <c r="B905" s="39">
        <f t="shared" ref="B905:B910" si="1">IF(B$868,1-B612/B$868,0)</f>
        <v>1</v>
      </c>
      <c r="C905" s="17"/>
    </row>
    <row r="906" spans="1:3" x14ac:dyDescent="0.25">
      <c r="A906" s="4" t="s">
        <v>234</v>
      </c>
      <c r="B906" s="39">
        <f t="shared" si="1"/>
        <v>0.57275932682835262</v>
      </c>
      <c r="C906" s="17"/>
    </row>
    <row r="907" spans="1:3" x14ac:dyDescent="0.25">
      <c r="A907" s="4" t="s">
        <v>235</v>
      </c>
      <c r="B907" s="39">
        <f t="shared" si="1"/>
        <v>0.30427867983709489</v>
      </c>
      <c r="C907" s="17"/>
    </row>
    <row r="908" spans="1:3" x14ac:dyDescent="0.25">
      <c r="A908" s="4" t="s">
        <v>213</v>
      </c>
      <c r="B908" s="39">
        <f t="shared" si="1"/>
        <v>1</v>
      </c>
      <c r="C908" s="17"/>
    </row>
    <row r="909" spans="1:3" x14ac:dyDescent="0.25">
      <c r="A909" s="4" t="s">
        <v>237</v>
      </c>
      <c r="B909" s="39">
        <f t="shared" si="1"/>
        <v>0.57275932682835262</v>
      </c>
      <c r="C909" s="17"/>
    </row>
    <row r="910" spans="1:3" x14ac:dyDescent="0.25">
      <c r="A910" s="4" t="s">
        <v>238</v>
      </c>
      <c r="B910" s="39">
        <f t="shared" si="1"/>
        <v>0.30427867983709489</v>
      </c>
      <c r="C910" s="17"/>
    </row>
    <row r="911" spans="1:3" x14ac:dyDescent="0.25">
      <c r="A911" s="29" t="s">
        <v>173</v>
      </c>
      <c r="C911" s="17"/>
    </row>
    <row r="912" spans="1:3" x14ac:dyDescent="0.25">
      <c r="A912" s="4" t="s">
        <v>173</v>
      </c>
      <c r="B912" s="39">
        <f>IF(B$869,1-B619/B$869,0)</f>
        <v>1</v>
      </c>
      <c r="C912" s="17"/>
    </row>
    <row r="913" spans="1:3" x14ac:dyDescent="0.25">
      <c r="A913" s="4" t="s">
        <v>240</v>
      </c>
      <c r="B913" s="39">
        <f>IF(B$869,1-B620/B$869,0)</f>
        <v>0.68886269718729909</v>
      </c>
      <c r="C913" s="17"/>
    </row>
    <row r="914" spans="1:3" x14ac:dyDescent="0.25">
      <c r="A914" s="4" t="s">
        <v>241</v>
      </c>
      <c r="B914" s="39">
        <f>IF(B$869,1-B621/B$869,0)</f>
        <v>0.49334211684988305</v>
      </c>
      <c r="C914" s="17"/>
    </row>
    <row r="915" spans="1:3" ht="30" x14ac:dyDescent="0.25">
      <c r="A915" s="29" t="s">
        <v>1568</v>
      </c>
      <c r="C915" s="17"/>
    </row>
    <row r="916" spans="1:3" x14ac:dyDescent="0.25">
      <c r="A916" s="4" t="s">
        <v>174</v>
      </c>
      <c r="B916" s="39">
        <f t="shared" ref="B916:B921" si="2">IF(B$870,1-B623/B$870,0)</f>
        <v>1</v>
      </c>
      <c r="C916" s="17"/>
    </row>
    <row r="917" spans="1:3" x14ac:dyDescent="0.25">
      <c r="A917" s="4" t="s">
        <v>243</v>
      </c>
      <c r="B917" s="39">
        <f t="shared" si="2"/>
        <v>0.57687309554148269</v>
      </c>
      <c r="C917" s="17"/>
    </row>
    <row r="918" spans="1:3" x14ac:dyDescent="0.25">
      <c r="A918" s="4" t="s">
        <v>244</v>
      </c>
      <c r="B918" s="39">
        <f t="shared" si="2"/>
        <v>0.31097756592089676</v>
      </c>
      <c r="C918" s="17"/>
    </row>
    <row r="919" spans="1:3" x14ac:dyDescent="0.25">
      <c r="A919" s="4" t="s">
        <v>214</v>
      </c>
      <c r="B919" s="39">
        <f t="shared" si="2"/>
        <v>1</v>
      </c>
      <c r="C919" s="17"/>
    </row>
    <row r="920" spans="1:3" ht="30" x14ac:dyDescent="0.25">
      <c r="A920" s="4" t="s">
        <v>246</v>
      </c>
      <c r="B920" s="39">
        <f t="shared" si="2"/>
        <v>0.57687309554148269</v>
      </c>
      <c r="C920" s="17"/>
    </row>
    <row r="921" spans="1:3" ht="30" x14ac:dyDescent="0.25">
      <c r="A921" s="4" t="s">
        <v>247</v>
      </c>
      <c r="B921" s="39">
        <f t="shared" si="2"/>
        <v>0.31097756592089676</v>
      </c>
      <c r="C921" s="17"/>
    </row>
    <row r="922" spans="1:3" x14ac:dyDescent="0.25">
      <c r="A922" s="29" t="s">
        <v>175</v>
      </c>
      <c r="C922" s="17"/>
    </row>
    <row r="923" spans="1:3" x14ac:dyDescent="0.25">
      <c r="A923" s="4" t="s">
        <v>175</v>
      </c>
      <c r="B923" s="39">
        <f>IF(B$871,1-B630/B$871,0)</f>
        <v>0</v>
      </c>
      <c r="C923" s="17"/>
    </row>
    <row r="924" spans="1:3" x14ac:dyDescent="0.25">
      <c r="A924" s="4" t="s">
        <v>249</v>
      </c>
      <c r="B924" s="39">
        <f>IF(B$871,1-B631/B$871,0)</f>
        <v>0</v>
      </c>
      <c r="C924" s="17"/>
    </row>
    <row r="925" spans="1:3" x14ac:dyDescent="0.25">
      <c r="A925" s="4" t="s">
        <v>250</v>
      </c>
      <c r="B925" s="39">
        <f>IF(B$871,1-B632/B$871,0)</f>
        <v>0</v>
      </c>
      <c r="C925" s="17"/>
    </row>
    <row r="926" spans="1:3" x14ac:dyDescent="0.25">
      <c r="A926" s="29" t="s">
        <v>176</v>
      </c>
      <c r="C926" s="17"/>
    </row>
    <row r="927" spans="1:3" x14ac:dyDescent="0.25">
      <c r="A927" s="4" t="s">
        <v>176</v>
      </c>
      <c r="B927" s="39">
        <f>IF(B$872,1-B634/B$872,0)</f>
        <v>0</v>
      </c>
      <c r="C927" s="17"/>
    </row>
    <row r="928" spans="1:3" x14ac:dyDescent="0.25">
      <c r="A928" s="29" t="s">
        <v>192</v>
      </c>
      <c r="C928" s="17"/>
    </row>
    <row r="929" spans="1:3" x14ac:dyDescent="0.25">
      <c r="A929" s="4" t="s">
        <v>192</v>
      </c>
      <c r="B929" s="39">
        <f>IF(B$873,1-B636/B$873,0)</f>
        <v>1</v>
      </c>
      <c r="C929" s="17"/>
    </row>
    <row r="930" spans="1:3" x14ac:dyDescent="0.25">
      <c r="A930" s="29" t="s">
        <v>177</v>
      </c>
      <c r="C930" s="17"/>
    </row>
    <row r="931" spans="1:3" x14ac:dyDescent="0.25">
      <c r="A931" s="4" t="s">
        <v>177</v>
      </c>
      <c r="B931" s="39">
        <f>IF(B$874,1-B638/B$874,0)</f>
        <v>0</v>
      </c>
      <c r="C931" s="17"/>
    </row>
    <row r="932" spans="1:3" x14ac:dyDescent="0.25">
      <c r="A932" s="4" t="s">
        <v>254</v>
      </c>
      <c r="B932" s="39">
        <f>IF(B$874,1-B639/B$874,0)</f>
        <v>0</v>
      </c>
      <c r="C932" s="17"/>
    </row>
    <row r="933" spans="1:3" x14ac:dyDescent="0.25">
      <c r="A933" s="4" t="s">
        <v>255</v>
      </c>
      <c r="B933" s="39">
        <f>IF(B$874,1-B640/B$874,0)</f>
        <v>0</v>
      </c>
      <c r="C933" s="17"/>
    </row>
    <row r="934" spans="1:3" x14ac:dyDescent="0.25">
      <c r="A934" s="29" t="s">
        <v>178</v>
      </c>
      <c r="C934" s="17"/>
    </row>
    <row r="935" spans="1:3" x14ac:dyDescent="0.25">
      <c r="A935" s="4" t="s">
        <v>178</v>
      </c>
      <c r="B935" s="39">
        <f>IF(B$875,1-B642/B$875,0)</f>
        <v>1</v>
      </c>
      <c r="C935" s="17"/>
    </row>
    <row r="936" spans="1:3" x14ac:dyDescent="0.25">
      <c r="A936" s="4" t="s">
        <v>257</v>
      </c>
      <c r="B936" s="39">
        <f>IF(B$875,1-B643/B$875,0)</f>
        <v>0.66056307875966991</v>
      </c>
      <c r="C936" s="17"/>
    </row>
    <row r="937" spans="1:3" x14ac:dyDescent="0.25">
      <c r="A937" s="4" t="s">
        <v>258</v>
      </c>
      <c r="B937" s="39">
        <f>IF(B$875,1-B644/B$875,0)</f>
        <v>0.44725884545529226</v>
      </c>
      <c r="C937" s="17"/>
    </row>
    <row r="938" spans="1:3" x14ac:dyDescent="0.25">
      <c r="A938" s="29" t="s">
        <v>179</v>
      </c>
      <c r="C938" s="17"/>
    </row>
    <row r="939" spans="1:3" x14ac:dyDescent="0.25">
      <c r="A939" s="4" t="s">
        <v>179</v>
      </c>
      <c r="B939" s="39">
        <f>IF(B$876,1-B646/B$876,0)</f>
        <v>1</v>
      </c>
      <c r="C939" s="17"/>
    </row>
    <row r="940" spans="1:3" x14ac:dyDescent="0.25">
      <c r="A940" s="4" t="s">
        <v>260</v>
      </c>
      <c r="B940" s="39">
        <f>IF(B$876,1-B647/B$876,0)</f>
        <v>0.7012094990940182</v>
      </c>
      <c r="C940" s="17"/>
    </row>
    <row r="941" spans="1:3" x14ac:dyDescent="0.25">
      <c r="A941" s="4" t="s">
        <v>261</v>
      </c>
      <c r="B941" s="39">
        <f>IF(B$876,1-B648/B$876,0)</f>
        <v>0.51344772444235454</v>
      </c>
      <c r="C941" s="17"/>
    </row>
    <row r="942" spans="1:3" x14ac:dyDescent="0.25">
      <c r="A942" s="29" t="s">
        <v>180</v>
      </c>
      <c r="C942" s="17"/>
    </row>
    <row r="943" spans="1:3" x14ac:dyDescent="0.25">
      <c r="A943" s="4" t="s">
        <v>180</v>
      </c>
      <c r="B943" s="39">
        <f>IF(B$877,1-B650/B$877,0)</f>
        <v>1</v>
      </c>
      <c r="C943" s="17"/>
    </row>
    <row r="944" spans="1:3" x14ac:dyDescent="0.25">
      <c r="A944" s="4" t="s">
        <v>263</v>
      </c>
      <c r="B944" s="39">
        <f>IF(B$877,1-B651/B$877,0)</f>
        <v>0.65024167087134432</v>
      </c>
      <c r="C944" s="17"/>
    </row>
    <row r="945" spans="1:3" x14ac:dyDescent="0.25">
      <c r="A945" s="29" t="s">
        <v>193</v>
      </c>
      <c r="C945" s="17"/>
    </row>
    <row r="946" spans="1:3" x14ac:dyDescent="0.25">
      <c r="A946" s="4" t="s">
        <v>193</v>
      </c>
      <c r="B946" s="39">
        <f>IF(B$878,1-B653/B$878,0)</f>
        <v>1</v>
      </c>
      <c r="C946" s="17"/>
    </row>
    <row r="947" spans="1:3" x14ac:dyDescent="0.25">
      <c r="A947" s="4" t="s">
        <v>265</v>
      </c>
      <c r="B947" s="39">
        <f>IF(B$878,1-B654/B$878,0)</f>
        <v>0.65401278352150261</v>
      </c>
      <c r="C947" s="17"/>
    </row>
    <row r="948" spans="1:3" x14ac:dyDescent="0.25">
      <c r="A948" s="29" t="s">
        <v>215</v>
      </c>
      <c r="C948" s="17"/>
    </row>
    <row r="949" spans="1:3" x14ac:dyDescent="0.25">
      <c r="A949" s="4" t="s">
        <v>215</v>
      </c>
      <c r="B949" s="39">
        <f>IF(B$879,1-B656/B$879,0)</f>
        <v>1</v>
      </c>
      <c r="C949" s="17"/>
    </row>
    <row r="950" spans="1:3" x14ac:dyDescent="0.25">
      <c r="A950" s="4" t="s">
        <v>267</v>
      </c>
      <c r="B950" s="39">
        <f>IF(B$879,1-B657/B$879,0)</f>
        <v>0.76229474031336664</v>
      </c>
      <c r="C950" s="17"/>
    </row>
    <row r="951" spans="1:3" x14ac:dyDescent="0.25">
      <c r="A951" s="4" t="s">
        <v>268</v>
      </c>
      <c r="B951" s="39">
        <f>IF(B$879,1-B658/B$879,0)</f>
        <v>0.6129193041215687</v>
      </c>
      <c r="C951" s="17"/>
    </row>
    <row r="952" spans="1:3" x14ac:dyDescent="0.25">
      <c r="A952" s="29" t="s">
        <v>216</v>
      </c>
      <c r="C952" s="17"/>
    </row>
    <row r="953" spans="1:3" x14ac:dyDescent="0.25">
      <c r="A953" s="4" t="s">
        <v>216</v>
      </c>
      <c r="B953" s="39">
        <f>IF(B$880,1-B660/B$880,0)</f>
        <v>1</v>
      </c>
      <c r="C953" s="17"/>
    </row>
    <row r="954" spans="1:3" x14ac:dyDescent="0.25">
      <c r="A954" s="4" t="s">
        <v>270</v>
      </c>
      <c r="B954" s="39">
        <f>IF(B$880,1-B661/B$880,0)</f>
        <v>0.78976725293937278</v>
      </c>
      <c r="C954" s="17"/>
    </row>
    <row r="955" spans="1:3" x14ac:dyDescent="0.25">
      <c r="A955" s="4" t="s">
        <v>271</v>
      </c>
      <c r="B955" s="39">
        <f>IF(B$880,1-B662/B$880,0)</f>
        <v>0.65765571137996215</v>
      </c>
      <c r="C955" s="17"/>
    </row>
    <row r="956" spans="1:3" x14ac:dyDescent="0.25">
      <c r="A956" s="29" t="s">
        <v>217</v>
      </c>
      <c r="C956" s="17"/>
    </row>
    <row r="957" spans="1:3" x14ac:dyDescent="0.25">
      <c r="A957" s="4" t="s">
        <v>217</v>
      </c>
      <c r="B957" s="39">
        <f>IF(B$881,1-B664/B$881,0)</f>
        <v>1</v>
      </c>
      <c r="C957" s="17"/>
    </row>
    <row r="958" spans="1:3" x14ac:dyDescent="0.25">
      <c r="A958" s="4" t="s">
        <v>273</v>
      </c>
      <c r="B958" s="39">
        <f>IF(B$881,1-B665/B$881,0)</f>
        <v>0.85432879592760513</v>
      </c>
      <c r="C958" s="17"/>
    </row>
    <row r="959" spans="1:3" x14ac:dyDescent="0.25">
      <c r="A959" s="4" t="s">
        <v>274</v>
      </c>
      <c r="B959" s="39">
        <f>IF(B$881,1-B666/B$881,0)</f>
        <v>0.76278812207973068</v>
      </c>
      <c r="C959" s="17"/>
    </row>
    <row r="960" spans="1:3" x14ac:dyDescent="0.25">
      <c r="A960" s="29" t="s">
        <v>218</v>
      </c>
      <c r="C960" s="17"/>
    </row>
    <row r="961" spans="1:3" x14ac:dyDescent="0.25">
      <c r="A961" s="4" t="s">
        <v>218</v>
      </c>
      <c r="B961" s="39">
        <f>IF(B$882,1-B668/B$882,0)</f>
        <v>1</v>
      </c>
      <c r="C961" s="17"/>
    </row>
    <row r="962" spans="1:3" x14ac:dyDescent="0.25">
      <c r="A962" s="4" t="s">
        <v>276</v>
      </c>
      <c r="B962" s="39">
        <f>IF(B$882,1-B669/B$882,0)</f>
        <v>0.74616174190383</v>
      </c>
      <c r="C962" s="17"/>
    </row>
    <row r="963" spans="1:3" x14ac:dyDescent="0.25">
      <c r="A963" s="4" t="s">
        <v>277</v>
      </c>
      <c r="B963" s="39">
        <f>IF(B$882,1-B670/B$882,0)</f>
        <v>0.58664823103214037</v>
      </c>
      <c r="C963" s="17"/>
    </row>
    <row r="964" spans="1:3" x14ac:dyDescent="0.25">
      <c r="A964" s="29" t="s">
        <v>219</v>
      </c>
      <c r="C964" s="17"/>
    </row>
    <row r="965" spans="1:3" x14ac:dyDescent="0.25">
      <c r="A965" s="4" t="s">
        <v>219</v>
      </c>
      <c r="B965" s="39">
        <f>IF(B$883,1-B672/B$883,0)</f>
        <v>1</v>
      </c>
      <c r="C965" s="17"/>
    </row>
    <row r="966" spans="1:3" x14ac:dyDescent="0.25">
      <c r="A966" s="4" t="s">
        <v>279</v>
      </c>
      <c r="B966" s="39">
        <f>IF(B$883,1-B673/B$883,0)</f>
        <v>0.80086846466297024</v>
      </c>
      <c r="C966" s="17"/>
    </row>
    <row r="967" spans="1:3" x14ac:dyDescent="0.25">
      <c r="A967" s="4" t="s">
        <v>280</v>
      </c>
      <c r="B967" s="39">
        <f>IF(B$883,1-B674/B$883,0)</f>
        <v>0.67573299231488437</v>
      </c>
      <c r="C967" s="17"/>
    </row>
    <row r="968" spans="1:3" x14ac:dyDescent="0.25">
      <c r="A968" s="29" t="s">
        <v>181</v>
      </c>
      <c r="C968" s="17"/>
    </row>
    <row r="969" spans="1:3" x14ac:dyDescent="0.25">
      <c r="A969" s="4" t="s">
        <v>181</v>
      </c>
      <c r="B969" s="39">
        <f>IF(B$884,1-B676/B$884,0)</f>
        <v>1</v>
      </c>
      <c r="C969" s="17"/>
    </row>
    <row r="970" spans="1:3" x14ac:dyDescent="0.25">
      <c r="A970" s="4" t="s">
        <v>282</v>
      </c>
      <c r="B970" s="39">
        <f>IF(B$884,1-B677/B$884,0)</f>
        <v>1</v>
      </c>
      <c r="C970" s="17"/>
    </row>
    <row r="971" spans="1:3" x14ac:dyDescent="0.25">
      <c r="A971" s="4" t="s">
        <v>283</v>
      </c>
      <c r="B971" s="39">
        <f>IF(B$884,1-B678/B$884,0)</f>
        <v>1</v>
      </c>
      <c r="C971" s="17"/>
    </row>
    <row r="972" spans="1:3" x14ac:dyDescent="0.25">
      <c r="A972" s="29" t="s">
        <v>182</v>
      </c>
      <c r="C972" s="17"/>
    </row>
    <row r="973" spans="1:3" x14ac:dyDescent="0.25">
      <c r="A973" s="4" t="s">
        <v>182</v>
      </c>
      <c r="B973" s="39">
        <f>IF(B$885,1-B680/B$885,0)</f>
        <v>0</v>
      </c>
      <c r="C973" s="17"/>
    </row>
    <row r="974" spans="1:3" x14ac:dyDescent="0.25">
      <c r="A974" s="4" t="s">
        <v>285</v>
      </c>
      <c r="B974" s="39">
        <f>IF(B$885,1-B681/B$885,0)</f>
        <v>0</v>
      </c>
      <c r="C974" s="17"/>
    </row>
    <row r="975" spans="1:3" x14ac:dyDescent="0.25">
      <c r="A975" s="29" t="s">
        <v>183</v>
      </c>
      <c r="C975" s="17"/>
    </row>
    <row r="976" spans="1:3" x14ac:dyDescent="0.25">
      <c r="A976" s="4" t="s">
        <v>183</v>
      </c>
      <c r="B976" s="39">
        <f>IF(B$886,1-B683/B$886,0)</f>
        <v>1</v>
      </c>
      <c r="C976" s="17"/>
    </row>
    <row r="977" spans="1:3" x14ac:dyDescent="0.25">
      <c r="A977" s="4" t="s">
        <v>287</v>
      </c>
      <c r="B977" s="39">
        <f>IF(B$886,1-B684/B$886,0)</f>
        <v>1</v>
      </c>
      <c r="C977" s="17"/>
    </row>
    <row r="978" spans="1:3" x14ac:dyDescent="0.25">
      <c r="A978" s="4" t="s">
        <v>288</v>
      </c>
      <c r="B978" s="39">
        <f>IF(B$886,1-B685/B$886,0)</f>
        <v>1</v>
      </c>
      <c r="C978" s="17"/>
    </row>
    <row r="979" spans="1:3" x14ac:dyDescent="0.25">
      <c r="A979" s="29" t="s">
        <v>184</v>
      </c>
      <c r="C979" s="17"/>
    </row>
    <row r="980" spans="1:3" x14ac:dyDescent="0.25">
      <c r="A980" s="4" t="s">
        <v>184</v>
      </c>
      <c r="B980" s="39">
        <f>IF(B$887,1-B687/B$887,0)</f>
        <v>1</v>
      </c>
      <c r="C980" s="17"/>
    </row>
    <row r="981" spans="1:3" x14ac:dyDescent="0.25">
      <c r="A981" s="4" t="s">
        <v>290</v>
      </c>
      <c r="B981" s="39">
        <f>IF(B$887,1-B688/B$887,0)</f>
        <v>1</v>
      </c>
      <c r="C981" s="17"/>
    </row>
    <row r="982" spans="1:3" x14ac:dyDescent="0.25">
      <c r="A982" s="4" t="s">
        <v>291</v>
      </c>
      <c r="B982" s="39">
        <f>IF(B$887,1-B689/B$887,0)</f>
        <v>1</v>
      </c>
      <c r="C982" s="17"/>
    </row>
    <row r="983" spans="1:3" x14ac:dyDescent="0.25">
      <c r="A983" s="29" t="s">
        <v>185</v>
      </c>
      <c r="C983" s="17"/>
    </row>
    <row r="984" spans="1:3" x14ac:dyDescent="0.25">
      <c r="A984" s="4" t="s">
        <v>185</v>
      </c>
      <c r="B984" s="39">
        <f>IF(B$888,1-B691/B$888,0)</f>
        <v>1</v>
      </c>
      <c r="C984" s="17"/>
    </row>
    <row r="985" spans="1:3" x14ac:dyDescent="0.25">
      <c r="A985" s="4" t="s">
        <v>293</v>
      </c>
      <c r="B985" s="39">
        <f>IF(B$888,1-B692/B$888,0)</f>
        <v>1</v>
      </c>
      <c r="C985" s="17"/>
    </row>
    <row r="986" spans="1:3" x14ac:dyDescent="0.25">
      <c r="A986" s="29" t="s">
        <v>186</v>
      </c>
      <c r="C986" s="17"/>
    </row>
    <row r="987" spans="1:3" x14ac:dyDescent="0.25">
      <c r="A987" s="4" t="s">
        <v>186</v>
      </c>
      <c r="B987" s="39">
        <f>IF(B$889,1-B694/B$889,0)</f>
        <v>1</v>
      </c>
      <c r="C987" s="17"/>
    </row>
    <row r="988" spans="1:3" x14ac:dyDescent="0.25">
      <c r="A988" s="4" t="s">
        <v>295</v>
      </c>
      <c r="B988" s="39">
        <f>IF(B$889,1-B695/B$889,0)</f>
        <v>1</v>
      </c>
      <c r="C988" s="17"/>
    </row>
    <row r="989" spans="1:3" x14ac:dyDescent="0.25">
      <c r="A989" s="29" t="s">
        <v>194</v>
      </c>
      <c r="C989" s="17"/>
    </row>
    <row r="990" spans="1:3" x14ac:dyDescent="0.25">
      <c r="A990" s="4" t="s">
        <v>194</v>
      </c>
      <c r="B990" s="39">
        <f>IF(B$890,1-B697/B$890,0)</f>
        <v>1</v>
      </c>
      <c r="C990" s="17"/>
    </row>
    <row r="991" spans="1:3" x14ac:dyDescent="0.25">
      <c r="A991" s="4" t="s">
        <v>297</v>
      </c>
      <c r="B991" s="39">
        <f>IF(B$890,1-B698/B$890,0)</f>
        <v>1</v>
      </c>
      <c r="C991" s="17"/>
    </row>
    <row r="992" spans="1:3" x14ac:dyDescent="0.25">
      <c r="A992" s="29" t="s">
        <v>195</v>
      </c>
      <c r="C992" s="17"/>
    </row>
    <row r="993" spans="1:6" x14ac:dyDescent="0.25">
      <c r="A993" s="4" t="s">
        <v>195</v>
      </c>
      <c r="B993" s="39">
        <f>IF(B$891,1-B700/B$891,0)</f>
        <v>1</v>
      </c>
      <c r="C993" s="17"/>
    </row>
    <row r="994" spans="1:6" x14ac:dyDescent="0.25">
      <c r="A994" s="4" t="s">
        <v>299</v>
      </c>
      <c r="B994" s="39">
        <f>IF(B$891,1-B701/B$891,0)</f>
        <v>1</v>
      </c>
      <c r="C994" s="17"/>
    </row>
    <row r="996" spans="1:6" ht="21" customHeight="1" x14ac:dyDescent="0.3">
      <c r="A996" s="1" t="s">
        <v>1613</v>
      </c>
    </row>
    <row r="997" spans="1:6" x14ac:dyDescent="0.25">
      <c r="A997" s="2" t="s">
        <v>350</v>
      </c>
    </row>
    <row r="998" spans="1:6" x14ac:dyDescent="0.25">
      <c r="A998" s="32" t="s">
        <v>1614</v>
      </c>
    </row>
    <row r="999" spans="1:6" x14ac:dyDescent="0.25">
      <c r="A999" s="32" t="s">
        <v>1615</v>
      </c>
    </row>
    <row r="1000" spans="1:6" x14ac:dyDescent="0.25">
      <c r="A1000" s="32" t="s">
        <v>1616</v>
      </c>
    </row>
    <row r="1001" spans="1:6" x14ac:dyDescent="0.25">
      <c r="A1001" s="32" t="s">
        <v>1617</v>
      </c>
    </row>
    <row r="1002" spans="1:6" x14ac:dyDescent="0.25">
      <c r="A1002" s="32" t="s">
        <v>1618</v>
      </c>
    </row>
    <row r="1003" spans="1:6" ht="30" x14ac:dyDescent="0.25">
      <c r="A1003" s="33" t="s">
        <v>353</v>
      </c>
      <c r="B1003" s="33" t="s">
        <v>355</v>
      </c>
      <c r="C1003" s="33" t="s">
        <v>355</v>
      </c>
      <c r="D1003" s="33" t="s">
        <v>355</v>
      </c>
      <c r="E1003" s="33" t="s">
        <v>355</v>
      </c>
    </row>
    <row r="1004" spans="1:6" ht="30" x14ac:dyDescent="0.25">
      <c r="A1004" s="33" t="s">
        <v>356</v>
      </c>
      <c r="B1004" s="33" t="s">
        <v>358</v>
      </c>
      <c r="C1004" s="33" t="s">
        <v>1619</v>
      </c>
      <c r="D1004" s="33" t="s">
        <v>1620</v>
      </c>
      <c r="E1004" s="33" t="s">
        <v>1621</v>
      </c>
    </row>
    <row r="1006" spans="1:6" ht="60" x14ac:dyDescent="0.25">
      <c r="B1006" s="15" t="s">
        <v>1562</v>
      </c>
      <c r="C1006" s="15" t="s">
        <v>1563</v>
      </c>
      <c r="D1006" s="15" t="s">
        <v>1564</v>
      </c>
      <c r="E1006" s="15" t="s">
        <v>1565</v>
      </c>
    </row>
    <row r="1007" spans="1:6" x14ac:dyDescent="0.25">
      <c r="A1007" s="4" t="s">
        <v>1622</v>
      </c>
      <c r="B1007" s="21">
        <f>SUMPRODUCT(B$900:B$994,$B$716:$B$810)</f>
        <v>171071022.84689403</v>
      </c>
      <c r="C1007" s="21">
        <f>SUMPRODUCT(B$900:B$994,$C$716:$C$810)</f>
        <v>18660476.776050575</v>
      </c>
      <c r="D1007" s="21">
        <f>SUMPRODUCT(B$900:B$994,$D$716:$D$810)</f>
        <v>114076125.69371402</v>
      </c>
      <c r="E1007" s="21">
        <f>SUMPRODUCT(B$900:B$994,$E$716:$E$810)</f>
        <v>79683878.094554171</v>
      </c>
      <c r="F1007" s="17"/>
    </row>
    <row r="1009" spans="1:4" ht="21" customHeight="1" x14ac:dyDescent="0.3">
      <c r="A1009" s="1" t="s">
        <v>1623</v>
      </c>
    </row>
    <row r="1010" spans="1:4" x14ac:dyDescent="0.25">
      <c r="A1010" s="2" t="s">
        <v>350</v>
      </c>
    </row>
    <row r="1011" spans="1:4" x14ac:dyDescent="0.25">
      <c r="A1011" s="32" t="s">
        <v>1624</v>
      </c>
    </row>
    <row r="1012" spans="1:4" x14ac:dyDescent="0.25">
      <c r="A1012" s="32" t="s">
        <v>1625</v>
      </c>
    </row>
    <row r="1013" spans="1:4" x14ac:dyDescent="0.25">
      <c r="A1013" s="32" t="s">
        <v>1626</v>
      </c>
    </row>
    <row r="1014" spans="1:4" x14ac:dyDescent="0.25">
      <c r="A1014" s="32" t="s">
        <v>1627</v>
      </c>
    </row>
    <row r="1015" spans="1:4" x14ac:dyDescent="0.25">
      <c r="A1015" s="32" t="s">
        <v>1628</v>
      </c>
    </row>
    <row r="1016" spans="1:4" x14ac:dyDescent="0.25">
      <c r="A1016" s="32" t="s">
        <v>1629</v>
      </c>
    </row>
    <row r="1017" spans="1:4" x14ac:dyDescent="0.25">
      <c r="A1017" s="32" t="s">
        <v>1630</v>
      </c>
    </row>
    <row r="1018" spans="1:4" x14ac:dyDescent="0.25">
      <c r="A1018" s="32" t="s">
        <v>1605</v>
      </c>
    </row>
    <row r="1019" spans="1:4" x14ac:dyDescent="0.25">
      <c r="A1019" s="32" t="s">
        <v>1631</v>
      </c>
    </row>
    <row r="1020" spans="1:4" x14ac:dyDescent="0.25">
      <c r="A1020" s="32" t="s">
        <v>1632</v>
      </c>
    </row>
    <row r="1021" spans="1:4" x14ac:dyDescent="0.25">
      <c r="A1021" s="32" t="s">
        <v>1633</v>
      </c>
    </row>
    <row r="1022" spans="1:4" x14ac:dyDescent="0.25">
      <c r="A1022" s="32" t="s">
        <v>1634</v>
      </c>
    </row>
    <row r="1023" spans="1:4" x14ac:dyDescent="0.25">
      <c r="A1023" s="32" t="s">
        <v>1635</v>
      </c>
    </row>
    <row r="1024" spans="1:4" x14ac:dyDescent="0.25">
      <c r="A1024" s="33" t="s">
        <v>353</v>
      </c>
      <c r="B1024" s="33" t="s">
        <v>483</v>
      </c>
      <c r="C1024" s="33" t="s">
        <v>483</v>
      </c>
      <c r="D1024" s="33" t="s">
        <v>483</v>
      </c>
    </row>
    <row r="1025" spans="1:5" ht="30" x14ac:dyDescent="0.25">
      <c r="A1025" s="33" t="s">
        <v>356</v>
      </c>
      <c r="B1025" s="33" t="s">
        <v>1636</v>
      </c>
      <c r="C1025" s="33" t="s">
        <v>1637</v>
      </c>
      <c r="D1025" s="33" t="s">
        <v>1638</v>
      </c>
    </row>
    <row r="1027" spans="1:5" x14ac:dyDescent="0.25">
      <c r="B1027" s="15" t="s">
        <v>1639</v>
      </c>
      <c r="C1027" s="15" t="s">
        <v>1640</v>
      </c>
      <c r="D1027" s="15" t="s">
        <v>1641</v>
      </c>
    </row>
    <row r="1028" spans="1:5" x14ac:dyDescent="0.25">
      <c r="A1028" s="4" t="s">
        <v>1642</v>
      </c>
      <c r="B1028" s="44">
        <f>C1007*B852-C256</f>
        <v>23924.987468451262</v>
      </c>
      <c r="C1028" s="44">
        <f>D1007*C852-D256</f>
        <v>156050.38959872723</v>
      </c>
      <c r="D1028" s="44">
        <f>E1007*D852-E256+B1007-B256+B1028+C1028</f>
        <v>506558.59389731288</v>
      </c>
      <c r="E1028" s="17"/>
    </row>
    <row r="1030" spans="1:5" ht="21" customHeight="1" x14ac:dyDescent="0.3">
      <c r="A1030" s="1" t="s">
        <v>1643</v>
      </c>
    </row>
    <row r="1032" spans="1:5" ht="75" x14ac:dyDescent="0.25">
      <c r="B1032" s="15" t="s">
        <v>1593</v>
      </c>
      <c r="C1032" s="15" t="s">
        <v>1594</v>
      </c>
      <c r="D1032" s="15" t="s">
        <v>1595</v>
      </c>
    </row>
    <row r="1033" spans="1:5" x14ac:dyDescent="0.25">
      <c r="A1033" s="4" t="s">
        <v>1644</v>
      </c>
      <c r="B1033" s="28">
        <v>0.99</v>
      </c>
      <c r="C1033" s="28">
        <v>1</v>
      </c>
      <c r="D1033" s="28">
        <v>1</v>
      </c>
      <c r="E1033" s="17"/>
    </row>
    <row r="1035" spans="1:5" ht="21" customHeight="1" x14ac:dyDescent="0.3">
      <c r="A1035" s="1" t="s">
        <v>1645</v>
      </c>
    </row>
    <row r="1036" spans="1:5" x14ac:dyDescent="0.25">
      <c r="A1036" s="2" t="s">
        <v>350</v>
      </c>
    </row>
    <row r="1037" spans="1:5" x14ac:dyDescent="0.25">
      <c r="A1037" s="32" t="s">
        <v>1598</v>
      </c>
    </row>
    <row r="1038" spans="1:5" x14ac:dyDescent="0.25">
      <c r="A1038" s="32" t="s">
        <v>1599</v>
      </c>
    </row>
    <row r="1039" spans="1:5" x14ac:dyDescent="0.25">
      <c r="A1039" s="32" t="s">
        <v>1600</v>
      </c>
    </row>
    <row r="1040" spans="1:5" x14ac:dyDescent="0.25">
      <c r="A1040" s="32" t="s">
        <v>1646</v>
      </c>
    </row>
    <row r="1041" spans="1:3" x14ac:dyDescent="0.25">
      <c r="A1041" s="32" t="s">
        <v>1602</v>
      </c>
    </row>
    <row r="1042" spans="1:3" x14ac:dyDescent="0.25">
      <c r="A1042" s="32" t="s">
        <v>1647</v>
      </c>
    </row>
    <row r="1043" spans="1:3" x14ac:dyDescent="0.25">
      <c r="A1043" s="32" t="s">
        <v>1604</v>
      </c>
    </row>
    <row r="1044" spans="1:3" x14ac:dyDescent="0.25">
      <c r="A1044" s="32" t="s">
        <v>1648</v>
      </c>
    </row>
    <row r="1045" spans="1:3" x14ac:dyDescent="0.25">
      <c r="A1045" s="2" t="s">
        <v>1606</v>
      </c>
    </row>
    <row r="1047" spans="1:3" x14ac:dyDescent="0.25">
      <c r="B1047" s="15" t="s">
        <v>1607</v>
      </c>
    </row>
    <row r="1048" spans="1:3" x14ac:dyDescent="0.25">
      <c r="A1048" s="4" t="s">
        <v>171</v>
      </c>
      <c r="B1048" s="37">
        <f t="shared" ref="B1048:B1072" si="3">IF(F823,(B823+C823*B$1033+D823*C$1033+E823*D$1033)/F823*0.1,0)</f>
        <v>2.5300101117100406</v>
      </c>
      <c r="C1048" s="17"/>
    </row>
    <row r="1049" spans="1:3" x14ac:dyDescent="0.25">
      <c r="A1049" s="4" t="s">
        <v>1567</v>
      </c>
      <c r="B1049" s="37">
        <f t="shared" si="3"/>
        <v>1.5855535349600087</v>
      </c>
      <c r="C1049" s="17"/>
    </row>
    <row r="1050" spans="1:3" x14ac:dyDescent="0.25">
      <c r="A1050" s="4" t="s">
        <v>173</v>
      </c>
      <c r="B1050" s="37">
        <f t="shared" si="3"/>
        <v>2.1771246990724191</v>
      </c>
      <c r="C1050" s="17"/>
    </row>
    <row r="1051" spans="1:3" ht="30" x14ac:dyDescent="0.25">
      <c r="A1051" s="4" t="s">
        <v>1568</v>
      </c>
      <c r="B1051" s="37">
        <f t="shared" si="3"/>
        <v>1.6008955941427794</v>
      </c>
      <c r="C1051" s="17"/>
    </row>
    <row r="1052" spans="1:3" x14ac:dyDescent="0.25">
      <c r="A1052" s="4" t="s">
        <v>175</v>
      </c>
      <c r="B1052" s="37">
        <f t="shared" si="3"/>
        <v>0</v>
      </c>
      <c r="C1052" s="17"/>
    </row>
    <row r="1053" spans="1:3" x14ac:dyDescent="0.25">
      <c r="A1053" s="4" t="s">
        <v>176</v>
      </c>
      <c r="B1053" s="37">
        <f t="shared" si="3"/>
        <v>0</v>
      </c>
      <c r="C1053" s="17"/>
    </row>
    <row r="1054" spans="1:3" x14ac:dyDescent="0.25">
      <c r="A1054" s="4" t="s">
        <v>192</v>
      </c>
      <c r="B1054" s="37">
        <f t="shared" si="3"/>
        <v>1.4892796995772459</v>
      </c>
      <c r="C1054" s="17"/>
    </row>
    <row r="1055" spans="1:3" x14ac:dyDescent="0.25">
      <c r="A1055" s="4" t="s">
        <v>177</v>
      </c>
      <c r="B1055" s="37">
        <f t="shared" si="3"/>
        <v>0</v>
      </c>
      <c r="C1055" s="17"/>
    </row>
    <row r="1056" spans="1:3" x14ac:dyDescent="0.25">
      <c r="A1056" s="4" t="s">
        <v>178</v>
      </c>
      <c r="B1056" s="37">
        <f t="shared" si="3"/>
        <v>1.9955546699992006</v>
      </c>
      <c r="C1056" s="17"/>
    </row>
    <row r="1057" spans="1:3" x14ac:dyDescent="0.25">
      <c r="A1057" s="4" t="s">
        <v>179</v>
      </c>
      <c r="B1057" s="37">
        <f t="shared" si="3"/>
        <v>2.2672922819550805</v>
      </c>
      <c r="C1057" s="17"/>
    </row>
    <row r="1058" spans="1:3" x14ac:dyDescent="0.25">
      <c r="A1058" s="4" t="s">
        <v>180</v>
      </c>
      <c r="B1058" s="37">
        <f t="shared" si="3"/>
        <v>1.8406043072234699</v>
      </c>
      <c r="C1058" s="17"/>
    </row>
    <row r="1059" spans="1:3" x14ac:dyDescent="0.25">
      <c r="A1059" s="4" t="s">
        <v>193</v>
      </c>
      <c r="B1059" s="37">
        <f t="shared" si="3"/>
        <v>1.1940227167887592</v>
      </c>
      <c r="C1059" s="17"/>
    </row>
    <row r="1060" spans="1:3" x14ac:dyDescent="0.25">
      <c r="A1060" s="4" t="s">
        <v>215</v>
      </c>
      <c r="B1060" s="37">
        <f t="shared" si="3"/>
        <v>2.850433365435606</v>
      </c>
      <c r="C1060" s="17"/>
    </row>
    <row r="1061" spans="1:3" x14ac:dyDescent="0.25">
      <c r="A1061" s="4" t="s">
        <v>216</v>
      </c>
      <c r="B1061" s="37">
        <f t="shared" si="3"/>
        <v>3.2226206951095957</v>
      </c>
      <c r="C1061" s="17"/>
    </row>
    <row r="1062" spans="1:3" x14ac:dyDescent="0.25">
      <c r="A1062" s="4" t="s">
        <v>217</v>
      </c>
      <c r="B1062" s="37">
        <f t="shared" si="3"/>
        <v>4.6503941037117933</v>
      </c>
      <c r="C1062" s="17"/>
    </row>
    <row r="1063" spans="1:3" x14ac:dyDescent="0.25">
      <c r="A1063" s="4" t="s">
        <v>218</v>
      </c>
      <c r="B1063" s="37">
        <f t="shared" si="3"/>
        <v>2.6694577150144578</v>
      </c>
      <c r="C1063" s="17"/>
    </row>
    <row r="1064" spans="1:3" x14ac:dyDescent="0.25">
      <c r="A1064" s="4" t="s">
        <v>219</v>
      </c>
      <c r="B1064" s="37">
        <f t="shared" si="3"/>
        <v>3.4022289665270424</v>
      </c>
      <c r="C1064" s="17"/>
    </row>
    <row r="1065" spans="1:3" x14ac:dyDescent="0.25">
      <c r="A1065" s="4" t="s">
        <v>181</v>
      </c>
      <c r="B1065" s="37">
        <f t="shared" si="3"/>
        <v>-0.91144671508842667</v>
      </c>
      <c r="C1065" s="17"/>
    </row>
    <row r="1066" spans="1:3" x14ac:dyDescent="0.25">
      <c r="A1066" s="4" t="s">
        <v>182</v>
      </c>
      <c r="B1066" s="37">
        <f t="shared" si="3"/>
        <v>0</v>
      </c>
      <c r="C1066" s="17"/>
    </row>
    <row r="1067" spans="1:3" x14ac:dyDescent="0.25">
      <c r="A1067" s="4" t="s">
        <v>183</v>
      </c>
      <c r="B1067" s="37">
        <f t="shared" si="3"/>
        <v>-0.90455515540820086</v>
      </c>
      <c r="C1067" s="17"/>
    </row>
    <row r="1068" spans="1:3" x14ac:dyDescent="0.25">
      <c r="A1068" s="4" t="s">
        <v>184</v>
      </c>
      <c r="B1068" s="37">
        <f t="shared" si="3"/>
        <v>-0.81955173974337525</v>
      </c>
      <c r="C1068" s="17"/>
    </row>
    <row r="1069" spans="1:3" x14ac:dyDescent="0.25">
      <c r="A1069" s="4" t="s">
        <v>185</v>
      </c>
      <c r="B1069" s="37">
        <f t="shared" si="3"/>
        <v>-0.72590296508418062</v>
      </c>
      <c r="C1069" s="17"/>
    </row>
    <row r="1070" spans="1:3" x14ac:dyDescent="0.25">
      <c r="A1070" s="4" t="s">
        <v>186</v>
      </c>
      <c r="B1070" s="37">
        <f t="shared" si="3"/>
        <v>-0.56560421766682945</v>
      </c>
      <c r="C1070" s="17"/>
    </row>
    <row r="1071" spans="1:3" x14ac:dyDescent="0.25">
      <c r="A1071" s="4" t="s">
        <v>194</v>
      </c>
      <c r="B1071" s="37">
        <f t="shared" si="3"/>
        <v>-0.52126765902335404</v>
      </c>
      <c r="C1071" s="17"/>
    </row>
    <row r="1072" spans="1:3" x14ac:dyDescent="0.25">
      <c r="A1072" s="4" t="s">
        <v>195</v>
      </c>
      <c r="B1072" s="37">
        <f t="shared" si="3"/>
        <v>-0.48352981324456873</v>
      </c>
      <c r="C1072" s="17"/>
    </row>
    <row r="1074" spans="1:3" ht="21" customHeight="1" x14ac:dyDescent="0.3">
      <c r="A1074" s="1" t="s">
        <v>1649</v>
      </c>
    </row>
    <row r="1075" spans="1:3" x14ac:dyDescent="0.25">
      <c r="A1075" s="2" t="s">
        <v>350</v>
      </c>
    </row>
    <row r="1076" spans="1:3" x14ac:dyDescent="0.25">
      <c r="A1076" s="32" t="s">
        <v>1650</v>
      </c>
    </row>
    <row r="1077" spans="1:3" x14ac:dyDescent="0.25">
      <c r="A1077" s="32" t="s">
        <v>1610</v>
      </c>
    </row>
    <row r="1078" spans="1:3" x14ac:dyDescent="0.25">
      <c r="A1078" s="2" t="s">
        <v>1611</v>
      </c>
    </row>
    <row r="1080" spans="1:3" ht="30" x14ac:dyDescent="0.25">
      <c r="B1080" s="15" t="s">
        <v>1612</v>
      </c>
    </row>
    <row r="1081" spans="1:3" x14ac:dyDescent="0.25">
      <c r="A1081" s="29" t="s">
        <v>171</v>
      </c>
      <c r="C1081" s="17"/>
    </row>
    <row r="1082" spans="1:3" x14ac:dyDescent="0.25">
      <c r="A1082" s="4" t="s">
        <v>171</v>
      </c>
      <c r="B1082" s="39">
        <f>IF(B$1048,1-B608/B$1048,0)</f>
        <v>1</v>
      </c>
      <c r="C1082" s="17"/>
    </row>
    <row r="1083" spans="1:3" x14ac:dyDescent="0.25">
      <c r="A1083" s="4" t="s">
        <v>231</v>
      </c>
      <c r="B1083" s="39">
        <f>IF(B$1048,1-B609/B$1048,0)</f>
        <v>0.73212446328444925</v>
      </c>
      <c r="C1083" s="17"/>
    </row>
    <row r="1084" spans="1:3" x14ac:dyDescent="0.25">
      <c r="A1084" s="4" t="s">
        <v>232</v>
      </c>
      <c r="B1084" s="39">
        <f>IF(B$1048,1-B610/B$1048,0)</f>
        <v>0.56378984084173234</v>
      </c>
      <c r="C1084" s="17"/>
    </row>
    <row r="1085" spans="1:3" x14ac:dyDescent="0.25">
      <c r="A1085" s="29" t="s">
        <v>1567</v>
      </c>
      <c r="C1085" s="17"/>
    </row>
    <row r="1086" spans="1:3" x14ac:dyDescent="0.25">
      <c r="A1086" s="4" t="s">
        <v>172</v>
      </c>
      <c r="B1086" s="39">
        <f t="shared" ref="B1086:B1091" si="4">IF(B$1049,1-B612/B$1049,0)</f>
        <v>1</v>
      </c>
      <c r="C1086" s="17"/>
    </row>
    <row r="1087" spans="1:3" x14ac:dyDescent="0.25">
      <c r="A1087" s="4" t="s">
        <v>234</v>
      </c>
      <c r="B1087" s="39">
        <f t="shared" si="4"/>
        <v>0.57256074826436465</v>
      </c>
      <c r="C1087" s="17"/>
    </row>
    <row r="1088" spans="1:3" x14ac:dyDescent="0.25">
      <c r="A1088" s="4" t="s">
        <v>235</v>
      </c>
      <c r="B1088" s="39">
        <f t="shared" si="4"/>
        <v>0.30395531329133008</v>
      </c>
      <c r="C1088" s="17"/>
    </row>
    <row r="1089" spans="1:3" x14ac:dyDescent="0.25">
      <c r="A1089" s="4" t="s">
        <v>213</v>
      </c>
      <c r="B1089" s="39">
        <f t="shared" si="4"/>
        <v>1</v>
      </c>
      <c r="C1089" s="17"/>
    </row>
    <row r="1090" spans="1:3" x14ac:dyDescent="0.25">
      <c r="A1090" s="4" t="s">
        <v>237</v>
      </c>
      <c r="B1090" s="39">
        <f t="shared" si="4"/>
        <v>0.57256074826436465</v>
      </c>
      <c r="C1090" s="17"/>
    </row>
    <row r="1091" spans="1:3" x14ac:dyDescent="0.25">
      <c r="A1091" s="4" t="s">
        <v>238</v>
      </c>
      <c r="B1091" s="39">
        <f t="shared" si="4"/>
        <v>0.30395531329133008</v>
      </c>
      <c r="C1091" s="17"/>
    </row>
    <row r="1092" spans="1:3" x14ac:dyDescent="0.25">
      <c r="A1092" s="29" t="s">
        <v>173</v>
      </c>
      <c r="C1092" s="17"/>
    </row>
    <row r="1093" spans="1:3" x14ac:dyDescent="0.25">
      <c r="A1093" s="4" t="s">
        <v>173</v>
      </c>
      <c r="B1093" s="39">
        <f>IF(B$1050,1-B619/B$1050,0)</f>
        <v>1</v>
      </c>
      <c r="C1093" s="17"/>
    </row>
    <row r="1094" spans="1:3" x14ac:dyDescent="0.25">
      <c r="A1094" s="4" t="s">
        <v>240</v>
      </c>
      <c r="B1094" s="39">
        <f>IF(B$1050,1-B620/B$1050,0)</f>
        <v>0.68870509950171943</v>
      </c>
      <c r="C1094" s="17"/>
    </row>
    <row r="1095" spans="1:3" x14ac:dyDescent="0.25">
      <c r="A1095" s="4" t="s">
        <v>241</v>
      </c>
      <c r="B1095" s="39">
        <f>IF(B$1050,1-B621/B$1050,0)</f>
        <v>0.4930854838166745</v>
      </c>
      <c r="C1095" s="17"/>
    </row>
    <row r="1096" spans="1:3" ht="30" x14ac:dyDescent="0.25">
      <c r="A1096" s="29" t="s">
        <v>1568</v>
      </c>
      <c r="C1096" s="17"/>
    </row>
    <row r="1097" spans="1:3" x14ac:dyDescent="0.25">
      <c r="A1097" s="4" t="s">
        <v>174</v>
      </c>
      <c r="B1097" s="39">
        <f t="shared" ref="B1097:B1102" si="5">IF(B$1051,1-B623/B$1051,0)</f>
        <v>1</v>
      </c>
      <c r="C1097" s="17"/>
    </row>
    <row r="1098" spans="1:3" x14ac:dyDescent="0.25">
      <c r="A1098" s="4" t="s">
        <v>243</v>
      </c>
      <c r="B1098" s="39">
        <f t="shared" si="5"/>
        <v>0.57665707929379617</v>
      </c>
      <c r="C1098" s="17"/>
    </row>
    <row r="1099" spans="1:3" x14ac:dyDescent="0.25">
      <c r="A1099" s="4" t="s">
        <v>244</v>
      </c>
      <c r="B1099" s="39">
        <f t="shared" si="5"/>
        <v>0.31062580374455395</v>
      </c>
      <c r="C1099" s="17"/>
    </row>
    <row r="1100" spans="1:3" x14ac:dyDescent="0.25">
      <c r="A1100" s="4" t="s">
        <v>214</v>
      </c>
      <c r="B1100" s="39">
        <f t="shared" si="5"/>
        <v>1</v>
      </c>
      <c r="C1100" s="17"/>
    </row>
    <row r="1101" spans="1:3" ht="30" x14ac:dyDescent="0.25">
      <c r="A1101" s="4" t="s">
        <v>246</v>
      </c>
      <c r="B1101" s="39">
        <f t="shared" si="5"/>
        <v>0.57665707929379617</v>
      </c>
      <c r="C1101" s="17"/>
    </row>
    <row r="1102" spans="1:3" ht="30" x14ac:dyDescent="0.25">
      <c r="A1102" s="4" t="s">
        <v>247</v>
      </c>
      <c r="B1102" s="39">
        <f t="shared" si="5"/>
        <v>0.31062580374455395</v>
      </c>
      <c r="C1102" s="17"/>
    </row>
    <row r="1103" spans="1:3" x14ac:dyDescent="0.25">
      <c r="A1103" s="29" t="s">
        <v>175</v>
      </c>
      <c r="C1103" s="17"/>
    </row>
    <row r="1104" spans="1:3" x14ac:dyDescent="0.25">
      <c r="A1104" s="4" t="s">
        <v>175</v>
      </c>
      <c r="B1104" s="39">
        <f>IF(B$1052,1-B630/B$1052,0)</f>
        <v>0</v>
      </c>
      <c r="C1104" s="17"/>
    </row>
    <row r="1105" spans="1:3" x14ac:dyDescent="0.25">
      <c r="A1105" s="4" t="s">
        <v>249</v>
      </c>
      <c r="B1105" s="39">
        <f>IF(B$1052,1-B631/B$1052,0)</f>
        <v>0</v>
      </c>
      <c r="C1105" s="17"/>
    </row>
    <row r="1106" spans="1:3" x14ac:dyDescent="0.25">
      <c r="A1106" s="4" t="s">
        <v>250</v>
      </c>
      <c r="B1106" s="39">
        <f>IF(B$1052,1-B632/B$1052,0)</f>
        <v>0</v>
      </c>
      <c r="C1106" s="17"/>
    </row>
    <row r="1107" spans="1:3" x14ac:dyDescent="0.25">
      <c r="A1107" s="29" t="s">
        <v>176</v>
      </c>
      <c r="C1107" s="17"/>
    </row>
    <row r="1108" spans="1:3" x14ac:dyDescent="0.25">
      <c r="A1108" s="4" t="s">
        <v>176</v>
      </c>
      <c r="B1108" s="39">
        <f>IF(B$1053,1-B634/B$1053,0)</f>
        <v>0</v>
      </c>
      <c r="C1108" s="17"/>
    </row>
    <row r="1109" spans="1:3" x14ac:dyDescent="0.25">
      <c r="A1109" s="29" t="s">
        <v>192</v>
      </c>
      <c r="C1109" s="17"/>
    </row>
    <row r="1110" spans="1:3" x14ac:dyDescent="0.25">
      <c r="A1110" s="4" t="s">
        <v>192</v>
      </c>
      <c r="B1110" s="39">
        <f>IF(B$1054,1-B636/B$1054,0)</f>
        <v>1</v>
      </c>
      <c r="C1110" s="17"/>
    </row>
    <row r="1111" spans="1:3" x14ac:dyDescent="0.25">
      <c r="A1111" s="29" t="s">
        <v>177</v>
      </c>
      <c r="C1111" s="17"/>
    </row>
    <row r="1112" spans="1:3" x14ac:dyDescent="0.25">
      <c r="A1112" s="4" t="s">
        <v>177</v>
      </c>
      <c r="B1112" s="39">
        <f>IF(B$1055,1-B638/B$1055,0)</f>
        <v>0</v>
      </c>
      <c r="C1112" s="17"/>
    </row>
    <row r="1113" spans="1:3" x14ac:dyDescent="0.25">
      <c r="A1113" s="4" t="s">
        <v>254</v>
      </c>
      <c r="B1113" s="39">
        <f>IF(B$1055,1-B639/B$1055,0)</f>
        <v>0</v>
      </c>
      <c r="C1113" s="17"/>
    </row>
    <row r="1114" spans="1:3" x14ac:dyDescent="0.25">
      <c r="A1114" s="4" t="s">
        <v>255</v>
      </c>
      <c r="B1114" s="39">
        <f>IF(B$1055,1-B640/B$1055,0)</f>
        <v>0</v>
      </c>
      <c r="C1114" s="17"/>
    </row>
    <row r="1115" spans="1:3" x14ac:dyDescent="0.25">
      <c r="A1115" s="29" t="s">
        <v>178</v>
      </c>
      <c r="C1115" s="17"/>
    </row>
    <row r="1116" spans="1:3" x14ac:dyDescent="0.25">
      <c r="A1116" s="4" t="s">
        <v>178</v>
      </c>
      <c r="B1116" s="39">
        <f>IF(B$1056,1-B642/B$1056,0)</f>
        <v>1</v>
      </c>
      <c r="C1116" s="17"/>
    </row>
    <row r="1117" spans="1:3" x14ac:dyDescent="0.25">
      <c r="A1117" s="4" t="s">
        <v>257</v>
      </c>
      <c r="B1117" s="39">
        <f>IF(B$1056,1-B643/B$1056,0)</f>
        <v>0.66038123296799023</v>
      </c>
      <c r="C1117" s="17"/>
    </row>
    <row r="1118" spans="1:3" x14ac:dyDescent="0.25">
      <c r="A1118" s="4" t="s">
        <v>258</v>
      </c>
      <c r="B1118" s="39">
        <f>IF(B$1056,1-B644/B$1056,0)</f>
        <v>0.44696272665809478</v>
      </c>
      <c r="C1118" s="17"/>
    </row>
    <row r="1119" spans="1:3" x14ac:dyDescent="0.25">
      <c r="A1119" s="29" t="s">
        <v>179</v>
      </c>
      <c r="C1119" s="17"/>
    </row>
    <row r="1120" spans="1:3" x14ac:dyDescent="0.25">
      <c r="A1120" s="4" t="s">
        <v>179</v>
      </c>
      <c r="B1120" s="39">
        <f>IF(B$1057,1-B646/B$1057,0)</f>
        <v>1</v>
      </c>
      <c r="C1120" s="17"/>
    </row>
    <row r="1121" spans="1:3" x14ac:dyDescent="0.25">
      <c r="A1121" s="4" t="s">
        <v>260</v>
      </c>
      <c r="B1121" s="39">
        <f>IF(B$1057,1-B647/B$1057,0)</f>
        <v>0.70108493643982484</v>
      </c>
      <c r="C1121" s="17"/>
    </row>
    <row r="1122" spans="1:3" x14ac:dyDescent="0.25">
      <c r="A1122" s="4" t="s">
        <v>261</v>
      </c>
      <c r="B1122" s="39">
        <f>IF(B$1057,1-B648/B$1057,0)</f>
        <v>0.51324488585590822</v>
      </c>
      <c r="C1122" s="17"/>
    </row>
    <row r="1123" spans="1:3" x14ac:dyDescent="0.25">
      <c r="A1123" s="29" t="s">
        <v>180</v>
      </c>
      <c r="C1123" s="17"/>
    </row>
    <row r="1124" spans="1:3" x14ac:dyDescent="0.25">
      <c r="A1124" s="4" t="s">
        <v>180</v>
      </c>
      <c r="B1124" s="39">
        <f>IF(B$1058,1-B650/B$1058,0)</f>
        <v>1</v>
      </c>
      <c r="C1124" s="17"/>
    </row>
    <row r="1125" spans="1:3" x14ac:dyDescent="0.25">
      <c r="A1125" s="4" t="s">
        <v>263</v>
      </c>
      <c r="B1125" s="39">
        <f>IF(B$1058,1-B651/B$1058,0)</f>
        <v>0.65007762475184516</v>
      </c>
      <c r="C1125" s="17"/>
    </row>
    <row r="1126" spans="1:3" x14ac:dyDescent="0.25">
      <c r="A1126" s="29" t="s">
        <v>193</v>
      </c>
      <c r="C1126" s="17"/>
    </row>
    <row r="1127" spans="1:3" x14ac:dyDescent="0.25">
      <c r="A1127" s="4" t="s">
        <v>193</v>
      </c>
      <c r="B1127" s="39">
        <f>IF(B$1059,1-B653/B$1059,0)</f>
        <v>1</v>
      </c>
      <c r="C1127" s="17"/>
    </row>
    <row r="1128" spans="1:3" x14ac:dyDescent="0.25">
      <c r="A1128" s="4" t="s">
        <v>265</v>
      </c>
      <c r="B1128" s="39">
        <f>IF(B$1059,1-B654/B$1059,0)</f>
        <v>0.65380273642153597</v>
      </c>
      <c r="C1128" s="17"/>
    </row>
    <row r="1129" spans="1:3" x14ac:dyDescent="0.25">
      <c r="A1129" s="29" t="s">
        <v>215</v>
      </c>
      <c r="C1129" s="17"/>
    </row>
    <row r="1130" spans="1:3" x14ac:dyDescent="0.25">
      <c r="A1130" s="4" t="s">
        <v>215</v>
      </c>
      <c r="B1130" s="39">
        <f>IF(B$1060,1-B656/B$1060,0)</f>
        <v>1</v>
      </c>
      <c r="C1130" s="17"/>
    </row>
    <row r="1131" spans="1:3" x14ac:dyDescent="0.25">
      <c r="A1131" s="4" t="s">
        <v>267</v>
      </c>
      <c r="B1131" s="39">
        <f>IF(B$1060,1-B657/B$1060,0)</f>
        <v>0.76223691990550124</v>
      </c>
      <c r="C1131" s="17"/>
    </row>
    <row r="1132" spans="1:3" x14ac:dyDescent="0.25">
      <c r="A1132" s="4" t="s">
        <v>268</v>
      </c>
      <c r="B1132" s="39">
        <f>IF(B$1060,1-B658/B$1060,0)</f>
        <v>0.61282514901645224</v>
      </c>
      <c r="C1132" s="17"/>
    </row>
    <row r="1133" spans="1:3" x14ac:dyDescent="0.25">
      <c r="A1133" s="29" t="s">
        <v>216</v>
      </c>
      <c r="C1133" s="17"/>
    </row>
    <row r="1134" spans="1:3" x14ac:dyDescent="0.25">
      <c r="A1134" s="4" t="s">
        <v>216</v>
      </c>
      <c r="B1134" s="39">
        <f>IF(B$1061,1-B660/B$1061,0)</f>
        <v>1</v>
      </c>
      <c r="C1134" s="17"/>
    </row>
    <row r="1135" spans="1:3" x14ac:dyDescent="0.25">
      <c r="A1135" s="4" t="s">
        <v>270</v>
      </c>
      <c r="B1135" s="39">
        <f>IF(B$1061,1-B661/B$1061,0)</f>
        <v>0.78969668456527764</v>
      </c>
      <c r="C1135" s="17"/>
    </row>
    <row r="1136" spans="1:3" x14ac:dyDescent="0.25">
      <c r="A1136" s="4" t="s">
        <v>271</v>
      </c>
      <c r="B1136" s="39">
        <f>IF(B$1061,1-B662/B$1061,0)</f>
        <v>0.65754079740882099</v>
      </c>
      <c r="C1136" s="17"/>
    </row>
    <row r="1137" spans="1:3" x14ac:dyDescent="0.25">
      <c r="A1137" s="29" t="s">
        <v>217</v>
      </c>
      <c r="C1137" s="17"/>
    </row>
    <row r="1138" spans="1:3" x14ac:dyDescent="0.25">
      <c r="A1138" s="4" t="s">
        <v>217</v>
      </c>
      <c r="B1138" s="39">
        <f>IF(B$1062,1-B664/B$1062,0)</f>
        <v>1</v>
      </c>
      <c r="C1138" s="17"/>
    </row>
    <row r="1139" spans="1:3" x14ac:dyDescent="0.25">
      <c r="A1139" s="4" t="s">
        <v>273</v>
      </c>
      <c r="B1139" s="39">
        <f>IF(B$1062,1-B665/B$1062,0)</f>
        <v>0.85426443405535091</v>
      </c>
      <c r="C1139" s="17"/>
    </row>
    <row r="1140" spans="1:3" x14ac:dyDescent="0.25">
      <c r="A1140" s="4" t="s">
        <v>274</v>
      </c>
      <c r="B1140" s="39">
        <f>IF(B$1062,1-B666/B$1062,0)</f>
        <v>0.76268331481407281</v>
      </c>
      <c r="C1140" s="17"/>
    </row>
    <row r="1141" spans="1:3" x14ac:dyDescent="0.25">
      <c r="A1141" s="29" t="s">
        <v>218</v>
      </c>
      <c r="C1141" s="17"/>
    </row>
    <row r="1142" spans="1:3" x14ac:dyDescent="0.25">
      <c r="A1142" s="4" t="s">
        <v>218</v>
      </c>
      <c r="B1142" s="39">
        <f>IF(B$1063,1-B668/B$1063,0)</f>
        <v>1</v>
      </c>
      <c r="C1142" s="17"/>
    </row>
    <row r="1143" spans="1:3" x14ac:dyDescent="0.25">
      <c r="A1143" s="4" t="s">
        <v>276</v>
      </c>
      <c r="B1143" s="39">
        <f>IF(B$1063,1-B669/B$1063,0)</f>
        <v>0.74611779285425883</v>
      </c>
      <c r="C1143" s="17"/>
    </row>
    <row r="1144" spans="1:3" x14ac:dyDescent="0.25">
      <c r="A1144" s="4" t="s">
        <v>277</v>
      </c>
      <c r="B1144" s="39">
        <f>IF(B$1063,1-B670/B$1063,0)</f>
        <v>0.58657666413154397</v>
      </c>
      <c r="C1144" s="17"/>
    </row>
    <row r="1145" spans="1:3" x14ac:dyDescent="0.25">
      <c r="A1145" s="29" t="s">
        <v>219</v>
      </c>
      <c r="C1145" s="17"/>
    </row>
    <row r="1146" spans="1:3" x14ac:dyDescent="0.25">
      <c r="A1146" s="4" t="s">
        <v>219</v>
      </c>
      <c r="B1146" s="39">
        <f>IF(B$1064,1-B672/B$1064,0)</f>
        <v>1</v>
      </c>
      <c r="C1146" s="17"/>
    </row>
    <row r="1147" spans="1:3" x14ac:dyDescent="0.25">
      <c r="A1147" s="4" t="s">
        <v>279</v>
      </c>
      <c r="B1147" s="39">
        <f>IF(B$1064,1-B673/B$1064,0)</f>
        <v>0.80079888119290377</v>
      </c>
      <c r="C1147" s="17"/>
    </row>
    <row r="1148" spans="1:3" x14ac:dyDescent="0.25">
      <c r="A1148" s="4" t="s">
        <v>280</v>
      </c>
      <c r="B1148" s="39">
        <f>IF(B$1064,1-B674/B$1064,0)</f>
        <v>0.67561968216747548</v>
      </c>
      <c r="C1148" s="17"/>
    </row>
    <row r="1149" spans="1:3" x14ac:dyDescent="0.25">
      <c r="A1149" s="29" t="s">
        <v>181</v>
      </c>
      <c r="C1149" s="17"/>
    </row>
    <row r="1150" spans="1:3" x14ac:dyDescent="0.25">
      <c r="A1150" s="4" t="s">
        <v>181</v>
      </c>
      <c r="B1150" s="39">
        <f>IF(B$1065,1-B676/B$1065,0)</f>
        <v>1</v>
      </c>
      <c r="C1150" s="17"/>
    </row>
    <row r="1151" spans="1:3" x14ac:dyDescent="0.25">
      <c r="A1151" s="4" t="s">
        <v>282</v>
      </c>
      <c r="B1151" s="39">
        <f>IF(B$1065,1-B677/B$1065,0)</f>
        <v>1</v>
      </c>
      <c r="C1151" s="17"/>
    </row>
    <row r="1152" spans="1:3" x14ac:dyDescent="0.25">
      <c r="A1152" s="4" t="s">
        <v>283</v>
      </c>
      <c r="B1152" s="39">
        <f>IF(B$1065,1-B678/B$1065,0)</f>
        <v>1</v>
      </c>
      <c r="C1152" s="17"/>
    </row>
    <row r="1153" spans="1:3" x14ac:dyDescent="0.25">
      <c r="A1153" s="29" t="s">
        <v>182</v>
      </c>
      <c r="C1153" s="17"/>
    </row>
    <row r="1154" spans="1:3" x14ac:dyDescent="0.25">
      <c r="A1154" s="4" t="s">
        <v>182</v>
      </c>
      <c r="B1154" s="39">
        <f>IF(B$1066,1-B680/B$1066,0)</f>
        <v>0</v>
      </c>
      <c r="C1154" s="17"/>
    </row>
    <row r="1155" spans="1:3" x14ac:dyDescent="0.25">
      <c r="A1155" s="4" t="s">
        <v>285</v>
      </c>
      <c r="B1155" s="39">
        <f>IF(B$1066,1-B681/B$1066,0)</f>
        <v>0</v>
      </c>
      <c r="C1155" s="17"/>
    </row>
    <row r="1156" spans="1:3" x14ac:dyDescent="0.25">
      <c r="A1156" s="29" t="s">
        <v>183</v>
      </c>
      <c r="C1156" s="17"/>
    </row>
    <row r="1157" spans="1:3" x14ac:dyDescent="0.25">
      <c r="A1157" s="4" t="s">
        <v>183</v>
      </c>
      <c r="B1157" s="39">
        <f>IF(B$1067,1-B683/B$1067,0)</f>
        <v>1</v>
      </c>
      <c r="C1157" s="17"/>
    </row>
    <row r="1158" spans="1:3" x14ac:dyDescent="0.25">
      <c r="A1158" s="4" t="s">
        <v>287</v>
      </c>
      <c r="B1158" s="39">
        <f>IF(B$1067,1-B684/B$1067,0)</f>
        <v>1</v>
      </c>
      <c r="C1158" s="17"/>
    </row>
    <row r="1159" spans="1:3" x14ac:dyDescent="0.25">
      <c r="A1159" s="4" t="s">
        <v>288</v>
      </c>
      <c r="B1159" s="39">
        <f>IF(B$1067,1-B685/B$1067,0)</f>
        <v>1</v>
      </c>
      <c r="C1159" s="17"/>
    </row>
    <row r="1160" spans="1:3" x14ac:dyDescent="0.25">
      <c r="A1160" s="29" t="s">
        <v>184</v>
      </c>
      <c r="C1160" s="17"/>
    </row>
    <row r="1161" spans="1:3" x14ac:dyDescent="0.25">
      <c r="A1161" s="4" t="s">
        <v>184</v>
      </c>
      <c r="B1161" s="39">
        <f>IF(B$1068,1-B687/B$1068,0)</f>
        <v>1</v>
      </c>
      <c r="C1161" s="17"/>
    </row>
    <row r="1162" spans="1:3" x14ac:dyDescent="0.25">
      <c r="A1162" s="4" t="s">
        <v>290</v>
      </c>
      <c r="B1162" s="39">
        <f>IF(B$1068,1-B688/B$1068,0)</f>
        <v>1</v>
      </c>
      <c r="C1162" s="17"/>
    </row>
    <row r="1163" spans="1:3" x14ac:dyDescent="0.25">
      <c r="A1163" s="4" t="s">
        <v>291</v>
      </c>
      <c r="B1163" s="39">
        <f>IF(B$1068,1-B689/B$1068,0)</f>
        <v>1</v>
      </c>
      <c r="C1163" s="17"/>
    </row>
    <row r="1164" spans="1:3" x14ac:dyDescent="0.25">
      <c r="A1164" s="29" t="s">
        <v>185</v>
      </c>
      <c r="C1164" s="17"/>
    </row>
    <row r="1165" spans="1:3" x14ac:dyDescent="0.25">
      <c r="A1165" s="4" t="s">
        <v>185</v>
      </c>
      <c r="B1165" s="39">
        <f>IF(B$1069,1-B691/B$1069,0)</f>
        <v>1</v>
      </c>
      <c r="C1165" s="17"/>
    </row>
    <row r="1166" spans="1:3" x14ac:dyDescent="0.25">
      <c r="A1166" s="4" t="s">
        <v>293</v>
      </c>
      <c r="B1166" s="39">
        <f>IF(B$1069,1-B692/B$1069,0)</f>
        <v>1</v>
      </c>
      <c r="C1166" s="17"/>
    </row>
    <row r="1167" spans="1:3" x14ac:dyDescent="0.25">
      <c r="A1167" s="29" t="s">
        <v>186</v>
      </c>
      <c r="C1167" s="17"/>
    </row>
    <row r="1168" spans="1:3" x14ac:dyDescent="0.25">
      <c r="A1168" s="4" t="s">
        <v>186</v>
      </c>
      <c r="B1168" s="39">
        <f>IF(B$1070,1-B694/B$1070,0)</f>
        <v>1</v>
      </c>
      <c r="C1168" s="17"/>
    </row>
    <row r="1169" spans="1:5" x14ac:dyDescent="0.25">
      <c r="A1169" s="4" t="s">
        <v>295</v>
      </c>
      <c r="B1169" s="39">
        <f>IF(B$1070,1-B695/B$1070,0)</f>
        <v>1</v>
      </c>
      <c r="C1169" s="17"/>
    </row>
    <row r="1170" spans="1:5" x14ac:dyDescent="0.25">
      <c r="A1170" s="29" t="s">
        <v>194</v>
      </c>
      <c r="C1170" s="17"/>
    </row>
    <row r="1171" spans="1:5" x14ac:dyDescent="0.25">
      <c r="A1171" s="4" t="s">
        <v>194</v>
      </c>
      <c r="B1171" s="39">
        <f>IF(B$1071,1-B697/B$1071,0)</f>
        <v>1</v>
      </c>
      <c r="C1171" s="17"/>
    </row>
    <row r="1172" spans="1:5" x14ac:dyDescent="0.25">
      <c r="A1172" s="4" t="s">
        <v>297</v>
      </c>
      <c r="B1172" s="39">
        <f>IF(B$1071,1-B698/B$1071,0)</f>
        <v>1</v>
      </c>
      <c r="C1172" s="17"/>
    </row>
    <row r="1173" spans="1:5" x14ac:dyDescent="0.25">
      <c r="A1173" s="29" t="s">
        <v>195</v>
      </c>
      <c r="C1173" s="17"/>
    </row>
    <row r="1174" spans="1:5" x14ac:dyDescent="0.25">
      <c r="A1174" s="4" t="s">
        <v>195</v>
      </c>
      <c r="B1174" s="39">
        <f>IF(B$1072,1-B700/B$1072,0)</f>
        <v>1</v>
      </c>
      <c r="C1174" s="17"/>
    </row>
    <row r="1175" spans="1:5" x14ac:dyDescent="0.25">
      <c r="A1175" s="4" t="s">
        <v>299</v>
      </c>
      <c r="B1175" s="39">
        <f>IF(B$1072,1-B701/B$1072,0)</f>
        <v>1</v>
      </c>
      <c r="C1175" s="17"/>
    </row>
    <row r="1177" spans="1:5" ht="21" customHeight="1" x14ac:dyDescent="0.3">
      <c r="A1177" s="1" t="s">
        <v>1651</v>
      </c>
    </row>
    <row r="1178" spans="1:5" x14ac:dyDescent="0.25">
      <c r="A1178" s="2" t="s">
        <v>350</v>
      </c>
    </row>
    <row r="1179" spans="1:5" x14ac:dyDescent="0.25">
      <c r="A1179" s="32" t="s">
        <v>1652</v>
      </c>
    </row>
    <row r="1180" spans="1:5" x14ac:dyDescent="0.25">
      <c r="A1180" s="32" t="s">
        <v>1615</v>
      </c>
    </row>
    <row r="1181" spans="1:5" x14ac:dyDescent="0.25">
      <c r="A1181" s="32" t="s">
        <v>1616</v>
      </c>
    </row>
    <row r="1182" spans="1:5" x14ac:dyDescent="0.25">
      <c r="A1182" s="32" t="s">
        <v>1617</v>
      </c>
    </row>
    <row r="1183" spans="1:5" x14ac:dyDescent="0.25">
      <c r="A1183" s="32" t="s">
        <v>1618</v>
      </c>
    </row>
    <row r="1184" spans="1:5" ht="30" x14ac:dyDescent="0.25">
      <c r="A1184" s="33" t="s">
        <v>353</v>
      </c>
      <c r="B1184" s="33" t="s">
        <v>355</v>
      </c>
      <c r="C1184" s="33" t="s">
        <v>355</v>
      </c>
      <c r="D1184" s="33" t="s">
        <v>355</v>
      </c>
      <c r="E1184" s="33" t="s">
        <v>355</v>
      </c>
    </row>
    <row r="1185" spans="1:6" ht="30" x14ac:dyDescent="0.25">
      <c r="A1185" s="33" t="s">
        <v>356</v>
      </c>
      <c r="B1185" s="33" t="s">
        <v>358</v>
      </c>
      <c r="C1185" s="33" t="s">
        <v>1619</v>
      </c>
      <c r="D1185" s="33" t="s">
        <v>1620</v>
      </c>
      <c r="E1185" s="33" t="s">
        <v>1621</v>
      </c>
    </row>
    <row r="1187" spans="1:6" ht="60" x14ac:dyDescent="0.25">
      <c r="B1187" s="15" t="s">
        <v>1562</v>
      </c>
      <c r="C1187" s="15" t="s">
        <v>1563</v>
      </c>
      <c r="D1187" s="15" t="s">
        <v>1564</v>
      </c>
      <c r="E1187" s="15" t="s">
        <v>1565</v>
      </c>
    </row>
    <row r="1188" spans="1:6" x14ac:dyDescent="0.25">
      <c r="A1188" s="4" t="s">
        <v>1622</v>
      </c>
      <c r="B1188" s="21">
        <f>SUMPRODUCT(B$1081:B$1175,$B$716:$B$810)</f>
        <v>171070554.88161078</v>
      </c>
      <c r="C1188" s="21">
        <f>SUMPRODUCT(B$1081:B$1175,$C$716:$C$810)</f>
        <v>18660429.096197613</v>
      </c>
      <c r="D1188" s="21">
        <f>SUMPRODUCT(B$1081:B$1175,$D$716:$D$810)</f>
        <v>114075806.97661945</v>
      </c>
      <c r="E1188" s="21">
        <f>SUMPRODUCT(B$1081:B$1175,$E$716:$E$810)</f>
        <v>79683679.933912992</v>
      </c>
      <c r="F1188" s="17"/>
    </row>
    <row r="1190" spans="1:6" ht="21" customHeight="1" x14ac:dyDescent="0.3">
      <c r="A1190" s="1" t="s">
        <v>1653</v>
      </c>
    </row>
    <row r="1191" spans="1:6" x14ac:dyDescent="0.25">
      <c r="A1191" s="2" t="s">
        <v>350</v>
      </c>
    </row>
    <row r="1192" spans="1:6" x14ac:dyDescent="0.25">
      <c r="A1192" s="32" t="s">
        <v>1654</v>
      </c>
    </row>
    <row r="1193" spans="1:6" x14ac:dyDescent="0.25">
      <c r="A1193" s="32" t="s">
        <v>1655</v>
      </c>
    </row>
    <row r="1194" spans="1:6" x14ac:dyDescent="0.25">
      <c r="A1194" s="32" t="s">
        <v>1626</v>
      </c>
    </row>
    <row r="1195" spans="1:6" x14ac:dyDescent="0.25">
      <c r="A1195" s="32" t="s">
        <v>1656</v>
      </c>
    </row>
    <row r="1196" spans="1:6" x14ac:dyDescent="0.25">
      <c r="A1196" s="32" t="s">
        <v>1657</v>
      </c>
    </row>
    <row r="1197" spans="1:6" x14ac:dyDescent="0.25">
      <c r="A1197" s="32" t="s">
        <v>1629</v>
      </c>
    </row>
    <row r="1198" spans="1:6" x14ac:dyDescent="0.25">
      <c r="A1198" s="32" t="s">
        <v>1658</v>
      </c>
    </row>
    <row r="1199" spans="1:6" x14ac:dyDescent="0.25">
      <c r="A1199" s="32" t="s">
        <v>1648</v>
      </c>
    </row>
    <row r="1200" spans="1:6" x14ac:dyDescent="0.25">
      <c r="A1200" s="32" t="s">
        <v>1631</v>
      </c>
    </row>
    <row r="1201" spans="1:5" x14ac:dyDescent="0.25">
      <c r="A1201" s="32" t="s">
        <v>1659</v>
      </c>
    </row>
    <row r="1202" spans="1:5" x14ac:dyDescent="0.25">
      <c r="A1202" s="32" t="s">
        <v>1633</v>
      </c>
    </row>
    <row r="1203" spans="1:5" x14ac:dyDescent="0.25">
      <c r="A1203" s="32" t="s">
        <v>1660</v>
      </c>
    </row>
    <row r="1204" spans="1:5" x14ac:dyDescent="0.25">
      <c r="A1204" s="32" t="s">
        <v>1661</v>
      </c>
    </row>
    <row r="1205" spans="1:5" x14ac:dyDescent="0.25">
      <c r="A1205" s="33" t="s">
        <v>353</v>
      </c>
      <c r="B1205" s="33" t="s">
        <v>483</v>
      </c>
      <c r="C1205" s="33" t="s">
        <v>483</v>
      </c>
      <c r="D1205" s="33" t="s">
        <v>483</v>
      </c>
    </row>
    <row r="1206" spans="1:5" ht="30" x14ac:dyDescent="0.25">
      <c r="A1206" s="33" t="s">
        <v>356</v>
      </c>
      <c r="B1206" s="33" t="s">
        <v>1636</v>
      </c>
      <c r="C1206" s="33" t="s">
        <v>1637</v>
      </c>
      <c r="D1206" s="33" t="s">
        <v>1638</v>
      </c>
    </row>
    <row r="1208" spans="1:5" x14ac:dyDescent="0.25">
      <c r="B1208" s="15" t="s">
        <v>1639</v>
      </c>
      <c r="C1208" s="15" t="s">
        <v>1640</v>
      </c>
      <c r="D1208" s="15" t="s">
        <v>1641</v>
      </c>
    </row>
    <row r="1209" spans="1:5" x14ac:dyDescent="0.25">
      <c r="A1209" s="4" t="s">
        <v>1662</v>
      </c>
      <c r="B1209" s="44">
        <f>C1188*B1033-C256</f>
        <v>-162726.98334648833</v>
      </c>
      <c r="C1209" s="44">
        <f>D1188*C1033-D256</f>
        <v>155731.67250415683</v>
      </c>
      <c r="D1209" s="44">
        <f>E1188*D1033-E256+B1188-B256+B1209+C1209</f>
        <v>318921.78006339446</v>
      </c>
      <c r="E1209" s="17"/>
    </row>
    <row r="1211" spans="1:5" ht="21" customHeight="1" x14ac:dyDescent="0.3">
      <c r="A1211" s="1" t="s">
        <v>1663</v>
      </c>
    </row>
    <row r="1213" spans="1:5" ht="75" x14ac:dyDescent="0.25">
      <c r="B1213" s="15" t="s">
        <v>1593</v>
      </c>
      <c r="C1213" s="15" t="s">
        <v>1594</v>
      </c>
      <c r="D1213" s="15" t="s">
        <v>1595</v>
      </c>
    </row>
    <row r="1214" spans="1:5" x14ac:dyDescent="0.25">
      <c r="A1214" s="4" t="s">
        <v>1664</v>
      </c>
      <c r="B1214" s="28">
        <v>0.99</v>
      </c>
      <c r="C1214" s="28">
        <v>0.99</v>
      </c>
      <c r="D1214" s="28">
        <v>1</v>
      </c>
      <c r="E1214" s="17"/>
    </row>
    <row r="1216" spans="1:5" ht="21" customHeight="1" x14ac:dyDescent="0.3">
      <c r="A1216" s="1" t="s">
        <v>1665</v>
      </c>
    </row>
    <row r="1217" spans="1:3" x14ac:dyDescent="0.25">
      <c r="A1217" s="2" t="s">
        <v>350</v>
      </c>
    </row>
    <row r="1218" spans="1:3" x14ac:dyDescent="0.25">
      <c r="A1218" s="32" t="s">
        <v>1598</v>
      </c>
    </row>
    <row r="1219" spans="1:3" x14ac:dyDescent="0.25">
      <c r="A1219" s="32" t="s">
        <v>1599</v>
      </c>
    </row>
    <row r="1220" spans="1:3" x14ac:dyDescent="0.25">
      <c r="A1220" s="32" t="s">
        <v>1600</v>
      </c>
    </row>
    <row r="1221" spans="1:3" x14ac:dyDescent="0.25">
      <c r="A1221" s="32" t="s">
        <v>1666</v>
      </c>
    </row>
    <row r="1222" spans="1:3" x14ac:dyDescent="0.25">
      <c r="A1222" s="32" t="s">
        <v>1602</v>
      </c>
    </row>
    <row r="1223" spans="1:3" x14ac:dyDescent="0.25">
      <c r="A1223" s="32" t="s">
        <v>1667</v>
      </c>
    </row>
    <row r="1224" spans="1:3" x14ac:dyDescent="0.25">
      <c r="A1224" s="32" t="s">
        <v>1604</v>
      </c>
    </row>
    <row r="1225" spans="1:3" x14ac:dyDescent="0.25">
      <c r="A1225" s="32" t="s">
        <v>1668</v>
      </c>
    </row>
    <row r="1226" spans="1:3" x14ac:dyDescent="0.25">
      <c r="A1226" s="2" t="s">
        <v>1606</v>
      </c>
    </row>
    <row r="1228" spans="1:3" x14ac:dyDescent="0.25">
      <c r="B1228" s="15" t="s">
        <v>1607</v>
      </c>
    </row>
    <row r="1229" spans="1:3" x14ac:dyDescent="0.25">
      <c r="A1229" s="4" t="s">
        <v>171</v>
      </c>
      <c r="B1229" s="37">
        <f t="shared" ref="B1229:B1253" si="6">IF(F823,(B823+C823*B$1214+D823*C$1214+E823*D$1214)/F823*0.1,0)</f>
        <v>2.5220004490300383</v>
      </c>
      <c r="C1229" s="17"/>
    </row>
    <row r="1230" spans="1:3" x14ac:dyDescent="0.25">
      <c r="A1230" s="4" t="s">
        <v>1567</v>
      </c>
      <c r="B1230" s="37">
        <f t="shared" si="6"/>
        <v>1.5805255388375197</v>
      </c>
      <c r="C1230" s="17"/>
    </row>
    <row r="1231" spans="1:3" x14ac:dyDescent="0.25">
      <c r="A1231" s="4" t="s">
        <v>173</v>
      </c>
      <c r="B1231" s="37">
        <f t="shared" si="6"/>
        <v>2.1717640444411916</v>
      </c>
      <c r="C1231" s="17"/>
    </row>
    <row r="1232" spans="1:3" ht="30" x14ac:dyDescent="0.25">
      <c r="A1232" s="4" t="s">
        <v>1568</v>
      </c>
      <c r="B1232" s="37">
        <f t="shared" si="6"/>
        <v>1.5970933539112011</v>
      </c>
      <c r="C1232" s="17"/>
    </row>
    <row r="1233" spans="1:3" x14ac:dyDescent="0.25">
      <c r="A1233" s="4" t="s">
        <v>175</v>
      </c>
      <c r="B1233" s="37">
        <f t="shared" si="6"/>
        <v>0</v>
      </c>
      <c r="C1233" s="17"/>
    </row>
    <row r="1234" spans="1:3" x14ac:dyDescent="0.25">
      <c r="A1234" s="4" t="s">
        <v>176</v>
      </c>
      <c r="B1234" s="37">
        <f t="shared" si="6"/>
        <v>0</v>
      </c>
      <c r="C1234" s="17"/>
    </row>
    <row r="1235" spans="1:3" x14ac:dyDescent="0.25">
      <c r="A1235" s="4" t="s">
        <v>192</v>
      </c>
      <c r="B1235" s="37">
        <f t="shared" si="6"/>
        <v>1.4839692513132889</v>
      </c>
      <c r="C1235" s="17"/>
    </row>
    <row r="1236" spans="1:3" x14ac:dyDescent="0.25">
      <c r="A1236" s="4" t="s">
        <v>177</v>
      </c>
      <c r="B1236" s="37">
        <f t="shared" si="6"/>
        <v>0</v>
      </c>
      <c r="C1236" s="17"/>
    </row>
    <row r="1237" spans="1:3" x14ac:dyDescent="0.25">
      <c r="A1237" s="4" t="s">
        <v>178</v>
      </c>
      <c r="B1237" s="37">
        <f t="shared" si="6"/>
        <v>1.991217210306778</v>
      </c>
      <c r="C1237" s="17"/>
    </row>
    <row r="1238" spans="1:3" x14ac:dyDescent="0.25">
      <c r="A1238" s="4" t="s">
        <v>179</v>
      </c>
      <c r="B1238" s="37">
        <f t="shared" si="6"/>
        <v>2.2610926702097944</v>
      </c>
      <c r="C1238" s="17"/>
    </row>
    <row r="1239" spans="1:3" x14ac:dyDescent="0.25">
      <c r="A1239" s="4" t="s">
        <v>180</v>
      </c>
      <c r="B1239" s="37">
        <f t="shared" si="6"/>
        <v>1.8353061306332137</v>
      </c>
      <c r="C1239" s="17"/>
    </row>
    <row r="1240" spans="1:3" x14ac:dyDescent="0.25">
      <c r="A1240" s="4" t="s">
        <v>193</v>
      </c>
      <c r="B1240" s="37">
        <f t="shared" si="6"/>
        <v>1.1907942945514636</v>
      </c>
      <c r="C1240" s="17"/>
    </row>
    <row r="1241" spans="1:3" x14ac:dyDescent="0.25">
      <c r="A1241" s="4" t="s">
        <v>215</v>
      </c>
      <c r="B1241" s="37">
        <f t="shared" si="6"/>
        <v>2.8321113381921919</v>
      </c>
      <c r="C1241" s="17"/>
    </row>
    <row r="1242" spans="1:3" x14ac:dyDescent="0.25">
      <c r="A1242" s="4" t="s">
        <v>216</v>
      </c>
      <c r="B1242" s="37">
        <f t="shared" si="6"/>
        <v>3.2037743634394857</v>
      </c>
      <c r="C1242" s="17"/>
    </row>
    <row r="1243" spans="1:3" x14ac:dyDescent="0.25">
      <c r="A1243" s="4" t="s">
        <v>217</v>
      </c>
      <c r="B1243" s="37">
        <f t="shared" si="6"/>
        <v>4.6286438121109441</v>
      </c>
      <c r="C1243" s="17"/>
    </row>
    <row r="1244" spans="1:3" x14ac:dyDescent="0.25">
      <c r="A1244" s="4" t="s">
        <v>218</v>
      </c>
      <c r="B1244" s="37">
        <f t="shared" si="6"/>
        <v>2.6513175561765454</v>
      </c>
      <c r="C1244" s="17"/>
    </row>
    <row r="1245" spans="1:3" x14ac:dyDescent="0.25">
      <c r="A1245" s="4" t="s">
        <v>219</v>
      </c>
      <c r="B1245" s="37">
        <f t="shared" si="6"/>
        <v>3.3829909654650567</v>
      </c>
      <c r="C1245" s="17"/>
    </row>
    <row r="1246" spans="1:3" x14ac:dyDescent="0.25">
      <c r="A1246" s="4" t="s">
        <v>181</v>
      </c>
      <c r="B1246" s="37">
        <f t="shared" si="6"/>
        <v>-0.90894821707472551</v>
      </c>
      <c r="C1246" s="17"/>
    </row>
    <row r="1247" spans="1:3" x14ac:dyDescent="0.25">
      <c r="A1247" s="4" t="s">
        <v>182</v>
      </c>
      <c r="B1247" s="37">
        <f t="shared" si="6"/>
        <v>0</v>
      </c>
      <c r="C1247" s="17"/>
    </row>
    <row r="1248" spans="1:3" x14ac:dyDescent="0.25">
      <c r="A1248" s="4" t="s">
        <v>183</v>
      </c>
      <c r="B1248" s="37">
        <f t="shared" si="6"/>
        <v>-0.90207716259082105</v>
      </c>
      <c r="C1248" s="17"/>
    </row>
    <row r="1249" spans="1:3" x14ac:dyDescent="0.25">
      <c r="A1249" s="4" t="s">
        <v>184</v>
      </c>
      <c r="B1249" s="37">
        <f t="shared" si="6"/>
        <v>-0.81729639854477476</v>
      </c>
      <c r="C1249" s="17"/>
    </row>
    <row r="1250" spans="1:3" x14ac:dyDescent="0.25">
      <c r="A1250" s="4" t="s">
        <v>185</v>
      </c>
      <c r="B1250" s="37">
        <f t="shared" si="6"/>
        <v>-0.72400908472373171</v>
      </c>
      <c r="C1250" s="17"/>
    </row>
    <row r="1251" spans="1:3" x14ac:dyDescent="0.25">
      <c r="A1251" s="4" t="s">
        <v>186</v>
      </c>
      <c r="B1251" s="37">
        <f t="shared" si="6"/>
        <v>-0.56422995178761981</v>
      </c>
      <c r="C1251" s="17"/>
    </row>
    <row r="1252" spans="1:3" x14ac:dyDescent="0.25">
      <c r="A1252" s="4" t="s">
        <v>194</v>
      </c>
      <c r="B1252" s="37">
        <f t="shared" si="6"/>
        <v>-0.51992090727504037</v>
      </c>
      <c r="C1252" s="17"/>
    </row>
    <row r="1253" spans="1:3" x14ac:dyDescent="0.25">
      <c r="A1253" s="4" t="s">
        <v>195</v>
      </c>
      <c r="B1253" s="37">
        <f t="shared" si="6"/>
        <v>-0.4822719057257504</v>
      </c>
      <c r="C1253" s="17"/>
    </row>
    <row r="1255" spans="1:3" ht="21" customHeight="1" x14ac:dyDescent="0.3">
      <c r="A1255" s="1" t="s">
        <v>1669</v>
      </c>
    </row>
    <row r="1256" spans="1:3" x14ac:dyDescent="0.25">
      <c r="A1256" s="2" t="s">
        <v>350</v>
      </c>
    </row>
    <row r="1257" spans="1:3" x14ac:dyDescent="0.25">
      <c r="A1257" s="32" t="s">
        <v>1670</v>
      </c>
    </row>
    <row r="1258" spans="1:3" x14ac:dyDescent="0.25">
      <c r="A1258" s="32" t="s">
        <v>1610</v>
      </c>
    </row>
    <row r="1259" spans="1:3" x14ac:dyDescent="0.25">
      <c r="A1259" s="2" t="s">
        <v>1611</v>
      </c>
    </row>
    <row r="1261" spans="1:3" ht="30" x14ac:dyDescent="0.25">
      <c r="B1261" s="15" t="s">
        <v>1612</v>
      </c>
    </row>
    <row r="1262" spans="1:3" x14ac:dyDescent="0.25">
      <c r="A1262" s="29" t="s">
        <v>171</v>
      </c>
      <c r="C1262" s="17"/>
    </row>
    <row r="1263" spans="1:3" x14ac:dyDescent="0.25">
      <c r="A1263" s="4" t="s">
        <v>171</v>
      </c>
      <c r="B1263" s="39">
        <f>IF(B$1229,1-B608/B$1229,0)</f>
        <v>1</v>
      </c>
      <c r="C1263" s="17"/>
    </row>
    <row r="1264" spans="1:3" x14ac:dyDescent="0.25">
      <c r="A1264" s="4" t="s">
        <v>231</v>
      </c>
      <c r="B1264" s="39">
        <f>IF(B$1229,1-B609/B$1229,0)</f>
        <v>0.73127371296434474</v>
      </c>
      <c r="C1264" s="17"/>
    </row>
    <row r="1265" spans="1:3" x14ac:dyDescent="0.25">
      <c r="A1265" s="4" t="s">
        <v>232</v>
      </c>
      <c r="B1265" s="39">
        <f>IF(B$1229,1-B610/B$1229,0)</f>
        <v>0.56240447382730863</v>
      </c>
      <c r="C1265" s="17"/>
    </row>
    <row r="1266" spans="1:3" x14ac:dyDescent="0.25">
      <c r="A1266" s="29" t="s">
        <v>1567</v>
      </c>
      <c r="C1266" s="17"/>
    </row>
    <row r="1267" spans="1:3" x14ac:dyDescent="0.25">
      <c r="A1267" s="4" t="s">
        <v>172</v>
      </c>
      <c r="B1267" s="39">
        <f t="shared" ref="B1267:B1272" si="7">IF(B$1230,1-B612/B$1230,0)</f>
        <v>1</v>
      </c>
      <c r="C1267" s="17"/>
    </row>
    <row r="1268" spans="1:3" x14ac:dyDescent="0.25">
      <c r="A1268" s="4" t="s">
        <v>234</v>
      </c>
      <c r="B1268" s="39">
        <f t="shared" si="7"/>
        <v>0.57120097086911481</v>
      </c>
      <c r="C1268" s="17"/>
    </row>
    <row r="1269" spans="1:3" x14ac:dyDescent="0.25">
      <c r="A1269" s="4" t="s">
        <v>235</v>
      </c>
      <c r="B1269" s="39">
        <f t="shared" si="7"/>
        <v>0.30174104348052755</v>
      </c>
      <c r="C1269" s="17"/>
    </row>
    <row r="1270" spans="1:3" x14ac:dyDescent="0.25">
      <c r="A1270" s="4" t="s">
        <v>213</v>
      </c>
      <c r="B1270" s="39">
        <f t="shared" si="7"/>
        <v>1</v>
      </c>
      <c r="C1270" s="17"/>
    </row>
    <row r="1271" spans="1:3" x14ac:dyDescent="0.25">
      <c r="A1271" s="4" t="s">
        <v>237</v>
      </c>
      <c r="B1271" s="39">
        <f t="shared" si="7"/>
        <v>0.57120097086911481</v>
      </c>
      <c r="C1271" s="17"/>
    </row>
    <row r="1272" spans="1:3" x14ac:dyDescent="0.25">
      <c r="A1272" s="4" t="s">
        <v>238</v>
      </c>
      <c r="B1272" s="39">
        <f t="shared" si="7"/>
        <v>0.30174104348052755</v>
      </c>
      <c r="C1272" s="17"/>
    </row>
    <row r="1273" spans="1:3" x14ac:dyDescent="0.25">
      <c r="A1273" s="29" t="s">
        <v>173</v>
      </c>
      <c r="C1273" s="17"/>
    </row>
    <row r="1274" spans="1:3" x14ac:dyDescent="0.25">
      <c r="A1274" s="4" t="s">
        <v>173</v>
      </c>
      <c r="B1274" s="39">
        <f>IF(B$1231,1-B619/B$1231,0)</f>
        <v>1</v>
      </c>
      <c r="C1274" s="17"/>
    </row>
    <row r="1275" spans="1:3" x14ac:dyDescent="0.25">
      <c r="A1275" s="4" t="s">
        <v>240</v>
      </c>
      <c r="B1275" s="39">
        <f>IF(B$1231,1-B620/B$1231,0)</f>
        <v>0.68793671747867935</v>
      </c>
      <c r="C1275" s="17"/>
    </row>
    <row r="1276" spans="1:3" x14ac:dyDescent="0.25">
      <c r="A1276" s="4" t="s">
        <v>241</v>
      </c>
      <c r="B1276" s="39">
        <f>IF(B$1231,1-B621/B$1231,0)</f>
        <v>0.49183424583998459</v>
      </c>
      <c r="C1276" s="17"/>
    </row>
    <row r="1277" spans="1:3" ht="30" x14ac:dyDescent="0.25">
      <c r="A1277" s="29" t="s">
        <v>1568</v>
      </c>
      <c r="C1277" s="17"/>
    </row>
    <row r="1278" spans="1:3" x14ac:dyDescent="0.25">
      <c r="A1278" s="4" t="s">
        <v>174</v>
      </c>
      <c r="B1278" s="39">
        <f t="shared" ref="B1278:B1283" si="8">IF(B$1232,1-B623/B$1232,0)</f>
        <v>1</v>
      </c>
      <c r="C1278" s="17"/>
    </row>
    <row r="1279" spans="1:3" x14ac:dyDescent="0.25">
      <c r="A1279" s="4" t="s">
        <v>243</v>
      </c>
      <c r="B1279" s="39">
        <f t="shared" si="8"/>
        <v>0.57564921617739095</v>
      </c>
      <c r="C1279" s="17"/>
    </row>
    <row r="1280" spans="1:3" x14ac:dyDescent="0.25">
      <c r="A1280" s="4" t="s">
        <v>244</v>
      </c>
      <c r="B1280" s="39">
        <f t="shared" si="8"/>
        <v>0.30898459329358352</v>
      </c>
      <c r="C1280" s="17"/>
    </row>
    <row r="1281" spans="1:3" x14ac:dyDescent="0.25">
      <c r="A1281" s="4" t="s">
        <v>214</v>
      </c>
      <c r="B1281" s="39">
        <f t="shared" si="8"/>
        <v>1</v>
      </c>
      <c r="C1281" s="17"/>
    </row>
    <row r="1282" spans="1:3" ht="30" x14ac:dyDescent="0.25">
      <c r="A1282" s="4" t="s">
        <v>246</v>
      </c>
      <c r="B1282" s="39">
        <f t="shared" si="8"/>
        <v>0.57564921617739095</v>
      </c>
      <c r="C1282" s="17"/>
    </row>
    <row r="1283" spans="1:3" ht="30" x14ac:dyDescent="0.25">
      <c r="A1283" s="4" t="s">
        <v>247</v>
      </c>
      <c r="B1283" s="39">
        <f t="shared" si="8"/>
        <v>0.30898459329358352</v>
      </c>
      <c r="C1283" s="17"/>
    </row>
    <row r="1284" spans="1:3" x14ac:dyDescent="0.25">
      <c r="A1284" s="29" t="s">
        <v>175</v>
      </c>
      <c r="C1284" s="17"/>
    </row>
    <row r="1285" spans="1:3" x14ac:dyDescent="0.25">
      <c r="A1285" s="4" t="s">
        <v>175</v>
      </c>
      <c r="B1285" s="39">
        <f>IF(B$1233,1-B630/B$1233,0)</f>
        <v>0</v>
      </c>
      <c r="C1285" s="17"/>
    </row>
    <row r="1286" spans="1:3" x14ac:dyDescent="0.25">
      <c r="A1286" s="4" t="s">
        <v>249</v>
      </c>
      <c r="B1286" s="39">
        <f>IF(B$1233,1-B631/B$1233,0)</f>
        <v>0</v>
      </c>
      <c r="C1286" s="17"/>
    </row>
    <row r="1287" spans="1:3" x14ac:dyDescent="0.25">
      <c r="A1287" s="4" t="s">
        <v>250</v>
      </c>
      <c r="B1287" s="39">
        <f>IF(B$1233,1-B632/B$1233,0)</f>
        <v>0</v>
      </c>
      <c r="C1287" s="17"/>
    </row>
    <row r="1288" spans="1:3" x14ac:dyDescent="0.25">
      <c r="A1288" s="29" t="s">
        <v>176</v>
      </c>
      <c r="C1288" s="17"/>
    </row>
    <row r="1289" spans="1:3" x14ac:dyDescent="0.25">
      <c r="A1289" s="4" t="s">
        <v>176</v>
      </c>
      <c r="B1289" s="39">
        <f>IF(B$1234,1-B634/B$1234,0)</f>
        <v>0</v>
      </c>
      <c r="C1289" s="17"/>
    </row>
    <row r="1290" spans="1:3" x14ac:dyDescent="0.25">
      <c r="A1290" s="29" t="s">
        <v>192</v>
      </c>
      <c r="C1290" s="17"/>
    </row>
    <row r="1291" spans="1:3" x14ac:dyDescent="0.25">
      <c r="A1291" s="4" t="s">
        <v>192</v>
      </c>
      <c r="B1291" s="39">
        <f>IF(B$1235,1-B636/B$1235,0)</f>
        <v>1</v>
      </c>
      <c r="C1291" s="17"/>
    </row>
    <row r="1292" spans="1:3" x14ac:dyDescent="0.25">
      <c r="A1292" s="29" t="s">
        <v>177</v>
      </c>
      <c r="C1292" s="17"/>
    </row>
    <row r="1293" spans="1:3" x14ac:dyDescent="0.25">
      <c r="A1293" s="4" t="s">
        <v>177</v>
      </c>
      <c r="B1293" s="39">
        <f>IF(B$1236,1-B638/B$1236,0)</f>
        <v>0</v>
      </c>
      <c r="C1293" s="17"/>
    </row>
    <row r="1294" spans="1:3" x14ac:dyDescent="0.25">
      <c r="A1294" s="4" t="s">
        <v>254</v>
      </c>
      <c r="B1294" s="39">
        <f>IF(B$1236,1-B639/B$1236,0)</f>
        <v>0</v>
      </c>
      <c r="C1294" s="17"/>
    </row>
    <row r="1295" spans="1:3" x14ac:dyDescent="0.25">
      <c r="A1295" s="4" t="s">
        <v>255</v>
      </c>
      <c r="B1295" s="39">
        <f>IF(B$1236,1-B640/B$1236,0)</f>
        <v>0</v>
      </c>
      <c r="C1295" s="17"/>
    </row>
    <row r="1296" spans="1:3" x14ac:dyDescent="0.25">
      <c r="A1296" s="29" t="s">
        <v>178</v>
      </c>
      <c r="C1296" s="17"/>
    </row>
    <row r="1297" spans="1:3" x14ac:dyDescent="0.25">
      <c r="A1297" s="4" t="s">
        <v>178</v>
      </c>
      <c r="B1297" s="39">
        <f>IF(B$1237,1-B642/B$1237,0)</f>
        <v>1</v>
      </c>
      <c r="C1297" s="17"/>
    </row>
    <row r="1298" spans="1:3" x14ac:dyDescent="0.25">
      <c r="A1298" s="4" t="s">
        <v>257</v>
      </c>
      <c r="B1298" s="39">
        <f>IF(B$1237,1-B643/B$1237,0)</f>
        <v>0.65964144290130799</v>
      </c>
      <c r="C1298" s="17"/>
    </row>
    <row r="1299" spans="1:3" x14ac:dyDescent="0.25">
      <c r="A1299" s="4" t="s">
        <v>258</v>
      </c>
      <c r="B1299" s="39">
        <f>IF(B$1237,1-B644/B$1237,0)</f>
        <v>0.44575804799766972</v>
      </c>
      <c r="C1299" s="17"/>
    </row>
    <row r="1300" spans="1:3" x14ac:dyDescent="0.25">
      <c r="A1300" s="29" t="s">
        <v>179</v>
      </c>
      <c r="C1300" s="17"/>
    </row>
    <row r="1301" spans="1:3" x14ac:dyDescent="0.25">
      <c r="A1301" s="4" t="s">
        <v>179</v>
      </c>
      <c r="B1301" s="39">
        <f>IF(B$1238,1-B646/B$1238,0)</f>
        <v>1</v>
      </c>
      <c r="C1301" s="17"/>
    </row>
    <row r="1302" spans="1:3" x14ac:dyDescent="0.25">
      <c r="A1302" s="4" t="s">
        <v>260</v>
      </c>
      <c r="B1302" s="39">
        <f>IF(B$1238,1-B647/B$1238,0)</f>
        <v>0.70026535157127601</v>
      </c>
      <c r="C1302" s="17"/>
    </row>
    <row r="1303" spans="1:3" x14ac:dyDescent="0.25">
      <c r="A1303" s="4" t="s">
        <v>261</v>
      </c>
      <c r="B1303" s="39">
        <f>IF(B$1238,1-B648/B$1238,0)</f>
        <v>0.5119102688530387</v>
      </c>
      <c r="C1303" s="17"/>
    </row>
    <row r="1304" spans="1:3" x14ac:dyDescent="0.25">
      <c r="A1304" s="29" t="s">
        <v>180</v>
      </c>
      <c r="C1304" s="17"/>
    </row>
    <row r="1305" spans="1:3" x14ac:dyDescent="0.25">
      <c r="A1305" s="4" t="s">
        <v>180</v>
      </c>
      <c r="B1305" s="39">
        <f>IF(B$1239,1-B650/B$1239,0)</f>
        <v>1</v>
      </c>
      <c r="C1305" s="17"/>
    </row>
    <row r="1306" spans="1:3" x14ac:dyDescent="0.25">
      <c r="A1306" s="4" t="s">
        <v>263</v>
      </c>
      <c r="B1306" s="39">
        <f>IF(B$1239,1-B651/B$1239,0)</f>
        <v>0.64906746600720733</v>
      </c>
      <c r="C1306" s="17"/>
    </row>
    <row r="1307" spans="1:3" x14ac:dyDescent="0.25">
      <c r="A1307" s="29" t="s">
        <v>193</v>
      </c>
      <c r="C1307" s="17"/>
    </row>
    <row r="1308" spans="1:3" x14ac:dyDescent="0.25">
      <c r="A1308" s="4" t="s">
        <v>193</v>
      </c>
      <c r="B1308" s="39">
        <f>IF(B$1240,1-B653/B$1240,0)</f>
        <v>1</v>
      </c>
      <c r="C1308" s="17"/>
    </row>
    <row r="1309" spans="1:3" x14ac:dyDescent="0.25">
      <c r="A1309" s="4" t="s">
        <v>265</v>
      </c>
      <c r="B1309" s="39">
        <f>IF(B$1240,1-B654/B$1240,0)</f>
        <v>0.65286414362734679</v>
      </c>
      <c r="C1309" s="17"/>
    </row>
    <row r="1310" spans="1:3" x14ac:dyDescent="0.25">
      <c r="A1310" s="29" t="s">
        <v>215</v>
      </c>
      <c r="C1310" s="17"/>
    </row>
    <row r="1311" spans="1:3" x14ac:dyDescent="0.25">
      <c r="A1311" s="4" t="s">
        <v>215</v>
      </c>
      <c r="B1311" s="39">
        <f>IF(B$1241,1-B656/B$1241,0)</f>
        <v>1</v>
      </c>
      <c r="C1311" s="17"/>
    </row>
    <row r="1312" spans="1:3" x14ac:dyDescent="0.25">
      <c r="A1312" s="4" t="s">
        <v>267</v>
      </c>
      <c r="B1312" s="39">
        <f>IF(B$1241,1-B657/B$1241,0)</f>
        <v>0.7606987382767556</v>
      </c>
      <c r="C1312" s="17"/>
    </row>
    <row r="1313" spans="1:3" x14ac:dyDescent="0.25">
      <c r="A1313" s="4" t="s">
        <v>268</v>
      </c>
      <c r="B1313" s="39">
        <f>IF(B$1241,1-B658/B$1241,0)</f>
        <v>0.61032036466280681</v>
      </c>
      <c r="C1313" s="17"/>
    </row>
    <row r="1314" spans="1:3" x14ac:dyDescent="0.25">
      <c r="A1314" s="29" t="s">
        <v>216</v>
      </c>
      <c r="C1314" s="17"/>
    </row>
    <row r="1315" spans="1:3" x14ac:dyDescent="0.25">
      <c r="A1315" s="4" t="s">
        <v>216</v>
      </c>
      <c r="B1315" s="39">
        <f>IF(B$1242,1-B660/B$1242,0)</f>
        <v>1</v>
      </c>
      <c r="C1315" s="17"/>
    </row>
    <row r="1316" spans="1:3" x14ac:dyDescent="0.25">
      <c r="A1316" s="4" t="s">
        <v>270</v>
      </c>
      <c r="B1316" s="39">
        <f>IF(B$1242,1-B661/B$1242,0)</f>
        <v>0.78845956684586638</v>
      </c>
      <c r="C1316" s="17"/>
    </row>
    <row r="1317" spans="1:3" x14ac:dyDescent="0.25">
      <c r="A1317" s="4" t="s">
        <v>271</v>
      </c>
      <c r="B1317" s="39">
        <f>IF(B$1242,1-B662/B$1242,0)</f>
        <v>0.65552626736289543</v>
      </c>
      <c r="C1317" s="17"/>
    </row>
    <row r="1318" spans="1:3" x14ac:dyDescent="0.25">
      <c r="A1318" s="29" t="s">
        <v>217</v>
      </c>
      <c r="C1318" s="17"/>
    </row>
    <row r="1319" spans="1:3" x14ac:dyDescent="0.25">
      <c r="A1319" s="4" t="s">
        <v>217</v>
      </c>
      <c r="B1319" s="39">
        <f>IF(B$1243,1-B664/B$1243,0)</f>
        <v>1</v>
      </c>
      <c r="C1319" s="17"/>
    </row>
    <row r="1320" spans="1:3" x14ac:dyDescent="0.25">
      <c r="A1320" s="4" t="s">
        <v>273</v>
      </c>
      <c r="B1320" s="39">
        <f>IF(B$1243,1-B665/B$1243,0)</f>
        <v>0.85357961336389532</v>
      </c>
      <c r="C1320" s="17"/>
    </row>
    <row r="1321" spans="1:3" x14ac:dyDescent="0.25">
      <c r="A1321" s="4" t="s">
        <v>274</v>
      </c>
      <c r="B1321" s="39">
        <f>IF(B$1243,1-B666/B$1243,0)</f>
        <v>0.76156814861981204</v>
      </c>
      <c r="C1321" s="17"/>
    </row>
    <row r="1322" spans="1:3" x14ac:dyDescent="0.25">
      <c r="A1322" s="29" t="s">
        <v>218</v>
      </c>
      <c r="C1322" s="17"/>
    </row>
    <row r="1323" spans="1:3" x14ac:dyDescent="0.25">
      <c r="A1323" s="4" t="s">
        <v>218</v>
      </c>
      <c r="B1323" s="39">
        <f>IF(B$1244,1-B668/B$1244,0)</f>
        <v>1</v>
      </c>
      <c r="C1323" s="17"/>
    </row>
    <row r="1324" spans="1:3" x14ac:dyDescent="0.25">
      <c r="A1324" s="4" t="s">
        <v>276</v>
      </c>
      <c r="B1324" s="39">
        <f>IF(B$1244,1-B669/B$1244,0)</f>
        <v>0.74438074571970692</v>
      </c>
      <c r="C1324" s="17"/>
    </row>
    <row r="1325" spans="1:3" x14ac:dyDescent="0.25">
      <c r="A1325" s="4" t="s">
        <v>277</v>
      </c>
      <c r="B1325" s="39">
        <f>IF(B$1244,1-B670/B$1244,0)</f>
        <v>0.58374804597432539</v>
      </c>
      <c r="C1325" s="17"/>
    </row>
    <row r="1326" spans="1:3" x14ac:dyDescent="0.25">
      <c r="A1326" s="29" t="s">
        <v>219</v>
      </c>
      <c r="C1326" s="17"/>
    </row>
    <row r="1327" spans="1:3" x14ac:dyDescent="0.25">
      <c r="A1327" s="4" t="s">
        <v>219</v>
      </c>
      <c r="B1327" s="39">
        <f>IF(B$1245,1-B672/B$1245,0)</f>
        <v>1</v>
      </c>
      <c r="C1327" s="17"/>
    </row>
    <row r="1328" spans="1:3" x14ac:dyDescent="0.25">
      <c r="A1328" s="4" t="s">
        <v>279</v>
      </c>
      <c r="B1328" s="39">
        <f>IF(B$1245,1-B673/B$1245,0)</f>
        <v>0.79966608735033051</v>
      </c>
      <c r="C1328" s="17"/>
    </row>
    <row r="1329" spans="1:3" x14ac:dyDescent="0.25">
      <c r="A1329" s="4" t="s">
        <v>280</v>
      </c>
      <c r="B1329" s="39">
        <f>IF(B$1245,1-B674/B$1245,0)</f>
        <v>0.67377503375940873</v>
      </c>
      <c r="C1329" s="17"/>
    </row>
    <row r="1330" spans="1:3" x14ac:dyDescent="0.25">
      <c r="A1330" s="29" t="s">
        <v>181</v>
      </c>
      <c r="C1330" s="17"/>
    </row>
    <row r="1331" spans="1:3" x14ac:dyDescent="0.25">
      <c r="A1331" s="4" t="s">
        <v>181</v>
      </c>
      <c r="B1331" s="39">
        <f>IF(B$1246,1-B676/B$1246,0)</f>
        <v>1</v>
      </c>
      <c r="C1331" s="17"/>
    </row>
    <row r="1332" spans="1:3" x14ac:dyDescent="0.25">
      <c r="A1332" s="4" t="s">
        <v>282</v>
      </c>
      <c r="B1332" s="39">
        <f>IF(B$1246,1-B677/B$1246,0)</f>
        <v>1</v>
      </c>
      <c r="C1332" s="17"/>
    </row>
    <row r="1333" spans="1:3" x14ac:dyDescent="0.25">
      <c r="A1333" s="4" t="s">
        <v>283</v>
      </c>
      <c r="B1333" s="39">
        <f>IF(B$1246,1-B678/B$1246,0)</f>
        <v>1</v>
      </c>
      <c r="C1333" s="17"/>
    </row>
    <row r="1334" spans="1:3" x14ac:dyDescent="0.25">
      <c r="A1334" s="29" t="s">
        <v>182</v>
      </c>
      <c r="C1334" s="17"/>
    </row>
    <row r="1335" spans="1:3" x14ac:dyDescent="0.25">
      <c r="A1335" s="4" t="s">
        <v>182</v>
      </c>
      <c r="B1335" s="39">
        <f>IF(B$1247,1-B680/B$1247,0)</f>
        <v>0</v>
      </c>
      <c r="C1335" s="17"/>
    </row>
    <row r="1336" spans="1:3" x14ac:dyDescent="0.25">
      <c r="A1336" s="4" t="s">
        <v>285</v>
      </c>
      <c r="B1336" s="39">
        <f>IF(B$1247,1-B681/B$1247,0)</f>
        <v>0</v>
      </c>
      <c r="C1336" s="17"/>
    </row>
    <row r="1337" spans="1:3" x14ac:dyDescent="0.25">
      <c r="A1337" s="29" t="s">
        <v>183</v>
      </c>
      <c r="C1337" s="17"/>
    </row>
    <row r="1338" spans="1:3" x14ac:dyDescent="0.25">
      <c r="A1338" s="4" t="s">
        <v>183</v>
      </c>
      <c r="B1338" s="39">
        <f>IF(B$1248,1-B683/B$1248,0)</f>
        <v>1</v>
      </c>
      <c r="C1338" s="17"/>
    </row>
    <row r="1339" spans="1:3" x14ac:dyDescent="0.25">
      <c r="A1339" s="4" t="s">
        <v>287</v>
      </c>
      <c r="B1339" s="39">
        <f>IF(B$1248,1-B684/B$1248,0)</f>
        <v>1</v>
      </c>
      <c r="C1339" s="17"/>
    </row>
    <row r="1340" spans="1:3" x14ac:dyDescent="0.25">
      <c r="A1340" s="4" t="s">
        <v>288</v>
      </c>
      <c r="B1340" s="39">
        <f>IF(B$1248,1-B685/B$1248,0)</f>
        <v>1</v>
      </c>
      <c r="C1340" s="17"/>
    </row>
    <row r="1341" spans="1:3" x14ac:dyDescent="0.25">
      <c r="A1341" s="29" t="s">
        <v>184</v>
      </c>
      <c r="C1341" s="17"/>
    </row>
    <row r="1342" spans="1:3" x14ac:dyDescent="0.25">
      <c r="A1342" s="4" t="s">
        <v>184</v>
      </c>
      <c r="B1342" s="39">
        <f>IF(B$1249,1-B687/B$1249,0)</f>
        <v>1</v>
      </c>
      <c r="C1342" s="17"/>
    </row>
    <row r="1343" spans="1:3" x14ac:dyDescent="0.25">
      <c r="A1343" s="4" t="s">
        <v>290</v>
      </c>
      <c r="B1343" s="39">
        <f>IF(B$1249,1-B688/B$1249,0)</f>
        <v>1</v>
      </c>
      <c r="C1343" s="17"/>
    </row>
    <row r="1344" spans="1:3" x14ac:dyDescent="0.25">
      <c r="A1344" s="4" t="s">
        <v>291</v>
      </c>
      <c r="B1344" s="39">
        <f>IF(B$1249,1-B689/B$1249,0)</f>
        <v>1</v>
      </c>
      <c r="C1344" s="17"/>
    </row>
    <row r="1345" spans="1:3" x14ac:dyDescent="0.25">
      <c r="A1345" s="29" t="s">
        <v>185</v>
      </c>
      <c r="C1345" s="17"/>
    </row>
    <row r="1346" spans="1:3" x14ac:dyDescent="0.25">
      <c r="A1346" s="4" t="s">
        <v>185</v>
      </c>
      <c r="B1346" s="39">
        <f>IF(B$1250,1-B691/B$1250,0)</f>
        <v>1</v>
      </c>
      <c r="C1346" s="17"/>
    </row>
    <row r="1347" spans="1:3" x14ac:dyDescent="0.25">
      <c r="A1347" s="4" t="s">
        <v>293</v>
      </c>
      <c r="B1347" s="39">
        <f>IF(B$1250,1-B692/B$1250,0)</f>
        <v>1</v>
      </c>
      <c r="C1347" s="17"/>
    </row>
    <row r="1348" spans="1:3" x14ac:dyDescent="0.25">
      <c r="A1348" s="29" t="s">
        <v>186</v>
      </c>
      <c r="C1348" s="17"/>
    </row>
    <row r="1349" spans="1:3" x14ac:dyDescent="0.25">
      <c r="A1349" s="4" t="s">
        <v>186</v>
      </c>
      <c r="B1349" s="39">
        <f>IF(B$1251,1-B694/B$1251,0)</f>
        <v>1</v>
      </c>
      <c r="C1349" s="17"/>
    </row>
    <row r="1350" spans="1:3" x14ac:dyDescent="0.25">
      <c r="A1350" s="4" t="s">
        <v>295</v>
      </c>
      <c r="B1350" s="39">
        <f>IF(B$1251,1-B695/B$1251,0)</f>
        <v>1</v>
      </c>
      <c r="C1350" s="17"/>
    </row>
    <row r="1351" spans="1:3" x14ac:dyDescent="0.25">
      <c r="A1351" s="29" t="s">
        <v>194</v>
      </c>
      <c r="C1351" s="17"/>
    </row>
    <row r="1352" spans="1:3" x14ac:dyDescent="0.25">
      <c r="A1352" s="4" t="s">
        <v>194</v>
      </c>
      <c r="B1352" s="39">
        <f>IF(B$1252,1-B697/B$1252,0)</f>
        <v>1</v>
      </c>
      <c r="C1352" s="17"/>
    </row>
    <row r="1353" spans="1:3" x14ac:dyDescent="0.25">
      <c r="A1353" s="4" t="s">
        <v>297</v>
      </c>
      <c r="B1353" s="39">
        <f>IF(B$1252,1-B698/B$1252,0)</f>
        <v>1</v>
      </c>
      <c r="C1353" s="17"/>
    </row>
    <row r="1354" spans="1:3" x14ac:dyDescent="0.25">
      <c r="A1354" s="29" t="s">
        <v>195</v>
      </c>
      <c r="C1354" s="17"/>
    </row>
    <row r="1355" spans="1:3" x14ac:dyDescent="0.25">
      <c r="A1355" s="4" t="s">
        <v>195</v>
      </c>
      <c r="B1355" s="39">
        <f>IF(B$1253,1-B700/B$1253,0)</f>
        <v>1</v>
      </c>
      <c r="C1355" s="17"/>
    </row>
    <row r="1356" spans="1:3" x14ac:dyDescent="0.25">
      <c r="A1356" s="4" t="s">
        <v>299</v>
      </c>
      <c r="B1356" s="39">
        <f>IF(B$1253,1-B701/B$1253,0)</f>
        <v>1</v>
      </c>
      <c r="C1356" s="17"/>
    </row>
    <row r="1358" spans="1:3" ht="21" customHeight="1" x14ac:dyDescent="0.3">
      <c r="A1358" s="1" t="s">
        <v>1671</v>
      </c>
    </row>
    <row r="1359" spans="1:3" x14ac:dyDescent="0.25">
      <c r="A1359" s="2" t="s">
        <v>350</v>
      </c>
    </row>
    <row r="1360" spans="1:3" x14ac:dyDescent="0.25">
      <c r="A1360" s="32" t="s">
        <v>1672</v>
      </c>
    </row>
    <row r="1361" spans="1:6" x14ac:dyDescent="0.25">
      <c r="A1361" s="32" t="s">
        <v>1615</v>
      </c>
    </row>
    <row r="1362" spans="1:6" x14ac:dyDescent="0.25">
      <c r="A1362" s="32" t="s">
        <v>1616</v>
      </c>
    </row>
    <row r="1363" spans="1:6" x14ac:dyDescent="0.25">
      <c r="A1363" s="32" t="s">
        <v>1617</v>
      </c>
    </row>
    <row r="1364" spans="1:6" x14ac:dyDescent="0.25">
      <c r="A1364" s="32" t="s">
        <v>1618</v>
      </c>
    </row>
    <row r="1365" spans="1:6" ht="30" x14ac:dyDescent="0.25">
      <c r="A1365" s="33" t="s">
        <v>353</v>
      </c>
      <c r="B1365" s="33" t="s">
        <v>355</v>
      </c>
      <c r="C1365" s="33" t="s">
        <v>355</v>
      </c>
      <c r="D1365" s="33" t="s">
        <v>355</v>
      </c>
      <c r="E1365" s="33" t="s">
        <v>355</v>
      </c>
    </row>
    <row r="1366" spans="1:6" ht="30" x14ac:dyDescent="0.25">
      <c r="A1366" s="33" t="s">
        <v>356</v>
      </c>
      <c r="B1366" s="33" t="s">
        <v>358</v>
      </c>
      <c r="C1366" s="33" t="s">
        <v>1619</v>
      </c>
      <c r="D1366" s="33" t="s">
        <v>1620</v>
      </c>
      <c r="E1366" s="33" t="s">
        <v>1621</v>
      </c>
    </row>
    <row r="1368" spans="1:6" ht="60" x14ac:dyDescent="0.25">
      <c r="B1368" s="15" t="s">
        <v>1562</v>
      </c>
      <c r="C1368" s="15" t="s">
        <v>1563</v>
      </c>
      <c r="D1368" s="15" t="s">
        <v>1564</v>
      </c>
      <c r="E1368" s="15" t="s">
        <v>1565</v>
      </c>
    </row>
    <row r="1369" spans="1:6" x14ac:dyDescent="0.25">
      <c r="A1369" s="4" t="s">
        <v>1622</v>
      </c>
      <c r="B1369" s="21">
        <f>SUMPRODUCT(B$1262:B$1356,$B$716:$B$810)</f>
        <v>171067575.07489145</v>
      </c>
      <c r="C1369" s="21">
        <f>SUMPRODUCT(B$1262:B$1356,$C$716:$C$810)</f>
        <v>18660125.241240304</v>
      </c>
      <c r="D1369" s="21">
        <f>SUMPRODUCT(B$1262:B$1356,$D$716:$D$810)</f>
        <v>114073773.80368112</v>
      </c>
      <c r="E1369" s="21">
        <f>SUMPRODUCT(B$1262:B$1356,$E$716:$E$810)</f>
        <v>79682417.092494041</v>
      </c>
      <c r="F1369" s="17"/>
    </row>
    <row r="1371" spans="1:6" ht="21" customHeight="1" x14ac:dyDescent="0.3">
      <c r="A1371" s="1" t="s">
        <v>1673</v>
      </c>
    </row>
    <row r="1372" spans="1:6" x14ac:dyDescent="0.25">
      <c r="A1372" s="2" t="s">
        <v>350</v>
      </c>
    </row>
    <row r="1373" spans="1:6" x14ac:dyDescent="0.25">
      <c r="A1373" s="32" t="s">
        <v>1674</v>
      </c>
    </row>
    <row r="1374" spans="1:6" x14ac:dyDescent="0.25">
      <c r="A1374" s="32" t="s">
        <v>1675</v>
      </c>
    </row>
    <row r="1375" spans="1:6" x14ac:dyDescent="0.25">
      <c r="A1375" s="32" t="s">
        <v>1626</v>
      </c>
    </row>
    <row r="1376" spans="1:6" x14ac:dyDescent="0.25">
      <c r="A1376" s="32" t="s">
        <v>1676</v>
      </c>
    </row>
    <row r="1377" spans="1:5" x14ac:dyDescent="0.25">
      <c r="A1377" s="32" t="s">
        <v>1677</v>
      </c>
    </row>
    <row r="1378" spans="1:5" x14ac:dyDescent="0.25">
      <c r="A1378" s="32" t="s">
        <v>1629</v>
      </c>
    </row>
    <row r="1379" spans="1:5" x14ac:dyDescent="0.25">
      <c r="A1379" s="32" t="s">
        <v>1678</v>
      </c>
    </row>
    <row r="1380" spans="1:5" x14ac:dyDescent="0.25">
      <c r="A1380" s="32" t="s">
        <v>1668</v>
      </c>
    </row>
    <row r="1381" spans="1:5" x14ac:dyDescent="0.25">
      <c r="A1381" s="32" t="s">
        <v>1631</v>
      </c>
    </row>
    <row r="1382" spans="1:5" x14ac:dyDescent="0.25">
      <c r="A1382" s="32" t="s">
        <v>1679</v>
      </c>
    </row>
    <row r="1383" spans="1:5" x14ac:dyDescent="0.25">
      <c r="A1383" s="32" t="s">
        <v>1633</v>
      </c>
    </row>
    <row r="1384" spans="1:5" x14ac:dyDescent="0.25">
      <c r="A1384" s="32" t="s">
        <v>1680</v>
      </c>
    </row>
    <row r="1385" spans="1:5" x14ac:dyDescent="0.25">
      <c r="A1385" s="32" t="s">
        <v>1681</v>
      </c>
    </row>
    <row r="1386" spans="1:5" x14ac:dyDescent="0.25">
      <c r="A1386" s="33" t="s">
        <v>353</v>
      </c>
      <c r="B1386" s="33" t="s">
        <v>483</v>
      </c>
      <c r="C1386" s="33" t="s">
        <v>483</v>
      </c>
      <c r="D1386" s="33" t="s">
        <v>483</v>
      </c>
    </row>
    <row r="1387" spans="1:5" ht="30" x14ac:dyDescent="0.25">
      <c r="A1387" s="33" t="s">
        <v>356</v>
      </c>
      <c r="B1387" s="33" t="s">
        <v>1636</v>
      </c>
      <c r="C1387" s="33" t="s">
        <v>1637</v>
      </c>
      <c r="D1387" s="33" t="s">
        <v>1638</v>
      </c>
    </row>
    <row r="1389" spans="1:5" x14ac:dyDescent="0.25">
      <c r="B1389" s="15" t="s">
        <v>1639</v>
      </c>
      <c r="C1389" s="15" t="s">
        <v>1640</v>
      </c>
      <c r="D1389" s="15" t="s">
        <v>1641</v>
      </c>
    </row>
    <row r="1390" spans="1:5" x14ac:dyDescent="0.25">
      <c r="A1390" s="4" t="s">
        <v>1682</v>
      </c>
      <c r="B1390" s="44">
        <f>C1369*B1214-C256</f>
        <v>-163027.79975422472</v>
      </c>
      <c r="C1390" s="44">
        <f>D1369*C1214-D256</f>
        <v>-987039.23847098649</v>
      </c>
      <c r="D1390" s="44">
        <f>E1369*D1214-E256+B1369-B256+B1390+C1390</f>
        <v>-828392.59545776993</v>
      </c>
      <c r="E1390" s="17"/>
    </row>
    <row r="1392" spans="1:5" ht="21" customHeight="1" x14ac:dyDescent="0.3">
      <c r="A1392" s="1" t="s">
        <v>1683</v>
      </c>
    </row>
    <row r="1394" spans="1:5" ht="75" x14ac:dyDescent="0.25">
      <c r="B1394" s="15" t="s">
        <v>1593</v>
      </c>
      <c r="C1394" s="15" t="s">
        <v>1594</v>
      </c>
      <c r="D1394" s="15" t="s">
        <v>1595</v>
      </c>
    </row>
    <row r="1395" spans="1:5" x14ac:dyDescent="0.25">
      <c r="A1395" s="4" t="s">
        <v>1684</v>
      </c>
      <c r="B1395" s="28">
        <v>0.99</v>
      </c>
      <c r="C1395" s="28">
        <v>0.99</v>
      </c>
      <c r="D1395" s="28">
        <v>0.99</v>
      </c>
      <c r="E1395" s="17"/>
    </row>
    <row r="1397" spans="1:5" ht="21" customHeight="1" x14ac:dyDescent="0.3">
      <c r="A1397" s="1" t="s">
        <v>1685</v>
      </c>
    </row>
    <row r="1398" spans="1:5" x14ac:dyDescent="0.25">
      <c r="A1398" s="2" t="s">
        <v>350</v>
      </c>
    </row>
    <row r="1399" spans="1:5" x14ac:dyDescent="0.25">
      <c r="A1399" s="32" t="s">
        <v>1598</v>
      </c>
    </row>
    <row r="1400" spans="1:5" x14ac:dyDescent="0.25">
      <c r="A1400" s="32" t="s">
        <v>1599</v>
      </c>
    </row>
    <row r="1401" spans="1:5" x14ac:dyDescent="0.25">
      <c r="A1401" s="32" t="s">
        <v>1600</v>
      </c>
    </row>
    <row r="1402" spans="1:5" x14ac:dyDescent="0.25">
      <c r="A1402" s="32" t="s">
        <v>1686</v>
      </c>
    </row>
    <row r="1403" spans="1:5" x14ac:dyDescent="0.25">
      <c r="A1403" s="32" t="s">
        <v>1602</v>
      </c>
    </row>
    <row r="1404" spans="1:5" x14ac:dyDescent="0.25">
      <c r="A1404" s="32" t="s">
        <v>1687</v>
      </c>
    </row>
    <row r="1405" spans="1:5" x14ac:dyDescent="0.25">
      <c r="A1405" s="32" t="s">
        <v>1604</v>
      </c>
    </row>
    <row r="1406" spans="1:5" x14ac:dyDescent="0.25">
      <c r="A1406" s="32" t="s">
        <v>1688</v>
      </c>
    </row>
    <row r="1407" spans="1:5" x14ac:dyDescent="0.25">
      <c r="A1407" s="2" t="s">
        <v>1606</v>
      </c>
    </row>
    <row r="1409" spans="1:3" x14ac:dyDescent="0.25">
      <c r="B1409" s="15" t="s">
        <v>1607</v>
      </c>
    </row>
    <row r="1410" spans="1:3" x14ac:dyDescent="0.25">
      <c r="A1410" s="4" t="s">
        <v>171</v>
      </c>
      <c r="B1410" s="37">
        <f t="shared" ref="B1410:B1434" si="9">IF(F823,(B823+C823*B$1395+D823*C$1395+E823*D$1395)/F823*0.1,0)</f>
        <v>2.5168915117365711</v>
      </c>
      <c r="C1410" s="17"/>
    </row>
    <row r="1411" spans="1:3" x14ac:dyDescent="0.25">
      <c r="A1411" s="4" t="s">
        <v>1567</v>
      </c>
      <c r="B1411" s="37">
        <f t="shared" si="9"/>
        <v>1.5774627068315492</v>
      </c>
      <c r="C1411" s="17"/>
    </row>
    <row r="1412" spans="1:3" x14ac:dyDescent="0.25">
      <c r="A1412" s="4" t="s">
        <v>173</v>
      </c>
      <c r="B1412" s="37">
        <f t="shared" si="9"/>
        <v>2.1671808999537077</v>
      </c>
      <c r="C1412" s="17"/>
    </row>
    <row r="1413" spans="1:3" ht="30" x14ac:dyDescent="0.25">
      <c r="A1413" s="4" t="s">
        <v>1568</v>
      </c>
      <c r="B1413" s="37">
        <f t="shared" si="9"/>
        <v>1.5936966219482278</v>
      </c>
      <c r="C1413" s="17"/>
    </row>
    <row r="1414" spans="1:3" x14ac:dyDescent="0.25">
      <c r="A1414" s="4" t="s">
        <v>175</v>
      </c>
      <c r="B1414" s="37">
        <f t="shared" si="9"/>
        <v>0</v>
      </c>
      <c r="C1414" s="17"/>
    </row>
    <row r="1415" spans="1:3" x14ac:dyDescent="0.25">
      <c r="A1415" s="4" t="s">
        <v>176</v>
      </c>
      <c r="B1415" s="37">
        <f t="shared" si="9"/>
        <v>0</v>
      </c>
      <c r="C1415" s="17"/>
    </row>
    <row r="1416" spans="1:3" x14ac:dyDescent="0.25">
      <c r="A1416" s="4" t="s">
        <v>192</v>
      </c>
      <c r="B1416" s="37">
        <f t="shared" si="9"/>
        <v>1.4803435681873816</v>
      </c>
      <c r="C1416" s="17"/>
    </row>
    <row r="1417" spans="1:3" x14ac:dyDescent="0.25">
      <c r="A1417" s="4" t="s">
        <v>177</v>
      </c>
      <c r="B1417" s="37">
        <f t="shared" si="9"/>
        <v>0</v>
      </c>
      <c r="C1417" s="17"/>
    </row>
    <row r="1418" spans="1:3" x14ac:dyDescent="0.25">
      <c r="A1418" s="4" t="s">
        <v>178</v>
      </c>
      <c r="B1418" s="37">
        <f t="shared" si="9"/>
        <v>1.9867740672463612</v>
      </c>
      <c r="C1418" s="17"/>
    </row>
    <row r="1419" spans="1:3" x14ac:dyDescent="0.25">
      <c r="A1419" s="4" t="s">
        <v>179</v>
      </c>
      <c r="B1419" s="37">
        <f t="shared" si="9"/>
        <v>2.2571643121264264</v>
      </c>
      <c r="C1419" s="17"/>
    </row>
    <row r="1420" spans="1:3" x14ac:dyDescent="0.25">
      <c r="A1420" s="4" t="s">
        <v>180</v>
      </c>
      <c r="B1420" s="37">
        <f t="shared" si="9"/>
        <v>1.8317182265739262</v>
      </c>
      <c r="C1420" s="17"/>
    </row>
    <row r="1421" spans="1:3" x14ac:dyDescent="0.25">
      <c r="A1421" s="4" t="s">
        <v>193</v>
      </c>
      <c r="B1421" s="37">
        <f t="shared" si="9"/>
        <v>1.1877816234754435</v>
      </c>
      <c r="C1421" s="17"/>
    </row>
    <row r="1422" spans="1:3" x14ac:dyDescent="0.25">
      <c r="A1422" s="4" t="s">
        <v>215</v>
      </c>
      <c r="B1422" s="37">
        <f t="shared" si="9"/>
        <v>2.8292297246013343</v>
      </c>
      <c r="C1422" s="17"/>
    </row>
    <row r="1423" spans="1:3" x14ac:dyDescent="0.25">
      <c r="A1423" s="4" t="s">
        <v>216</v>
      </c>
      <c r="B1423" s="37">
        <f t="shared" si="9"/>
        <v>3.1992786209304391</v>
      </c>
      <c r="C1423" s="17"/>
    </row>
    <row r="1424" spans="1:3" x14ac:dyDescent="0.25">
      <c r="A1424" s="4" t="s">
        <v>217</v>
      </c>
      <c r="B1424" s="37">
        <f t="shared" si="9"/>
        <v>4.6201044150088775</v>
      </c>
      <c r="C1424" s="17"/>
    </row>
    <row r="1425" spans="1:3" x14ac:dyDescent="0.25">
      <c r="A1425" s="4" t="s">
        <v>218</v>
      </c>
      <c r="B1425" s="37">
        <f t="shared" si="9"/>
        <v>2.6493966862994429</v>
      </c>
      <c r="C1425" s="17"/>
    </row>
    <row r="1426" spans="1:3" x14ac:dyDescent="0.25">
      <c r="A1426" s="4" t="s">
        <v>219</v>
      </c>
      <c r="B1426" s="37">
        <f t="shared" si="9"/>
        <v>3.3780499971393376</v>
      </c>
      <c r="C1426" s="17"/>
    </row>
    <row r="1427" spans="1:3" x14ac:dyDescent="0.25">
      <c r="A1427" s="4" t="s">
        <v>181</v>
      </c>
      <c r="B1427" s="37">
        <f t="shared" si="9"/>
        <v>-0.90894821707472551</v>
      </c>
      <c r="C1427" s="17"/>
    </row>
    <row r="1428" spans="1:3" x14ac:dyDescent="0.25">
      <c r="A1428" s="4" t="s">
        <v>182</v>
      </c>
      <c r="B1428" s="37">
        <f t="shared" si="9"/>
        <v>0</v>
      </c>
      <c r="C1428" s="17"/>
    </row>
    <row r="1429" spans="1:3" x14ac:dyDescent="0.25">
      <c r="A1429" s="4" t="s">
        <v>183</v>
      </c>
      <c r="B1429" s="37">
        <f t="shared" si="9"/>
        <v>-0.90207716259082105</v>
      </c>
      <c r="C1429" s="17"/>
    </row>
    <row r="1430" spans="1:3" x14ac:dyDescent="0.25">
      <c r="A1430" s="4" t="s">
        <v>184</v>
      </c>
      <c r="B1430" s="37">
        <f t="shared" si="9"/>
        <v>-0.81729639854477476</v>
      </c>
      <c r="C1430" s="17"/>
    </row>
    <row r="1431" spans="1:3" x14ac:dyDescent="0.25">
      <c r="A1431" s="4" t="s">
        <v>185</v>
      </c>
      <c r="B1431" s="37">
        <f t="shared" si="9"/>
        <v>-0.72400908472373171</v>
      </c>
      <c r="C1431" s="17"/>
    </row>
    <row r="1432" spans="1:3" x14ac:dyDescent="0.25">
      <c r="A1432" s="4" t="s">
        <v>186</v>
      </c>
      <c r="B1432" s="37">
        <f t="shared" si="9"/>
        <v>-0.56422995178761981</v>
      </c>
      <c r="C1432" s="17"/>
    </row>
    <row r="1433" spans="1:3" x14ac:dyDescent="0.25">
      <c r="A1433" s="4" t="s">
        <v>194</v>
      </c>
      <c r="B1433" s="37">
        <f t="shared" si="9"/>
        <v>-0.51992090727504037</v>
      </c>
      <c r="C1433" s="17"/>
    </row>
    <row r="1434" spans="1:3" x14ac:dyDescent="0.25">
      <c r="A1434" s="4" t="s">
        <v>195</v>
      </c>
      <c r="B1434" s="37">
        <f t="shared" si="9"/>
        <v>-0.4822719057257504</v>
      </c>
      <c r="C1434" s="17"/>
    </row>
    <row r="1436" spans="1:3" ht="21" customHeight="1" x14ac:dyDescent="0.3">
      <c r="A1436" s="1" t="s">
        <v>1689</v>
      </c>
    </row>
    <row r="1437" spans="1:3" x14ac:dyDescent="0.25">
      <c r="A1437" s="2" t="s">
        <v>350</v>
      </c>
    </row>
    <row r="1438" spans="1:3" x14ac:dyDescent="0.25">
      <c r="A1438" s="32" t="s">
        <v>1690</v>
      </c>
    </row>
    <row r="1439" spans="1:3" x14ac:dyDescent="0.25">
      <c r="A1439" s="32" t="s">
        <v>1610</v>
      </c>
    </row>
    <row r="1440" spans="1:3" x14ac:dyDescent="0.25">
      <c r="A1440" s="2" t="s">
        <v>1611</v>
      </c>
    </row>
    <row r="1442" spans="1:3" ht="30" x14ac:dyDescent="0.25">
      <c r="B1442" s="15" t="s">
        <v>1612</v>
      </c>
    </row>
    <row r="1443" spans="1:3" x14ac:dyDescent="0.25">
      <c r="A1443" s="29" t="s">
        <v>171</v>
      </c>
      <c r="C1443" s="17"/>
    </row>
    <row r="1444" spans="1:3" x14ac:dyDescent="0.25">
      <c r="A1444" s="4" t="s">
        <v>171</v>
      </c>
      <c r="B1444" s="39">
        <f>IF(B$1410,1-B608/B$1410,0)</f>
        <v>1</v>
      </c>
      <c r="C1444" s="17"/>
    </row>
    <row r="1445" spans="1:3" x14ac:dyDescent="0.25">
      <c r="A1445" s="4" t="s">
        <v>231</v>
      </c>
      <c r="B1445" s="39">
        <f>IF(B$1410,1-B609/B$1410,0)</f>
        <v>0.73072823623514549</v>
      </c>
      <c r="C1445" s="17"/>
    </row>
    <row r="1446" spans="1:3" x14ac:dyDescent="0.25">
      <c r="A1446" s="4" t="s">
        <v>232</v>
      </c>
      <c r="B1446" s="39">
        <f>IF(B$1410,1-B610/B$1410,0)</f>
        <v>0.56151621619177172</v>
      </c>
      <c r="C1446" s="17"/>
    </row>
    <row r="1447" spans="1:3" x14ac:dyDescent="0.25">
      <c r="A1447" s="29" t="s">
        <v>1567</v>
      </c>
      <c r="C1447" s="17"/>
    </row>
    <row r="1448" spans="1:3" x14ac:dyDescent="0.25">
      <c r="A1448" s="4" t="s">
        <v>172</v>
      </c>
      <c r="B1448" s="39">
        <f t="shared" ref="B1448:B1453" si="10">IF(B$1411,1-B612/B$1411,0)</f>
        <v>1</v>
      </c>
      <c r="C1448" s="17"/>
    </row>
    <row r="1449" spans="1:3" x14ac:dyDescent="0.25">
      <c r="A1449" s="4" t="s">
        <v>234</v>
      </c>
      <c r="B1449" s="39">
        <f t="shared" si="10"/>
        <v>0.57036840640666298</v>
      </c>
      <c r="C1449" s="17"/>
    </row>
    <row r="1450" spans="1:3" x14ac:dyDescent="0.25">
      <c r="A1450" s="4" t="s">
        <v>235</v>
      </c>
      <c r="B1450" s="39">
        <f t="shared" si="10"/>
        <v>0.300385290427716</v>
      </c>
      <c r="C1450" s="17"/>
    </row>
    <row r="1451" spans="1:3" x14ac:dyDescent="0.25">
      <c r="A1451" s="4" t="s">
        <v>213</v>
      </c>
      <c r="B1451" s="39">
        <f t="shared" si="10"/>
        <v>1</v>
      </c>
      <c r="C1451" s="17"/>
    </row>
    <row r="1452" spans="1:3" x14ac:dyDescent="0.25">
      <c r="A1452" s="4" t="s">
        <v>237</v>
      </c>
      <c r="B1452" s="39">
        <f t="shared" si="10"/>
        <v>0.57036840640666298</v>
      </c>
      <c r="C1452" s="17"/>
    </row>
    <row r="1453" spans="1:3" x14ac:dyDescent="0.25">
      <c r="A1453" s="4" t="s">
        <v>238</v>
      </c>
      <c r="B1453" s="39">
        <f t="shared" si="10"/>
        <v>0.300385290427716</v>
      </c>
      <c r="C1453" s="17"/>
    </row>
    <row r="1454" spans="1:3" x14ac:dyDescent="0.25">
      <c r="A1454" s="29" t="s">
        <v>173</v>
      </c>
      <c r="C1454" s="17"/>
    </row>
    <row r="1455" spans="1:3" x14ac:dyDescent="0.25">
      <c r="A1455" s="4" t="s">
        <v>173</v>
      </c>
      <c r="B1455" s="39">
        <f>IF(B$1412,1-B619/B$1412,0)</f>
        <v>1</v>
      </c>
      <c r="C1455" s="17"/>
    </row>
    <row r="1456" spans="1:3" x14ac:dyDescent="0.25">
      <c r="A1456" s="4" t="s">
        <v>240</v>
      </c>
      <c r="B1456" s="39">
        <f>IF(B$1412,1-B620/B$1412,0)</f>
        <v>0.68727676744263744</v>
      </c>
      <c r="C1456" s="17"/>
    </row>
    <row r="1457" spans="1:3" x14ac:dyDescent="0.25">
      <c r="A1457" s="4" t="s">
        <v>241</v>
      </c>
      <c r="B1457" s="39">
        <f>IF(B$1412,1-B621/B$1412,0)</f>
        <v>0.4907595791728151</v>
      </c>
      <c r="C1457" s="17"/>
    </row>
    <row r="1458" spans="1:3" ht="30" x14ac:dyDescent="0.25">
      <c r="A1458" s="29" t="s">
        <v>1568</v>
      </c>
      <c r="C1458" s="17"/>
    </row>
    <row r="1459" spans="1:3" x14ac:dyDescent="0.25">
      <c r="A1459" s="4" t="s">
        <v>174</v>
      </c>
      <c r="B1459" s="39">
        <f t="shared" ref="B1459:B1464" si="11">IF(B$1413,1-B623/B$1413,0)</f>
        <v>1</v>
      </c>
      <c r="C1459" s="17"/>
    </row>
    <row r="1460" spans="1:3" x14ac:dyDescent="0.25">
      <c r="A1460" s="4" t="s">
        <v>243</v>
      </c>
      <c r="B1460" s="39">
        <f t="shared" si="11"/>
        <v>0.57474477435887161</v>
      </c>
      <c r="C1460" s="17"/>
    </row>
    <row r="1461" spans="1:3" x14ac:dyDescent="0.25">
      <c r="A1461" s="4" t="s">
        <v>244</v>
      </c>
      <c r="B1461" s="39">
        <f t="shared" si="11"/>
        <v>0.30751179471539658</v>
      </c>
      <c r="C1461" s="17"/>
    </row>
    <row r="1462" spans="1:3" x14ac:dyDescent="0.25">
      <c r="A1462" s="4" t="s">
        <v>214</v>
      </c>
      <c r="B1462" s="39">
        <f t="shared" si="11"/>
        <v>1</v>
      </c>
      <c r="C1462" s="17"/>
    </row>
    <row r="1463" spans="1:3" ht="30" x14ac:dyDescent="0.25">
      <c r="A1463" s="4" t="s">
        <v>246</v>
      </c>
      <c r="B1463" s="39">
        <f t="shared" si="11"/>
        <v>0.57474477435887161</v>
      </c>
      <c r="C1463" s="17"/>
    </row>
    <row r="1464" spans="1:3" ht="30" x14ac:dyDescent="0.25">
      <c r="A1464" s="4" t="s">
        <v>247</v>
      </c>
      <c r="B1464" s="39">
        <f t="shared" si="11"/>
        <v>0.30751179471539658</v>
      </c>
      <c r="C1464" s="17"/>
    </row>
    <row r="1465" spans="1:3" x14ac:dyDescent="0.25">
      <c r="A1465" s="29" t="s">
        <v>175</v>
      </c>
      <c r="C1465" s="17"/>
    </row>
    <row r="1466" spans="1:3" x14ac:dyDescent="0.25">
      <c r="A1466" s="4" t="s">
        <v>175</v>
      </c>
      <c r="B1466" s="39">
        <f>IF(B$1414,1-B630/B$1414,0)</f>
        <v>0</v>
      </c>
      <c r="C1466" s="17"/>
    </row>
    <row r="1467" spans="1:3" x14ac:dyDescent="0.25">
      <c r="A1467" s="4" t="s">
        <v>249</v>
      </c>
      <c r="B1467" s="39">
        <f>IF(B$1414,1-B631/B$1414,0)</f>
        <v>0</v>
      </c>
      <c r="C1467" s="17"/>
    </row>
    <row r="1468" spans="1:3" x14ac:dyDescent="0.25">
      <c r="A1468" s="4" t="s">
        <v>250</v>
      </c>
      <c r="B1468" s="39">
        <f>IF(B$1414,1-B632/B$1414,0)</f>
        <v>0</v>
      </c>
      <c r="C1468" s="17"/>
    </row>
    <row r="1469" spans="1:3" x14ac:dyDescent="0.25">
      <c r="A1469" s="29" t="s">
        <v>176</v>
      </c>
      <c r="C1469" s="17"/>
    </row>
    <row r="1470" spans="1:3" x14ac:dyDescent="0.25">
      <c r="A1470" s="4" t="s">
        <v>176</v>
      </c>
      <c r="B1470" s="39">
        <f>IF(B$1415,1-B634/B$1415,0)</f>
        <v>0</v>
      </c>
      <c r="C1470" s="17"/>
    </row>
    <row r="1471" spans="1:3" x14ac:dyDescent="0.25">
      <c r="A1471" s="29" t="s">
        <v>192</v>
      </c>
      <c r="C1471" s="17"/>
    </row>
    <row r="1472" spans="1:3" x14ac:dyDescent="0.25">
      <c r="A1472" s="4" t="s">
        <v>192</v>
      </c>
      <c r="B1472" s="39">
        <f>IF(B$1416,1-B636/B$1416,0)</f>
        <v>1</v>
      </c>
      <c r="C1472" s="17"/>
    </row>
    <row r="1473" spans="1:3" x14ac:dyDescent="0.25">
      <c r="A1473" s="29" t="s">
        <v>177</v>
      </c>
      <c r="C1473" s="17"/>
    </row>
    <row r="1474" spans="1:3" x14ac:dyDescent="0.25">
      <c r="A1474" s="4" t="s">
        <v>177</v>
      </c>
      <c r="B1474" s="39">
        <f>IF(B$1417,1-B638/B$1417,0)</f>
        <v>0</v>
      </c>
      <c r="C1474" s="17"/>
    </row>
    <row r="1475" spans="1:3" x14ac:dyDescent="0.25">
      <c r="A1475" s="4" t="s">
        <v>254</v>
      </c>
      <c r="B1475" s="39">
        <f>IF(B$1417,1-B639/B$1417,0)</f>
        <v>0</v>
      </c>
      <c r="C1475" s="17"/>
    </row>
    <row r="1476" spans="1:3" x14ac:dyDescent="0.25">
      <c r="A1476" s="4" t="s">
        <v>255</v>
      </c>
      <c r="B1476" s="39">
        <f>IF(B$1417,1-B640/B$1417,0)</f>
        <v>0</v>
      </c>
      <c r="C1476" s="17"/>
    </row>
    <row r="1477" spans="1:3" x14ac:dyDescent="0.25">
      <c r="A1477" s="29" t="s">
        <v>178</v>
      </c>
      <c r="C1477" s="17"/>
    </row>
    <row r="1478" spans="1:3" x14ac:dyDescent="0.25">
      <c r="A1478" s="4" t="s">
        <v>178</v>
      </c>
      <c r="B1478" s="39">
        <f>IF(B$1418,1-B642/B$1418,0)</f>
        <v>1</v>
      </c>
      <c r="C1478" s="17"/>
    </row>
    <row r="1479" spans="1:3" x14ac:dyDescent="0.25">
      <c r="A1479" s="4" t="s">
        <v>257</v>
      </c>
      <c r="B1479" s="39">
        <f>IF(B$1418,1-B643/B$1418,0)</f>
        <v>0.65888027846597663</v>
      </c>
      <c r="C1479" s="17"/>
    </row>
    <row r="1480" spans="1:3" x14ac:dyDescent="0.25">
      <c r="A1480" s="4" t="s">
        <v>258</v>
      </c>
      <c r="B1480" s="39">
        <f>IF(B$1418,1-B644/B$1418,0)</f>
        <v>0.44451856318486249</v>
      </c>
      <c r="C1480" s="17"/>
    </row>
    <row r="1481" spans="1:3" x14ac:dyDescent="0.25">
      <c r="A1481" s="29" t="s">
        <v>179</v>
      </c>
      <c r="C1481" s="17"/>
    </row>
    <row r="1482" spans="1:3" x14ac:dyDescent="0.25">
      <c r="A1482" s="4" t="s">
        <v>179</v>
      </c>
      <c r="B1482" s="39">
        <f>IF(B$1419,1-B646/B$1419,0)</f>
        <v>1</v>
      </c>
      <c r="C1482" s="17"/>
    </row>
    <row r="1483" spans="1:3" x14ac:dyDescent="0.25">
      <c r="A1483" s="4" t="s">
        <v>260</v>
      </c>
      <c r="B1483" s="39">
        <f>IF(B$1419,1-B647/B$1419,0)</f>
        <v>0.69974369480809995</v>
      </c>
      <c r="C1483" s="17"/>
    </row>
    <row r="1484" spans="1:3" x14ac:dyDescent="0.25">
      <c r="A1484" s="4" t="s">
        <v>261</v>
      </c>
      <c r="B1484" s="39">
        <f>IF(B$1419,1-B648/B$1419,0)</f>
        <v>0.51106079979557617</v>
      </c>
      <c r="C1484" s="17"/>
    </row>
    <row r="1485" spans="1:3" x14ac:dyDescent="0.25">
      <c r="A1485" s="29" t="s">
        <v>180</v>
      </c>
      <c r="C1485" s="17"/>
    </row>
    <row r="1486" spans="1:3" x14ac:dyDescent="0.25">
      <c r="A1486" s="4" t="s">
        <v>180</v>
      </c>
      <c r="B1486" s="39">
        <f>IF(B$1420,1-B650/B$1420,0)</f>
        <v>1</v>
      </c>
      <c r="C1486" s="17"/>
    </row>
    <row r="1487" spans="1:3" x14ac:dyDescent="0.25">
      <c r="A1487" s="4" t="s">
        <v>263</v>
      </c>
      <c r="B1487" s="39">
        <f>IF(B$1420,1-B651/B$1420,0)</f>
        <v>0.64838007192825886</v>
      </c>
      <c r="C1487" s="17"/>
    </row>
    <row r="1488" spans="1:3" x14ac:dyDescent="0.25">
      <c r="A1488" s="29" t="s">
        <v>193</v>
      </c>
      <c r="C1488" s="17"/>
    </row>
    <row r="1489" spans="1:3" x14ac:dyDescent="0.25">
      <c r="A1489" s="4" t="s">
        <v>193</v>
      </c>
      <c r="B1489" s="39">
        <f>IF(B$1421,1-B653/B$1421,0)</f>
        <v>1</v>
      </c>
      <c r="C1489" s="17"/>
    </row>
    <row r="1490" spans="1:3" x14ac:dyDescent="0.25">
      <c r="A1490" s="4" t="s">
        <v>265</v>
      </c>
      <c r="B1490" s="39">
        <f>IF(B$1421,1-B654/B$1421,0)</f>
        <v>0.65198367357016296</v>
      </c>
      <c r="C1490" s="17"/>
    </row>
    <row r="1491" spans="1:3" x14ac:dyDescent="0.25">
      <c r="A1491" s="29" t="s">
        <v>215</v>
      </c>
      <c r="C1491" s="17"/>
    </row>
    <row r="1492" spans="1:3" x14ac:dyDescent="0.25">
      <c r="A1492" s="4" t="s">
        <v>215</v>
      </c>
      <c r="B1492" s="39">
        <f>IF(B$1422,1-B656/B$1422,0)</f>
        <v>1</v>
      </c>
      <c r="C1492" s="17"/>
    </row>
    <row r="1493" spans="1:3" x14ac:dyDescent="0.25">
      <c r="A1493" s="4" t="s">
        <v>267</v>
      </c>
      <c r="B1493" s="39">
        <f>IF(B$1422,1-B657/B$1422,0)</f>
        <v>0.76045500629483309</v>
      </c>
      <c r="C1493" s="17"/>
    </row>
    <row r="1494" spans="1:3" x14ac:dyDescent="0.25">
      <c r="A1494" s="4" t="s">
        <v>268</v>
      </c>
      <c r="B1494" s="39">
        <f>IF(B$1422,1-B658/B$1422,0)</f>
        <v>0.60992347001565117</v>
      </c>
      <c r="C1494" s="17"/>
    </row>
    <row r="1495" spans="1:3" x14ac:dyDescent="0.25">
      <c r="A1495" s="29" t="s">
        <v>216</v>
      </c>
      <c r="C1495" s="17"/>
    </row>
    <row r="1496" spans="1:3" x14ac:dyDescent="0.25">
      <c r="A1496" s="4" t="s">
        <v>216</v>
      </c>
      <c r="B1496" s="39">
        <f>IF(B$1423,1-B660/B$1423,0)</f>
        <v>1</v>
      </c>
      <c r="C1496" s="17"/>
    </row>
    <row r="1497" spans="1:3" x14ac:dyDescent="0.25">
      <c r="A1497" s="4" t="s">
        <v>270</v>
      </c>
      <c r="B1497" s="39">
        <f>IF(B$1423,1-B661/B$1423,0)</f>
        <v>0.78816230254650477</v>
      </c>
      <c r="C1497" s="17"/>
    </row>
    <row r="1498" spans="1:3" x14ac:dyDescent="0.25">
      <c r="A1498" s="4" t="s">
        <v>271</v>
      </c>
      <c r="B1498" s="39">
        <f>IF(B$1423,1-B662/B$1423,0)</f>
        <v>0.65504220036324901</v>
      </c>
      <c r="C1498" s="17"/>
    </row>
    <row r="1499" spans="1:3" x14ac:dyDescent="0.25">
      <c r="A1499" s="29" t="s">
        <v>217</v>
      </c>
      <c r="C1499" s="17"/>
    </row>
    <row r="1500" spans="1:3" x14ac:dyDescent="0.25">
      <c r="A1500" s="4" t="s">
        <v>217</v>
      </c>
      <c r="B1500" s="39">
        <f>IF(B$1424,1-B664/B$1424,0)</f>
        <v>1</v>
      </c>
      <c r="C1500" s="17"/>
    </row>
    <row r="1501" spans="1:3" x14ac:dyDescent="0.25">
      <c r="A1501" s="4" t="s">
        <v>273</v>
      </c>
      <c r="B1501" s="39">
        <f>IF(B$1424,1-B665/B$1424,0)</f>
        <v>0.85330898272159605</v>
      </c>
      <c r="C1501" s="17"/>
    </row>
    <row r="1502" spans="1:3" x14ac:dyDescent="0.25">
      <c r="A1502" s="4" t="s">
        <v>274</v>
      </c>
      <c r="B1502" s="39">
        <f>IF(B$1424,1-B666/B$1424,0)</f>
        <v>0.7611274520299034</v>
      </c>
      <c r="C1502" s="17"/>
    </row>
    <row r="1503" spans="1:3" x14ac:dyDescent="0.25">
      <c r="A1503" s="29" t="s">
        <v>218</v>
      </c>
      <c r="C1503" s="17"/>
    </row>
    <row r="1504" spans="1:3" x14ac:dyDescent="0.25">
      <c r="A1504" s="4" t="s">
        <v>218</v>
      </c>
      <c r="B1504" s="39">
        <f>IF(B$1425,1-B668/B$1425,0)</f>
        <v>1</v>
      </c>
      <c r="C1504" s="17"/>
    </row>
    <row r="1505" spans="1:3" x14ac:dyDescent="0.25">
      <c r="A1505" s="4" t="s">
        <v>276</v>
      </c>
      <c r="B1505" s="39">
        <f>IF(B$1425,1-B669/B$1425,0)</f>
        <v>0.74419541623390606</v>
      </c>
      <c r="C1505" s="17"/>
    </row>
    <row r="1506" spans="1:3" x14ac:dyDescent="0.25">
      <c r="A1506" s="4" t="s">
        <v>277</v>
      </c>
      <c r="B1506" s="39">
        <f>IF(B$1425,1-B670/B$1425,0)</f>
        <v>0.58344625430835562</v>
      </c>
      <c r="C1506" s="17"/>
    </row>
    <row r="1507" spans="1:3" x14ac:dyDescent="0.25">
      <c r="A1507" s="29" t="s">
        <v>219</v>
      </c>
      <c r="C1507" s="17"/>
    </row>
    <row r="1508" spans="1:3" x14ac:dyDescent="0.25">
      <c r="A1508" s="4" t="s">
        <v>219</v>
      </c>
      <c r="B1508" s="39">
        <f>IF(B$1426,1-B672/B$1426,0)</f>
        <v>1</v>
      </c>
      <c r="C1508" s="17"/>
    </row>
    <row r="1509" spans="1:3" x14ac:dyDescent="0.25">
      <c r="A1509" s="4" t="s">
        <v>279</v>
      </c>
      <c r="B1509" s="39">
        <f>IF(B$1426,1-B673/B$1426,0)</f>
        <v>0.79937306518730522</v>
      </c>
      <c r="C1509" s="17"/>
    </row>
    <row r="1510" spans="1:3" x14ac:dyDescent="0.25">
      <c r="A1510" s="4" t="s">
        <v>280</v>
      </c>
      <c r="B1510" s="39">
        <f>IF(B$1426,1-B674/B$1426,0)</f>
        <v>0.6732978746804672</v>
      </c>
      <c r="C1510" s="17"/>
    </row>
    <row r="1511" spans="1:3" x14ac:dyDescent="0.25">
      <c r="A1511" s="29" t="s">
        <v>181</v>
      </c>
      <c r="C1511" s="17"/>
    </row>
    <row r="1512" spans="1:3" x14ac:dyDescent="0.25">
      <c r="A1512" s="4" t="s">
        <v>181</v>
      </c>
      <c r="B1512" s="39">
        <f>IF(B$1427,1-B676/B$1427,0)</f>
        <v>1</v>
      </c>
      <c r="C1512" s="17"/>
    </row>
    <row r="1513" spans="1:3" x14ac:dyDescent="0.25">
      <c r="A1513" s="4" t="s">
        <v>282</v>
      </c>
      <c r="B1513" s="39">
        <f>IF(B$1427,1-B677/B$1427,0)</f>
        <v>1</v>
      </c>
      <c r="C1513" s="17"/>
    </row>
    <row r="1514" spans="1:3" x14ac:dyDescent="0.25">
      <c r="A1514" s="4" t="s">
        <v>283</v>
      </c>
      <c r="B1514" s="39">
        <f>IF(B$1427,1-B678/B$1427,0)</f>
        <v>1</v>
      </c>
      <c r="C1514" s="17"/>
    </row>
    <row r="1515" spans="1:3" x14ac:dyDescent="0.25">
      <c r="A1515" s="29" t="s">
        <v>182</v>
      </c>
      <c r="C1515" s="17"/>
    </row>
    <row r="1516" spans="1:3" x14ac:dyDescent="0.25">
      <c r="A1516" s="4" t="s">
        <v>182</v>
      </c>
      <c r="B1516" s="39">
        <f>IF(B$1428,1-B680/B$1428,0)</f>
        <v>0</v>
      </c>
      <c r="C1516" s="17"/>
    </row>
    <row r="1517" spans="1:3" x14ac:dyDescent="0.25">
      <c r="A1517" s="4" t="s">
        <v>285</v>
      </c>
      <c r="B1517" s="39">
        <f>IF(B$1428,1-B681/B$1428,0)</f>
        <v>0</v>
      </c>
      <c r="C1517" s="17"/>
    </row>
    <row r="1518" spans="1:3" x14ac:dyDescent="0.25">
      <c r="A1518" s="29" t="s">
        <v>183</v>
      </c>
      <c r="C1518" s="17"/>
    </row>
    <row r="1519" spans="1:3" x14ac:dyDescent="0.25">
      <c r="A1519" s="4" t="s">
        <v>183</v>
      </c>
      <c r="B1519" s="39">
        <f>IF(B$1429,1-B683/B$1429,0)</f>
        <v>1</v>
      </c>
      <c r="C1519" s="17"/>
    </row>
    <row r="1520" spans="1:3" x14ac:dyDescent="0.25">
      <c r="A1520" s="4" t="s">
        <v>287</v>
      </c>
      <c r="B1520" s="39">
        <f>IF(B$1429,1-B684/B$1429,0)</f>
        <v>1</v>
      </c>
      <c r="C1520" s="17"/>
    </row>
    <row r="1521" spans="1:3" x14ac:dyDescent="0.25">
      <c r="A1521" s="4" t="s">
        <v>288</v>
      </c>
      <c r="B1521" s="39">
        <f>IF(B$1429,1-B685/B$1429,0)</f>
        <v>1</v>
      </c>
      <c r="C1521" s="17"/>
    </row>
    <row r="1522" spans="1:3" x14ac:dyDescent="0.25">
      <c r="A1522" s="29" t="s">
        <v>184</v>
      </c>
      <c r="C1522" s="17"/>
    </row>
    <row r="1523" spans="1:3" x14ac:dyDescent="0.25">
      <c r="A1523" s="4" t="s">
        <v>184</v>
      </c>
      <c r="B1523" s="39">
        <f>IF(B$1430,1-B687/B$1430,0)</f>
        <v>1</v>
      </c>
      <c r="C1523" s="17"/>
    </row>
    <row r="1524" spans="1:3" x14ac:dyDescent="0.25">
      <c r="A1524" s="4" t="s">
        <v>290</v>
      </c>
      <c r="B1524" s="39">
        <f>IF(B$1430,1-B688/B$1430,0)</f>
        <v>1</v>
      </c>
      <c r="C1524" s="17"/>
    </row>
    <row r="1525" spans="1:3" x14ac:dyDescent="0.25">
      <c r="A1525" s="4" t="s">
        <v>291</v>
      </c>
      <c r="B1525" s="39">
        <f>IF(B$1430,1-B689/B$1430,0)</f>
        <v>1</v>
      </c>
      <c r="C1525" s="17"/>
    </row>
    <row r="1526" spans="1:3" x14ac:dyDescent="0.25">
      <c r="A1526" s="29" t="s">
        <v>185</v>
      </c>
      <c r="C1526" s="17"/>
    </row>
    <row r="1527" spans="1:3" x14ac:dyDescent="0.25">
      <c r="A1527" s="4" t="s">
        <v>185</v>
      </c>
      <c r="B1527" s="39">
        <f>IF(B$1431,1-B691/B$1431,0)</f>
        <v>1</v>
      </c>
      <c r="C1527" s="17"/>
    </row>
    <row r="1528" spans="1:3" x14ac:dyDescent="0.25">
      <c r="A1528" s="4" t="s">
        <v>293</v>
      </c>
      <c r="B1528" s="39">
        <f>IF(B$1431,1-B692/B$1431,0)</f>
        <v>1</v>
      </c>
      <c r="C1528" s="17"/>
    </row>
    <row r="1529" spans="1:3" x14ac:dyDescent="0.25">
      <c r="A1529" s="29" t="s">
        <v>186</v>
      </c>
      <c r="C1529" s="17"/>
    </row>
    <row r="1530" spans="1:3" x14ac:dyDescent="0.25">
      <c r="A1530" s="4" t="s">
        <v>186</v>
      </c>
      <c r="B1530" s="39">
        <f>IF(B$1432,1-B694/B$1432,0)</f>
        <v>1</v>
      </c>
      <c r="C1530" s="17"/>
    </row>
    <row r="1531" spans="1:3" x14ac:dyDescent="0.25">
      <c r="A1531" s="4" t="s">
        <v>295</v>
      </c>
      <c r="B1531" s="39">
        <f>IF(B$1432,1-B695/B$1432,0)</f>
        <v>1</v>
      </c>
      <c r="C1531" s="17"/>
    </row>
    <row r="1532" spans="1:3" x14ac:dyDescent="0.25">
      <c r="A1532" s="29" t="s">
        <v>194</v>
      </c>
      <c r="C1532" s="17"/>
    </row>
    <row r="1533" spans="1:3" x14ac:dyDescent="0.25">
      <c r="A1533" s="4" t="s">
        <v>194</v>
      </c>
      <c r="B1533" s="39">
        <f>IF(B$1433,1-B697/B$1433,0)</f>
        <v>1</v>
      </c>
      <c r="C1533" s="17"/>
    </row>
    <row r="1534" spans="1:3" x14ac:dyDescent="0.25">
      <c r="A1534" s="4" t="s">
        <v>297</v>
      </c>
      <c r="B1534" s="39">
        <f>IF(B$1433,1-B698/B$1433,0)</f>
        <v>1</v>
      </c>
      <c r="C1534" s="17"/>
    </row>
    <row r="1535" spans="1:3" x14ac:dyDescent="0.25">
      <c r="A1535" s="29" t="s">
        <v>195</v>
      </c>
      <c r="C1535" s="17"/>
    </row>
    <row r="1536" spans="1:3" x14ac:dyDescent="0.25">
      <c r="A1536" s="4" t="s">
        <v>195</v>
      </c>
      <c r="B1536" s="39">
        <f>IF(B$1434,1-B700/B$1434,0)</f>
        <v>1</v>
      </c>
      <c r="C1536" s="17"/>
    </row>
    <row r="1537" spans="1:6" x14ac:dyDescent="0.25">
      <c r="A1537" s="4" t="s">
        <v>299</v>
      </c>
      <c r="B1537" s="39">
        <f>IF(B$1434,1-B701/B$1434,0)</f>
        <v>1</v>
      </c>
      <c r="C1537" s="17"/>
    </row>
    <row r="1539" spans="1:6" ht="21" customHeight="1" x14ac:dyDescent="0.3">
      <c r="A1539" s="1" t="s">
        <v>1691</v>
      </c>
    </row>
    <row r="1540" spans="1:6" x14ac:dyDescent="0.25">
      <c r="A1540" s="2" t="s">
        <v>350</v>
      </c>
    </row>
    <row r="1541" spans="1:6" x14ac:dyDescent="0.25">
      <c r="A1541" s="32" t="s">
        <v>1692</v>
      </c>
    </row>
    <row r="1542" spans="1:6" x14ac:dyDescent="0.25">
      <c r="A1542" s="32" t="s">
        <v>1615</v>
      </c>
    </row>
    <row r="1543" spans="1:6" x14ac:dyDescent="0.25">
      <c r="A1543" s="32" t="s">
        <v>1616</v>
      </c>
    </row>
    <row r="1544" spans="1:6" x14ac:dyDescent="0.25">
      <c r="A1544" s="32" t="s">
        <v>1617</v>
      </c>
    </row>
    <row r="1545" spans="1:6" x14ac:dyDescent="0.25">
      <c r="A1545" s="32" t="s">
        <v>1618</v>
      </c>
    </row>
    <row r="1546" spans="1:6" ht="30" x14ac:dyDescent="0.25">
      <c r="A1546" s="33" t="s">
        <v>353</v>
      </c>
      <c r="B1546" s="33" t="s">
        <v>355</v>
      </c>
      <c r="C1546" s="33" t="s">
        <v>355</v>
      </c>
      <c r="D1546" s="33" t="s">
        <v>355</v>
      </c>
      <c r="E1546" s="33" t="s">
        <v>355</v>
      </c>
    </row>
    <row r="1547" spans="1:6" ht="30" x14ac:dyDescent="0.25">
      <c r="A1547" s="33" t="s">
        <v>356</v>
      </c>
      <c r="B1547" s="33" t="s">
        <v>358</v>
      </c>
      <c r="C1547" s="33" t="s">
        <v>1619</v>
      </c>
      <c r="D1547" s="33" t="s">
        <v>1620</v>
      </c>
      <c r="E1547" s="33" t="s">
        <v>1621</v>
      </c>
    </row>
    <row r="1549" spans="1:6" ht="60" x14ac:dyDescent="0.25">
      <c r="B1549" s="15" t="s">
        <v>1562</v>
      </c>
      <c r="C1549" s="15" t="s">
        <v>1563</v>
      </c>
      <c r="D1549" s="15" t="s">
        <v>1564</v>
      </c>
      <c r="E1549" s="15" t="s">
        <v>1565</v>
      </c>
    </row>
    <row r="1550" spans="1:6" x14ac:dyDescent="0.25">
      <c r="A1550" s="4" t="s">
        <v>1622</v>
      </c>
      <c r="B1550" s="21">
        <f>SUMPRODUCT(B$1443:B$1537,$B$716:$B$810)</f>
        <v>171065613.58790633</v>
      </c>
      <c r="C1550" s="21">
        <f>SUMPRODUCT(B$1443:B$1537,$C$716:$C$810)</f>
        <v>18659925.37464397</v>
      </c>
      <c r="D1550" s="21">
        <f>SUMPRODUCT(B$1443:B$1537,$D$716:$D$810)</f>
        <v>114072437.78747049</v>
      </c>
      <c r="E1550" s="21">
        <f>SUMPRODUCT(B$1443:B$1537,$E$716:$E$810)</f>
        <v>79681586.433621913</v>
      </c>
      <c r="F1550" s="17"/>
    </row>
    <row r="1552" spans="1:6" ht="21" customHeight="1" x14ac:dyDescent="0.3">
      <c r="A1552" s="1" t="s">
        <v>1693</v>
      </c>
    </row>
    <row r="1553" spans="1:4" x14ac:dyDescent="0.25">
      <c r="A1553" s="2" t="s">
        <v>350</v>
      </c>
    </row>
    <row r="1554" spans="1:4" x14ac:dyDescent="0.25">
      <c r="A1554" s="32" t="s">
        <v>1694</v>
      </c>
    </row>
    <row r="1555" spans="1:4" x14ac:dyDescent="0.25">
      <c r="A1555" s="32" t="s">
        <v>1695</v>
      </c>
    </row>
    <row r="1556" spans="1:4" x14ac:dyDescent="0.25">
      <c r="A1556" s="32" t="s">
        <v>1626</v>
      </c>
    </row>
    <row r="1557" spans="1:4" x14ac:dyDescent="0.25">
      <c r="A1557" s="32" t="s">
        <v>1696</v>
      </c>
    </row>
    <row r="1558" spans="1:4" x14ac:dyDescent="0.25">
      <c r="A1558" s="32" t="s">
        <v>1697</v>
      </c>
    </row>
    <row r="1559" spans="1:4" x14ac:dyDescent="0.25">
      <c r="A1559" s="32" t="s">
        <v>1629</v>
      </c>
    </row>
    <row r="1560" spans="1:4" x14ac:dyDescent="0.25">
      <c r="A1560" s="32" t="s">
        <v>1698</v>
      </c>
    </row>
    <row r="1561" spans="1:4" x14ac:dyDescent="0.25">
      <c r="A1561" s="32" t="s">
        <v>1688</v>
      </c>
    </row>
    <row r="1562" spans="1:4" x14ac:dyDescent="0.25">
      <c r="A1562" s="32" t="s">
        <v>1631</v>
      </c>
    </row>
    <row r="1563" spans="1:4" x14ac:dyDescent="0.25">
      <c r="A1563" s="32" t="s">
        <v>1699</v>
      </c>
    </row>
    <row r="1564" spans="1:4" x14ac:dyDescent="0.25">
      <c r="A1564" s="32" t="s">
        <v>1633</v>
      </c>
    </row>
    <row r="1565" spans="1:4" x14ac:dyDescent="0.25">
      <c r="A1565" s="32" t="s">
        <v>1700</v>
      </c>
    </row>
    <row r="1566" spans="1:4" x14ac:dyDescent="0.25">
      <c r="A1566" s="32" t="s">
        <v>1701</v>
      </c>
    </row>
    <row r="1567" spans="1:4" x14ac:dyDescent="0.25">
      <c r="A1567" s="33" t="s">
        <v>353</v>
      </c>
      <c r="B1567" s="33" t="s">
        <v>483</v>
      </c>
      <c r="C1567" s="33" t="s">
        <v>483</v>
      </c>
      <c r="D1567" s="33" t="s">
        <v>483</v>
      </c>
    </row>
    <row r="1568" spans="1:4" ht="30" x14ac:dyDescent="0.25">
      <c r="A1568" s="33" t="s">
        <v>356</v>
      </c>
      <c r="B1568" s="33" t="s">
        <v>1636</v>
      </c>
      <c r="C1568" s="33" t="s">
        <v>1637</v>
      </c>
      <c r="D1568" s="33" t="s">
        <v>1638</v>
      </c>
    </row>
    <row r="1570" spans="1:5" x14ac:dyDescent="0.25">
      <c r="B1570" s="15" t="s">
        <v>1639</v>
      </c>
      <c r="C1570" s="15" t="s">
        <v>1640</v>
      </c>
      <c r="D1570" s="15" t="s">
        <v>1641</v>
      </c>
    </row>
    <row r="1571" spans="1:5" x14ac:dyDescent="0.25">
      <c r="A1571" s="4" t="s">
        <v>1702</v>
      </c>
      <c r="B1571" s="44">
        <f>C1550*B1395-C256</f>
        <v>-163225.66768459231</v>
      </c>
      <c r="C1571" s="44">
        <f>D1550*C1395-D256</f>
        <v>-988361.89451950788</v>
      </c>
      <c r="D1571" s="44">
        <f>E1550*D1395-E256+B1550-B256+B1571+C1571</f>
        <v>-1629521.1296301261</v>
      </c>
      <c r="E1571" s="17"/>
    </row>
    <row r="1573" spans="1:5" ht="21" customHeight="1" x14ac:dyDescent="0.3">
      <c r="A1573" s="1" t="s">
        <v>1703</v>
      </c>
    </row>
    <row r="1574" spans="1:5" x14ac:dyDescent="0.25">
      <c r="A1574" s="2" t="s">
        <v>350</v>
      </c>
    </row>
    <row r="1575" spans="1:5" x14ac:dyDescent="0.25">
      <c r="A1575" s="32" t="s">
        <v>1704</v>
      </c>
    </row>
    <row r="1576" spans="1:5" x14ac:dyDescent="0.25">
      <c r="A1576" s="32" t="s">
        <v>1705</v>
      </c>
    </row>
    <row r="1577" spans="1:5" x14ac:dyDescent="0.25">
      <c r="A1577" s="32" t="s">
        <v>1706</v>
      </c>
    </row>
    <row r="1578" spans="1:5" x14ac:dyDescent="0.25">
      <c r="A1578" s="32" t="s">
        <v>1646</v>
      </c>
    </row>
    <row r="1579" spans="1:5" x14ac:dyDescent="0.25">
      <c r="A1579" s="32" t="s">
        <v>1707</v>
      </c>
    </row>
    <row r="1580" spans="1:5" x14ac:dyDescent="0.25">
      <c r="A1580" s="32" t="s">
        <v>1708</v>
      </c>
    </row>
    <row r="1581" spans="1:5" x14ac:dyDescent="0.25">
      <c r="A1581" s="32" t="s">
        <v>1709</v>
      </c>
    </row>
    <row r="1582" spans="1:5" x14ac:dyDescent="0.25">
      <c r="A1582" s="32" t="s">
        <v>1710</v>
      </c>
    </row>
    <row r="1583" spans="1:5" x14ac:dyDescent="0.25">
      <c r="A1583" s="32" t="s">
        <v>1711</v>
      </c>
    </row>
    <row r="1584" spans="1:5" x14ac:dyDescent="0.25">
      <c r="A1584" s="32" t="s">
        <v>1712</v>
      </c>
    </row>
    <row r="1585" spans="1:1" x14ac:dyDescent="0.25">
      <c r="A1585" s="32" t="s">
        <v>1713</v>
      </c>
    </row>
    <row r="1586" spans="1:1" x14ac:dyDescent="0.25">
      <c r="A1586" s="32" t="s">
        <v>1714</v>
      </c>
    </row>
    <row r="1587" spans="1:1" x14ac:dyDescent="0.25">
      <c r="A1587" s="32" t="s">
        <v>1715</v>
      </c>
    </row>
    <row r="1588" spans="1:1" x14ac:dyDescent="0.25">
      <c r="A1588" s="32" t="s">
        <v>1716</v>
      </c>
    </row>
    <row r="1589" spans="1:1" x14ac:dyDescent="0.25">
      <c r="A1589" s="32" t="s">
        <v>1717</v>
      </c>
    </row>
    <row r="1590" spans="1:1" x14ac:dyDescent="0.25">
      <c r="A1590" s="32" t="s">
        <v>1718</v>
      </c>
    </row>
    <row r="1591" spans="1:1" x14ac:dyDescent="0.25">
      <c r="A1591" s="32" t="s">
        <v>1719</v>
      </c>
    </row>
    <row r="1592" spans="1:1" x14ac:dyDescent="0.25">
      <c r="A1592" s="32" t="s">
        <v>1720</v>
      </c>
    </row>
    <row r="1593" spans="1:1" x14ac:dyDescent="0.25">
      <c r="A1593" s="32" t="s">
        <v>1721</v>
      </c>
    </row>
    <row r="1594" spans="1:1" x14ac:dyDescent="0.25">
      <c r="A1594" s="32" t="s">
        <v>1722</v>
      </c>
    </row>
    <row r="1595" spans="1:1" x14ac:dyDescent="0.25">
      <c r="A1595" s="32" t="s">
        <v>1723</v>
      </c>
    </row>
    <row r="1596" spans="1:1" x14ac:dyDescent="0.25">
      <c r="A1596" s="32" t="s">
        <v>1724</v>
      </c>
    </row>
    <row r="1597" spans="1:1" x14ac:dyDescent="0.25">
      <c r="A1597" s="32" t="s">
        <v>1725</v>
      </c>
    </row>
    <row r="1598" spans="1:1" x14ac:dyDescent="0.25">
      <c r="A1598" s="32" t="s">
        <v>1726</v>
      </c>
    </row>
    <row r="1599" spans="1:1" x14ac:dyDescent="0.25">
      <c r="A1599" s="2" t="s">
        <v>1727</v>
      </c>
    </row>
    <row r="1601" spans="1:5" x14ac:dyDescent="0.25">
      <c r="B1601" s="15" t="s">
        <v>1728</v>
      </c>
      <c r="C1601" s="15" t="s">
        <v>1729</v>
      </c>
      <c r="D1601" s="15" t="s">
        <v>1730</v>
      </c>
    </row>
    <row r="1602" spans="1:5" x14ac:dyDescent="0.25">
      <c r="A1602" s="4" t="s">
        <v>1728</v>
      </c>
      <c r="B1602" s="37">
        <f>0.000001*(B1209-B1028)/(B1033-B852)</f>
        <v>18.665197081493943</v>
      </c>
      <c r="C1602" s="37">
        <f>0.000001*(C1209-C1028)/(B1033-B852)</f>
        <v>3.1871709457039807E-2</v>
      </c>
      <c r="D1602" s="37">
        <f>0.000001*(D1209-D1028)/(B1033-B852)</f>
        <v>18.763681383391827</v>
      </c>
      <c r="E1602" s="17"/>
    </row>
    <row r="1603" spans="1:5" x14ac:dyDescent="0.25">
      <c r="A1603" s="4" t="s">
        <v>1729</v>
      </c>
      <c r="B1603" s="37">
        <f>0.000001*(B1390-B1209)/(C1214-C1033)</f>
        <v>3.0081640773639052E-2</v>
      </c>
      <c r="C1603" s="37">
        <f>0.000001*(C1390-C1209)/(C1214-C1033)</f>
        <v>114.27709109751422</v>
      </c>
      <c r="D1603" s="37">
        <f>0.000001*(D1390-D1209)/(C1214-C1033)</f>
        <v>114.73143755211633</v>
      </c>
      <c r="E1603" s="17"/>
    </row>
    <row r="1604" spans="1:5" x14ac:dyDescent="0.25">
      <c r="A1604" s="4" t="s">
        <v>1730</v>
      </c>
      <c r="B1604" s="37">
        <f>0.000001*(B1571-B1390)/(D1395-D1214)</f>
        <v>1.9786793036758881E-2</v>
      </c>
      <c r="C1604" s="37">
        <f>0.000001*(C1571-C1390)/(D1395-D1214)</f>
        <v>0.13226560485213984</v>
      </c>
      <c r="D1604" s="37">
        <f>0.000001*(D1571-D1390)/(D1395-D1214)</f>
        <v>80.112853417235542</v>
      </c>
      <c r="E1604" s="17"/>
    </row>
    <row r="1606" spans="1:5" ht="21" customHeight="1" x14ac:dyDescent="0.3">
      <c r="A1606" s="1" t="s">
        <v>1731</v>
      </c>
    </row>
    <row r="1607" spans="1:5" x14ac:dyDescent="0.25">
      <c r="A1607" s="2" t="s">
        <v>350</v>
      </c>
    </row>
    <row r="1608" spans="1:5" x14ac:dyDescent="0.25">
      <c r="A1608" s="32" t="s">
        <v>1732</v>
      </c>
    </row>
    <row r="1609" spans="1:5" x14ac:dyDescent="0.25">
      <c r="A1609" s="2" t="s">
        <v>1727</v>
      </c>
    </row>
    <row r="1611" spans="1:5" x14ac:dyDescent="0.25">
      <c r="B1611" s="15" t="s">
        <v>1728</v>
      </c>
      <c r="C1611" s="15" t="s">
        <v>1729</v>
      </c>
      <c r="D1611" s="15" t="s">
        <v>1730</v>
      </c>
    </row>
    <row r="1612" spans="1:5" x14ac:dyDescent="0.25">
      <c r="A1612" s="4" t="s">
        <v>1728</v>
      </c>
      <c r="B1612" s="37">
        <f>C1603*D1604-D1603*C1604</f>
        <v>9139.8888250598429</v>
      </c>
      <c r="C1612" s="37">
        <f>D1603*B1604-B1603*D1604</f>
        <v>-0.13975886819492978</v>
      </c>
      <c r="D1612" s="37">
        <f>B1603*C1604-C1603*B1604</f>
        <v>-2.2571983839774847</v>
      </c>
      <c r="E1612" s="17"/>
    </row>
    <row r="1613" spans="1:5" x14ac:dyDescent="0.25">
      <c r="A1613" s="4" t="s">
        <v>1729</v>
      </c>
      <c r="B1613" s="37">
        <f>D1602*C1604-C1602*D1604</f>
        <v>-7.1543920461393906E-2</v>
      </c>
      <c r="C1613" s="37">
        <f>B1602*D1604-D1602*B1604</f>
        <v>1494.950924713396</v>
      </c>
      <c r="D1613" s="37">
        <f>C1602*B1604-B1602*C1604</f>
        <v>-2.4681329427494378</v>
      </c>
      <c r="E1613" s="17"/>
    </row>
    <row r="1614" spans="1:5" x14ac:dyDescent="0.25">
      <c r="A1614" s="4" t="s">
        <v>1730</v>
      </c>
      <c r="B1614" s="37">
        <f>C1602*D1603-D1602*C1603</f>
        <v>-2140.60223973135</v>
      </c>
      <c r="C1614" s="37">
        <f>D1602*B1603-B1602*D1603</f>
        <v>-2140.9204510304003</v>
      </c>
      <c r="D1614" s="37">
        <f>B1602*C1603-C1602*B1603</f>
        <v>2133.0034684816251</v>
      </c>
      <c r="E1614" s="17"/>
    </row>
    <row r="1616" spans="1:5" ht="21" customHeight="1" x14ac:dyDescent="0.3">
      <c r="A1616" s="1" t="s">
        <v>1733</v>
      </c>
    </row>
    <row r="1617" spans="1:4" x14ac:dyDescent="0.25">
      <c r="A1617" s="2" t="s">
        <v>1734</v>
      </c>
    </row>
    <row r="1619" spans="1:4" x14ac:dyDescent="0.25">
      <c r="B1619" s="15" t="s">
        <v>1735</v>
      </c>
    </row>
    <row r="1620" spans="1:4" x14ac:dyDescent="0.25">
      <c r="A1620" s="4" t="s">
        <v>1735</v>
      </c>
      <c r="B1620" s="37">
        <f>SUMPRODUCT(B1602:D1602,B1612:D1612)</f>
        <v>170555.468417036</v>
      </c>
      <c r="C1620" s="17"/>
    </row>
    <row r="1622" spans="1:4" ht="21" customHeight="1" x14ac:dyDescent="0.3">
      <c r="A1622" s="1" t="s">
        <v>1736</v>
      </c>
    </row>
    <row r="1623" spans="1:4" x14ac:dyDescent="0.25">
      <c r="A1623" s="2" t="s">
        <v>350</v>
      </c>
    </row>
    <row r="1624" spans="1:4" x14ac:dyDescent="0.25">
      <c r="A1624" s="32" t="s">
        <v>1737</v>
      </c>
    </row>
    <row r="1625" spans="1:4" x14ac:dyDescent="0.25">
      <c r="A1625" s="32" t="s">
        <v>1705</v>
      </c>
    </row>
    <row r="1626" spans="1:4" x14ac:dyDescent="0.25">
      <c r="A1626" s="32" t="s">
        <v>1738</v>
      </c>
    </row>
    <row r="1627" spans="1:4" x14ac:dyDescent="0.25">
      <c r="A1627" s="32" t="s">
        <v>1739</v>
      </c>
    </row>
    <row r="1628" spans="1:4" x14ac:dyDescent="0.25">
      <c r="A1628" s="32" t="s">
        <v>1740</v>
      </c>
    </row>
    <row r="1629" spans="1:4" x14ac:dyDescent="0.25">
      <c r="A1629" s="32" t="s">
        <v>1741</v>
      </c>
    </row>
    <row r="1630" spans="1:4" x14ac:dyDescent="0.25">
      <c r="A1630" s="32" t="s">
        <v>1742</v>
      </c>
    </row>
    <row r="1631" spans="1:4" x14ac:dyDescent="0.25">
      <c r="A1631" s="32" t="s">
        <v>1688</v>
      </c>
    </row>
    <row r="1632" spans="1:4" ht="30" x14ac:dyDescent="0.25">
      <c r="A1632" s="33" t="s">
        <v>353</v>
      </c>
      <c r="B1632" s="33" t="s">
        <v>421</v>
      </c>
      <c r="C1632" s="33" t="s">
        <v>421</v>
      </c>
      <c r="D1632" s="33" t="s">
        <v>421</v>
      </c>
    </row>
    <row r="1633" spans="1:5" ht="45" x14ac:dyDescent="0.25">
      <c r="A1633" s="33" t="s">
        <v>356</v>
      </c>
      <c r="B1633" s="33" t="s">
        <v>1743</v>
      </c>
      <c r="C1633" s="33" t="s">
        <v>1744</v>
      </c>
      <c r="D1633" s="33" t="s">
        <v>1745</v>
      </c>
    </row>
    <row r="1635" spans="1:5" ht="30" x14ac:dyDescent="0.25">
      <c r="B1635" s="15" t="s">
        <v>1746</v>
      </c>
      <c r="C1635" s="15" t="s">
        <v>1747</v>
      </c>
      <c r="D1635" s="15" t="s">
        <v>1748</v>
      </c>
    </row>
    <row r="1636" spans="1:5" x14ac:dyDescent="0.25">
      <c r="A1636" s="4" t="s">
        <v>1749</v>
      </c>
      <c r="B1636" s="37">
        <f>B1395-0.000001*(B1571*B1612+C1571*C1612+D1571*D1612)/B1620</f>
        <v>0.99872471686216835</v>
      </c>
      <c r="C1636" s="37">
        <f>C1395-0.000001*(B1571*B1613+C1571*C1613+D1571*D1613)/B1620</f>
        <v>0.99863952935226497</v>
      </c>
      <c r="D1636" s="37">
        <f>D1395-0.000001*(B1571*B1614+C1571*C1614+D1571*D1614)/B1620</f>
        <v>0.9959239894681734</v>
      </c>
      <c r="E1636" s="17"/>
    </row>
    <row r="1638" spans="1:5" ht="21" customHeight="1" x14ac:dyDescent="0.3">
      <c r="A1638" s="1" t="s">
        <v>1750</v>
      </c>
    </row>
    <row r="1639" spans="1:5" x14ac:dyDescent="0.25">
      <c r="A1639" s="2" t="s">
        <v>350</v>
      </c>
    </row>
    <row r="1640" spans="1:5" x14ac:dyDescent="0.25">
      <c r="A1640" s="32" t="s">
        <v>1751</v>
      </c>
    </row>
    <row r="1641" spans="1:5" x14ac:dyDescent="0.25">
      <c r="A1641" s="32" t="s">
        <v>1752</v>
      </c>
    </row>
    <row r="1642" spans="1:5" x14ac:dyDescent="0.25">
      <c r="A1642" s="32" t="s">
        <v>1753</v>
      </c>
    </row>
    <row r="1643" spans="1:5" x14ac:dyDescent="0.25">
      <c r="A1643" s="33" t="s">
        <v>353</v>
      </c>
      <c r="B1643" s="33" t="s">
        <v>412</v>
      </c>
      <c r="C1643" s="33" t="s">
        <v>412</v>
      </c>
      <c r="D1643" s="33" t="s">
        <v>412</v>
      </c>
    </row>
    <row r="1644" spans="1:5" x14ac:dyDescent="0.25">
      <c r="A1644" s="33" t="s">
        <v>356</v>
      </c>
      <c r="B1644" s="33" t="s">
        <v>1577</v>
      </c>
      <c r="C1644" s="33" t="s">
        <v>415</v>
      </c>
      <c r="D1644" s="33" t="s">
        <v>1578</v>
      </c>
    </row>
    <row r="1646" spans="1:5" ht="75" x14ac:dyDescent="0.25">
      <c r="B1646" s="15" t="s">
        <v>1746</v>
      </c>
      <c r="C1646" s="15" t="s">
        <v>1594</v>
      </c>
      <c r="D1646" s="15" t="s">
        <v>1595</v>
      </c>
    </row>
    <row r="1647" spans="1:5" x14ac:dyDescent="0.25">
      <c r="A1647" s="4" t="s">
        <v>1754</v>
      </c>
      <c r="B1647" s="38">
        <f>B1636</f>
        <v>0.99872471686216835</v>
      </c>
      <c r="C1647" s="28">
        <f>C1395</f>
        <v>0.99</v>
      </c>
      <c r="D1647" s="28">
        <f>D1395</f>
        <v>0.99</v>
      </c>
      <c r="E1647" s="17"/>
    </row>
    <row r="1649" spans="1:3" ht="21" customHeight="1" x14ac:dyDescent="0.3">
      <c r="A1649" s="1" t="s">
        <v>1755</v>
      </c>
    </row>
    <row r="1650" spans="1:3" x14ac:dyDescent="0.25">
      <c r="A1650" s="2" t="s">
        <v>350</v>
      </c>
    </row>
    <row r="1651" spans="1:3" x14ac:dyDescent="0.25">
      <c r="A1651" s="32" t="s">
        <v>1598</v>
      </c>
    </row>
    <row r="1652" spans="1:3" x14ac:dyDescent="0.25">
      <c r="A1652" s="32" t="s">
        <v>1599</v>
      </c>
    </row>
    <row r="1653" spans="1:3" x14ac:dyDescent="0.25">
      <c r="A1653" s="32" t="s">
        <v>1600</v>
      </c>
    </row>
    <row r="1654" spans="1:3" x14ac:dyDescent="0.25">
      <c r="A1654" s="32" t="s">
        <v>1756</v>
      </c>
    </row>
    <row r="1655" spans="1:3" x14ac:dyDescent="0.25">
      <c r="A1655" s="32" t="s">
        <v>1602</v>
      </c>
    </row>
    <row r="1656" spans="1:3" x14ac:dyDescent="0.25">
      <c r="A1656" s="32" t="s">
        <v>1757</v>
      </c>
    </row>
    <row r="1657" spans="1:3" x14ac:dyDescent="0.25">
      <c r="A1657" s="32" t="s">
        <v>1604</v>
      </c>
    </row>
    <row r="1658" spans="1:3" x14ac:dyDescent="0.25">
      <c r="A1658" s="32" t="s">
        <v>1758</v>
      </c>
    </row>
    <row r="1659" spans="1:3" x14ac:dyDescent="0.25">
      <c r="A1659" s="2" t="s">
        <v>1606</v>
      </c>
    </row>
    <row r="1661" spans="1:3" x14ac:dyDescent="0.25">
      <c r="B1661" s="15" t="s">
        <v>1607</v>
      </c>
    </row>
    <row r="1662" spans="1:3" x14ac:dyDescent="0.25">
      <c r="A1662" s="4" t="s">
        <v>171</v>
      </c>
      <c r="B1662" s="37">
        <f t="shared" ref="B1662:B1686" si="12">IF(F823,(B823+C823*B$1647+D823*C$1647+E823*D$1647)/F823*0.1,0)</f>
        <v>2.5179640169767641</v>
      </c>
      <c r="C1662" s="17"/>
    </row>
    <row r="1663" spans="1:3" x14ac:dyDescent="0.25">
      <c r="A1663" s="4" t="s">
        <v>1567</v>
      </c>
      <c r="B1663" s="37">
        <f t="shared" si="12"/>
        <v>1.5781056787819849</v>
      </c>
      <c r="C1663" s="17"/>
    </row>
    <row r="1664" spans="1:3" x14ac:dyDescent="0.25">
      <c r="A1664" s="4" t="s">
        <v>173</v>
      </c>
      <c r="B1664" s="37">
        <f t="shared" si="12"/>
        <v>2.1681430269474511</v>
      </c>
      <c r="C1664" s="17"/>
    </row>
    <row r="1665" spans="1:3" ht="30" x14ac:dyDescent="0.25">
      <c r="A1665" s="4" t="s">
        <v>1568</v>
      </c>
      <c r="B1665" s="37">
        <f t="shared" si="12"/>
        <v>1.5944096886038861</v>
      </c>
      <c r="C1665" s="17"/>
    </row>
    <row r="1666" spans="1:3" x14ac:dyDescent="0.25">
      <c r="A1666" s="4" t="s">
        <v>175</v>
      </c>
      <c r="B1666" s="37">
        <f t="shared" si="12"/>
        <v>0</v>
      </c>
      <c r="C1666" s="17"/>
    </row>
    <row r="1667" spans="1:3" x14ac:dyDescent="0.25">
      <c r="A1667" s="4" t="s">
        <v>176</v>
      </c>
      <c r="B1667" s="37">
        <f t="shared" si="12"/>
        <v>0</v>
      </c>
      <c r="C1667" s="17"/>
    </row>
    <row r="1668" spans="1:3" x14ac:dyDescent="0.25">
      <c r="A1668" s="4" t="s">
        <v>192</v>
      </c>
      <c r="B1668" s="37">
        <f t="shared" si="12"/>
        <v>1.4811046979348119</v>
      </c>
      <c r="C1668" s="17"/>
    </row>
    <row r="1669" spans="1:3" x14ac:dyDescent="0.25">
      <c r="A1669" s="4" t="s">
        <v>177</v>
      </c>
      <c r="B1669" s="37">
        <f t="shared" si="12"/>
        <v>0</v>
      </c>
      <c r="C1669" s="17"/>
    </row>
    <row r="1670" spans="1:3" x14ac:dyDescent="0.25">
      <c r="A1670" s="4" t="s">
        <v>178</v>
      </c>
      <c r="B1670" s="37">
        <f t="shared" si="12"/>
        <v>1.9877068041232293</v>
      </c>
      <c r="C1670" s="17"/>
    </row>
    <row r="1671" spans="1:3" x14ac:dyDescent="0.25">
      <c r="A1671" s="4" t="s">
        <v>179</v>
      </c>
      <c r="B1671" s="37">
        <f t="shared" si="12"/>
        <v>2.2579889816002825</v>
      </c>
      <c r="C1671" s="17"/>
    </row>
    <row r="1672" spans="1:3" x14ac:dyDescent="0.25">
      <c r="A1672" s="4" t="s">
        <v>180</v>
      </c>
      <c r="B1672" s="37">
        <f t="shared" si="12"/>
        <v>1.8324714254651742</v>
      </c>
      <c r="C1672" s="17"/>
    </row>
    <row r="1673" spans="1:3" x14ac:dyDescent="0.25">
      <c r="A1673" s="4" t="s">
        <v>193</v>
      </c>
      <c r="B1673" s="37">
        <f t="shared" si="12"/>
        <v>1.1884140652789748</v>
      </c>
      <c r="C1673" s="17"/>
    </row>
    <row r="1674" spans="1:3" x14ac:dyDescent="0.25">
      <c r="A1674" s="4" t="s">
        <v>215</v>
      </c>
      <c r="B1674" s="37">
        <f t="shared" si="12"/>
        <v>2.8298346538652654</v>
      </c>
      <c r="C1674" s="17"/>
    </row>
    <row r="1675" spans="1:3" x14ac:dyDescent="0.25">
      <c r="A1675" s="4" t="s">
        <v>216</v>
      </c>
      <c r="B1675" s="37">
        <f t="shared" si="12"/>
        <v>3.2002223998657713</v>
      </c>
      <c r="C1675" s="17"/>
    </row>
    <row r="1676" spans="1:3" x14ac:dyDescent="0.25">
      <c r="A1676" s="4" t="s">
        <v>217</v>
      </c>
      <c r="B1676" s="37">
        <f t="shared" si="12"/>
        <v>4.6218970672991624</v>
      </c>
      <c r="C1676" s="17"/>
    </row>
    <row r="1677" spans="1:3" x14ac:dyDescent="0.25">
      <c r="A1677" s="4" t="s">
        <v>218</v>
      </c>
      <c r="B1677" s="37">
        <f t="shared" si="12"/>
        <v>2.6497999292618402</v>
      </c>
      <c r="C1677" s="17"/>
    </row>
    <row r="1678" spans="1:3" x14ac:dyDescent="0.25">
      <c r="A1678" s="4" t="s">
        <v>219</v>
      </c>
      <c r="B1678" s="37">
        <f t="shared" si="12"/>
        <v>3.3790872411132917</v>
      </c>
      <c r="C1678" s="17"/>
    </row>
    <row r="1679" spans="1:3" x14ac:dyDescent="0.25">
      <c r="A1679" s="4" t="s">
        <v>181</v>
      </c>
      <c r="B1679" s="37">
        <f t="shared" si="12"/>
        <v>-0.90949858457889299</v>
      </c>
      <c r="C1679" s="17"/>
    </row>
    <row r="1680" spans="1:3" x14ac:dyDescent="0.25">
      <c r="A1680" s="4" t="s">
        <v>182</v>
      </c>
      <c r="B1680" s="37">
        <f t="shared" si="12"/>
        <v>0</v>
      </c>
      <c r="C1680" s="17"/>
    </row>
    <row r="1681" spans="1:3" x14ac:dyDescent="0.25">
      <c r="A1681" s="4" t="s">
        <v>183</v>
      </c>
      <c r="B1681" s="37">
        <f t="shared" si="12"/>
        <v>-0.90262379105112345</v>
      </c>
      <c r="C1681" s="17"/>
    </row>
    <row r="1682" spans="1:3" x14ac:dyDescent="0.25">
      <c r="A1682" s="4" t="s">
        <v>184</v>
      </c>
      <c r="B1682" s="37">
        <f t="shared" si="12"/>
        <v>-0.81776695680995681</v>
      </c>
      <c r="C1682" s="17"/>
    </row>
    <row r="1683" spans="1:3" x14ac:dyDescent="0.25">
      <c r="A1683" s="4" t="s">
        <v>185</v>
      </c>
      <c r="B1683" s="37">
        <f t="shared" si="12"/>
        <v>-0.72453103461703383</v>
      </c>
      <c r="C1683" s="17"/>
    </row>
    <row r="1684" spans="1:3" x14ac:dyDescent="0.25">
      <c r="A1684" s="4" t="s">
        <v>186</v>
      </c>
      <c r="B1684" s="37">
        <f t="shared" si="12"/>
        <v>-0.56469981478351194</v>
      </c>
      <c r="C1684" s="17"/>
    </row>
    <row r="1685" spans="1:3" x14ac:dyDescent="0.25">
      <c r="A1685" s="4" t="s">
        <v>194</v>
      </c>
      <c r="B1685" s="37">
        <f t="shared" si="12"/>
        <v>-0.52043597102296957</v>
      </c>
      <c r="C1685" s="17"/>
    </row>
    <row r="1686" spans="1:3" x14ac:dyDescent="0.25">
      <c r="A1686" s="4" t="s">
        <v>195</v>
      </c>
      <c r="B1686" s="37">
        <f t="shared" si="12"/>
        <v>-0.48273252548837881</v>
      </c>
      <c r="C1686" s="17"/>
    </row>
    <row r="1688" spans="1:3" ht="21" customHeight="1" x14ac:dyDescent="0.3">
      <c r="A1688" s="1" t="s">
        <v>1759</v>
      </c>
    </row>
    <row r="1689" spans="1:3" x14ac:dyDescent="0.25">
      <c r="A1689" s="2" t="s">
        <v>350</v>
      </c>
    </row>
    <row r="1690" spans="1:3" x14ac:dyDescent="0.25">
      <c r="A1690" s="32" t="s">
        <v>1760</v>
      </c>
    </row>
    <row r="1691" spans="1:3" x14ac:dyDescent="0.25">
      <c r="A1691" s="32" t="s">
        <v>1610</v>
      </c>
    </row>
    <row r="1692" spans="1:3" x14ac:dyDescent="0.25">
      <c r="A1692" s="2" t="s">
        <v>1611</v>
      </c>
    </row>
    <row r="1694" spans="1:3" ht="30" x14ac:dyDescent="0.25">
      <c r="B1694" s="15" t="s">
        <v>1612</v>
      </c>
    </row>
    <row r="1695" spans="1:3" x14ac:dyDescent="0.25">
      <c r="A1695" s="29" t="s">
        <v>171</v>
      </c>
      <c r="C1695" s="17"/>
    </row>
    <row r="1696" spans="1:3" x14ac:dyDescent="0.25">
      <c r="A1696" s="4" t="s">
        <v>171</v>
      </c>
      <c r="B1696" s="39">
        <f>IF(B$1662,1-B608/B$1662,0)</f>
        <v>1</v>
      </c>
      <c r="C1696" s="17"/>
    </row>
    <row r="1697" spans="1:3" x14ac:dyDescent="0.25">
      <c r="A1697" s="4" t="s">
        <v>231</v>
      </c>
      <c r="B1697" s="39">
        <f>IF(B$1662,1-B609/B$1662,0)</f>
        <v>0.73084293024019342</v>
      </c>
      <c r="C1697" s="17"/>
    </row>
    <row r="1698" spans="1:3" x14ac:dyDescent="0.25">
      <c r="A1698" s="4" t="s">
        <v>232</v>
      </c>
      <c r="B1698" s="39">
        <f>IF(B$1662,1-B610/B$1662,0)</f>
        <v>0.56170298460970913</v>
      </c>
      <c r="C1698" s="17"/>
    </row>
    <row r="1699" spans="1:3" x14ac:dyDescent="0.25">
      <c r="A1699" s="29" t="s">
        <v>1567</v>
      </c>
      <c r="C1699" s="17"/>
    </row>
    <row r="1700" spans="1:3" x14ac:dyDescent="0.25">
      <c r="A1700" s="4" t="s">
        <v>172</v>
      </c>
      <c r="B1700" s="39">
        <f t="shared" ref="B1700:B1705" si="13">IF(B$1663,1-B612/B$1663,0)</f>
        <v>1</v>
      </c>
      <c r="C1700" s="17"/>
    </row>
    <row r="1701" spans="1:3" x14ac:dyDescent="0.25">
      <c r="A1701" s="4" t="s">
        <v>234</v>
      </c>
      <c r="B1701" s="39">
        <f t="shared" si="13"/>
        <v>0.57054345239212234</v>
      </c>
      <c r="C1701" s="17"/>
    </row>
    <row r="1702" spans="1:3" x14ac:dyDescent="0.25">
      <c r="A1702" s="4" t="s">
        <v>235</v>
      </c>
      <c r="B1702" s="39">
        <f t="shared" si="13"/>
        <v>0.3006703363789569</v>
      </c>
      <c r="C1702" s="17"/>
    </row>
    <row r="1703" spans="1:3" x14ac:dyDescent="0.25">
      <c r="A1703" s="4" t="s">
        <v>213</v>
      </c>
      <c r="B1703" s="39">
        <f t="shared" si="13"/>
        <v>1</v>
      </c>
      <c r="C1703" s="17"/>
    </row>
    <row r="1704" spans="1:3" x14ac:dyDescent="0.25">
      <c r="A1704" s="4" t="s">
        <v>237</v>
      </c>
      <c r="B1704" s="39">
        <f t="shared" si="13"/>
        <v>0.57054345239212234</v>
      </c>
      <c r="C1704" s="17"/>
    </row>
    <row r="1705" spans="1:3" x14ac:dyDescent="0.25">
      <c r="A1705" s="4" t="s">
        <v>238</v>
      </c>
      <c r="B1705" s="39">
        <f t="shared" si="13"/>
        <v>0.3006703363789569</v>
      </c>
      <c r="C1705" s="17"/>
    </row>
    <row r="1706" spans="1:3" x14ac:dyDescent="0.25">
      <c r="A1706" s="29" t="s">
        <v>173</v>
      </c>
      <c r="C1706" s="17"/>
    </row>
    <row r="1707" spans="1:3" x14ac:dyDescent="0.25">
      <c r="A1707" s="4" t="s">
        <v>173</v>
      </c>
      <c r="B1707" s="39">
        <f>IF(B$1664,1-B619/B$1664,0)</f>
        <v>1</v>
      </c>
      <c r="C1707" s="17"/>
    </row>
    <row r="1708" spans="1:3" x14ac:dyDescent="0.25">
      <c r="A1708" s="4" t="s">
        <v>240</v>
      </c>
      <c r="B1708" s="39">
        <f>IF(B$1664,1-B620/B$1664,0)</f>
        <v>0.68741554032794738</v>
      </c>
      <c r="C1708" s="17"/>
    </row>
    <row r="1709" spans="1:3" x14ac:dyDescent="0.25">
      <c r="A1709" s="4" t="s">
        <v>241</v>
      </c>
      <c r="B1709" s="39">
        <f>IF(B$1664,1-B621/B$1664,0)</f>
        <v>0.49098555778635378</v>
      </c>
      <c r="C1709" s="17"/>
    </row>
    <row r="1710" spans="1:3" ht="30" x14ac:dyDescent="0.25">
      <c r="A1710" s="29" t="s">
        <v>1568</v>
      </c>
      <c r="C1710" s="17"/>
    </row>
    <row r="1711" spans="1:3" x14ac:dyDescent="0.25">
      <c r="A1711" s="4" t="s">
        <v>174</v>
      </c>
      <c r="B1711" s="39">
        <f t="shared" ref="B1711:B1716" si="14">IF(B$1665,1-B623/B$1665,0)</f>
        <v>1</v>
      </c>
      <c r="C1711" s="17"/>
    </row>
    <row r="1712" spans="1:3" x14ac:dyDescent="0.25">
      <c r="A1712" s="4" t="s">
        <v>243</v>
      </c>
      <c r="B1712" s="39">
        <f t="shared" si="14"/>
        <v>0.57493496093620911</v>
      </c>
      <c r="C1712" s="17"/>
    </row>
    <row r="1713" spans="1:3" x14ac:dyDescent="0.25">
      <c r="A1713" s="4" t="s">
        <v>244</v>
      </c>
      <c r="B1713" s="39">
        <f t="shared" si="14"/>
        <v>0.30782149569887307</v>
      </c>
      <c r="C1713" s="17"/>
    </row>
    <row r="1714" spans="1:3" x14ac:dyDescent="0.25">
      <c r="A1714" s="4" t="s">
        <v>214</v>
      </c>
      <c r="B1714" s="39">
        <f t="shared" si="14"/>
        <v>1</v>
      </c>
      <c r="C1714" s="17"/>
    </row>
    <row r="1715" spans="1:3" ht="30" x14ac:dyDescent="0.25">
      <c r="A1715" s="4" t="s">
        <v>246</v>
      </c>
      <c r="B1715" s="39">
        <f t="shared" si="14"/>
        <v>0.57493496093620911</v>
      </c>
      <c r="C1715" s="17"/>
    </row>
    <row r="1716" spans="1:3" ht="30" x14ac:dyDescent="0.25">
      <c r="A1716" s="4" t="s">
        <v>247</v>
      </c>
      <c r="B1716" s="39">
        <f t="shared" si="14"/>
        <v>0.30782149569887307</v>
      </c>
      <c r="C1716" s="17"/>
    </row>
    <row r="1717" spans="1:3" x14ac:dyDescent="0.25">
      <c r="A1717" s="29" t="s">
        <v>175</v>
      </c>
      <c r="C1717" s="17"/>
    </row>
    <row r="1718" spans="1:3" x14ac:dyDescent="0.25">
      <c r="A1718" s="4" t="s">
        <v>175</v>
      </c>
      <c r="B1718" s="39">
        <f>IF(B$1666,1-B630/B$1666,0)</f>
        <v>0</v>
      </c>
      <c r="C1718" s="17"/>
    </row>
    <row r="1719" spans="1:3" x14ac:dyDescent="0.25">
      <c r="A1719" s="4" t="s">
        <v>249</v>
      </c>
      <c r="B1719" s="39">
        <f>IF(B$1666,1-B631/B$1666,0)</f>
        <v>0</v>
      </c>
      <c r="C1719" s="17"/>
    </row>
    <row r="1720" spans="1:3" x14ac:dyDescent="0.25">
      <c r="A1720" s="4" t="s">
        <v>250</v>
      </c>
      <c r="B1720" s="39">
        <f>IF(B$1666,1-B632/B$1666,0)</f>
        <v>0</v>
      </c>
      <c r="C1720" s="17"/>
    </row>
    <row r="1721" spans="1:3" x14ac:dyDescent="0.25">
      <c r="A1721" s="29" t="s">
        <v>176</v>
      </c>
      <c r="C1721" s="17"/>
    </row>
    <row r="1722" spans="1:3" x14ac:dyDescent="0.25">
      <c r="A1722" s="4" t="s">
        <v>176</v>
      </c>
      <c r="B1722" s="39">
        <f>IF(B$1667,1-B634/B$1667,0)</f>
        <v>0</v>
      </c>
      <c r="C1722" s="17"/>
    </row>
    <row r="1723" spans="1:3" x14ac:dyDescent="0.25">
      <c r="A1723" s="29" t="s">
        <v>192</v>
      </c>
      <c r="C1723" s="17"/>
    </row>
    <row r="1724" spans="1:3" x14ac:dyDescent="0.25">
      <c r="A1724" s="4" t="s">
        <v>192</v>
      </c>
      <c r="B1724" s="39">
        <f>IF(B$1668,1-B636/B$1668,0)</f>
        <v>1</v>
      </c>
      <c r="C1724" s="17"/>
    </row>
    <row r="1725" spans="1:3" x14ac:dyDescent="0.25">
      <c r="A1725" s="29" t="s">
        <v>177</v>
      </c>
      <c r="C1725" s="17"/>
    </row>
    <row r="1726" spans="1:3" x14ac:dyDescent="0.25">
      <c r="A1726" s="4" t="s">
        <v>177</v>
      </c>
      <c r="B1726" s="39">
        <f>IF(B$1669,1-B638/B$1669,0)</f>
        <v>0</v>
      </c>
      <c r="C1726" s="17"/>
    </row>
    <row r="1727" spans="1:3" x14ac:dyDescent="0.25">
      <c r="A1727" s="4" t="s">
        <v>254</v>
      </c>
      <c r="B1727" s="39">
        <f>IF(B$1669,1-B639/B$1669,0)</f>
        <v>0</v>
      </c>
      <c r="C1727" s="17"/>
    </row>
    <row r="1728" spans="1:3" x14ac:dyDescent="0.25">
      <c r="A1728" s="4" t="s">
        <v>255</v>
      </c>
      <c r="B1728" s="39">
        <f>IF(B$1669,1-B640/B$1669,0)</f>
        <v>0</v>
      </c>
      <c r="C1728" s="17"/>
    </row>
    <row r="1729" spans="1:3" x14ac:dyDescent="0.25">
      <c r="A1729" s="29" t="s">
        <v>178</v>
      </c>
      <c r="C1729" s="17"/>
    </row>
    <row r="1730" spans="1:3" x14ac:dyDescent="0.25">
      <c r="A1730" s="4" t="s">
        <v>178</v>
      </c>
      <c r="B1730" s="39">
        <f>IF(B$1670,1-B642/B$1670,0)</f>
        <v>1</v>
      </c>
      <c r="C1730" s="17"/>
    </row>
    <row r="1731" spans="1:3" x14ac:dyDescent="0.25">
      <c r="A1731" s="4" t="s">
        <v>257</v>
      </c>
      <c r="B1731" s="39">
        <f>IF(B$1670,1-B643/B$1670,0)</f>
        <v>0.65904034983215687</v>
      </c>
      <c r="C1731" s="17"/>
    </row>
    <row r="1732" spans="1:3" x14ac:dyDescent="0.25">
      <c r="A1732" s="4" t="s">
        <v>258</v>
      </c>
      <c r="B1732" s="39">
        <f>IF(B$1670,1-B644/B$1670,0)</f>
        <v>0.44477922437466089</v>
      </c>
      <c r="C1732" s="17"/>
    </row>
    <row r="1733" spans="1:3" x14ac:dyDescent="0.25">
      <c r="A1733" s="29" t="s">
        <v>179</v>
      </c>
      <c r="C1733" s="17"/>
    </row>
    <row r="1734" spans="1:3" x14ac:dyDescent="0.25">
      <c r="A1734" s="4" t="s">
        <v>179</v>
      </c>
      <c r="B1734" s="39">
        <f>IF(B$1671,1-B646/B$1671,0)</f>
        <v>1</v>
      </c>
      <c r="C1734" s="17"/>
    </row>
    <row r="1735" spans="1:3" x14ac:dyDescent="0.25">
      <c r="A1735" s="4" t="s">
        <v>260</v>
      </c>
      <c r="B1735" s="39">
        <f>IF(B$1671,1-B647/B$1671,0)</f>
        <v>0.69985335531186776</v>
      </c>
      <c r="C1735" s="17"/>
    </row>
    <row r="1736" spans="1:3" x14ac:dyDescent="0.25">
      <c r="A1736" s="4" t="s">
        <v>261</v>
      </c>
      <c r="B1736" s="39">
        <f>IF(B$1671,1-B648/B$1671,0)</f>
        <v>0.51123937162930333</v>
      </c>
      <c r="C1736" s="17"/>
    </row>
    <row r="1737" spans="1:3" x14ac:dyDescent="0.25">
      <c r="A1737" s="29" t="s">
        <v>180</v>
      </c>
      <c r="C1737" s="17"/>
    </row>
    <row r="1738" spans="1:3" x14ac:dyDescent="0.25">
      <c r="A1738" s="4" t="s">
        <v>180</v>
      </c>
      <c r="B1738" s="39">
        <f>IF(B$1672,1-B650/B$1672,0)</f>
        <v>1</v>
      </c>
      <c r="C1738" s="17"/>
    </row>
    <row r="1739" spans="1:3" x14ac:dyDescent="0.25">
      <c r="A1739" s="4" t="s">
        <v>263</v>
      </c>
      <c r="B1739" s="39">
        <f>IF(B$1672,1-B651/B$1672,0)</f>
        <v>0.64852459791446748</v>
      </c>
      <c r="C1739" s="17"/>
    </row>
    <row r="1740" spans="1:3" x14ac:dyDescent="0.25">
      <c r="A1740" s="29" t="s">
        <v>193</v>
      </c>
      <c r="C1740" s="17"/>
    </row>
    <row r="1741" spans="1:3" x14ac:dyDescent="0.25">
      <c r="A1741" s="4" t="s">
        <v>193</v>
      </c>
      <c r="B1741" s="39">
        <f>IF(B$1673,1-B653/B$1673,0)</f>
        <v>1</v>
      </c>
      <c r="C1741" s="17"/>
    </row>
    <row r="1742" spans="1:3" x14ac:dyDescent="0.25">
      <c r="A1742" s="4" t="s">
        <v>265</v>
      </c>
      <c r="B1742" s="39">
        <f>IF(B$1673,1-B654/B$1673,0)</f>
        <v>0.65216887844073468</v>
      </c>
      <c r="C1742" s="17"/>
    </row>
    <row r="1743" spans="1:3" x14ac:dyDescent="0.25">
      <c r="A1743" s="29" t="s">
        <v>215</v>
      </c>
      <c r="C1743" s="17"/>
    </row>
    <row r="1744" spans="1:3" x14ac:dyDescent="0.25">
      <c r="A1744" s="4" t="s">
        <v>215</v>
      </c>
      <c r="B1744" s="39">
        <f>IF(B$1674,1-B656/B$1674,0)</f>
        <v>1</v>
      </c>
      <c r="C1744" s="17"/>
    </row>
    <row r="1745" spans="1:3" x14ac:dyDescent="0.25">
      <c r="A1745" s="4" t="s">
        <v>267</v>
      </c>
      <c r="B1745" s="39">
        <f>IF(B$1674,1-B657/B$1674,0)</f>
        <v>0.76050621344805758</v>
      </c>
      <c r="C1745" s="17"/>
    </row>
    <row r="1746" spans="1:3" x14ac:dyDescent="0.25">
      <c r="A1746" s="4" t="s">
        <v>268</v>
      </c>
      <c r="B1746" s="39">
        <f>IF(B$1674,1-B658/B$1674,0)</f>
        <v>0.61000685605654148</v>
      </c>
      <c r="C1746" s="17"/>
    </row>
    <row r="1747" spans="1:3" x14ac:dyDescent="0.25">
      <c r="A1747" s="29" t="s">
        <v>216</v>
      </c>
      <c r="C1747" s="17"/>
    </row>
    <row r="1748" spans="1:3" x14ac:dyDescent="0.25">
      <c r="A1748" s="4" t="s">
        <v>216</v>
      </c>
      <c r="B1748" s="39">
        <f>IF(B$1675,1-B660/B$1675,0)</f>
        <v>1</v>
      </c>
      <c r="C1748" s="17"/>
    </row>
    <row r="1749" spans="1:3" x14ac:dyDescent="0.25">
      <c r="A1749" s="4" t="s">
        <v>270</v>
      </c>
      <c r="B1749" s="39">
        <f>IF(B$1675,1-B661/B$1675,0)</f>
        <v>0.78822477569105076</v>
      </c>
      <c r="C1749" s="17"/>
    </row>
    <row r="1750" spans="1:3" x14ac:dyDescent="0.25">
      <c r="A1750" s="4" t="s">
        <v>271</v>
      </c>
      <c r="B1750" s="39">
        <f>IF(B$1675,1-B662/B$1675,0)</f>
        <v>0.65514393201317733</v>
      </c>
      <c r="C1750" s="17"/>
    </row>
    <row r="1751" spans="1:3" x14ac:dyDescent="0.25">
      <c r="A1751" s="29" t="s">
        <v>217</v>
      </c>
      <c r="C1751" s="17"/>
    </row>
    <row r="1752" spans="1:3" x14ac:dyDescent="0.25">
      <c r="A1752" s="4" t="s">
        <v>217</v>
      </c>
      <c r="B1752" s="39">
        <f>IF(B$1676,1-B664/B$1676,0)</f>
        <v>1</v>
      </c>
      <c r="C1752" s="17"/>
    </row>
    <row r="1753" spans="1:3" x14ac:dyDescent="0.25">
      <c r="A1753" s="4" t="s">
        <v>273</v>
      </c>
      <c r="B1753" s="39">
        <f>IF(B$1676,1-B665/B$1676,0)</f>
        <v>0.85336587840409595</v>
      </c>
      <c r="C1753" s="17"/>
    </row>
    <row r="1754" spans="1:3" x14ac:dyDescent="0.25">
      <c r="A1754" s="4" t="s">
        <v>274</v>
      </c>
      <c r="B1754" s="39">
        <f>IF(B$1676,1-B666/B$1676,0)</f>
        <v>0.7612201013065899</v>
      </c>
      <c r="C1754" s="17"/>
    </row>
    <row r="1755" spans="1:3" x14ac:dyDescent="0.25">
      <c r="A1755" s="29" t="s">
        <v>218</v>
      </c>
      <c r="C1755" s="17"/>
    </row>
    <row r="1756" spans="1:3" x14ac:dyDescent="0.25">
      <c r="A1756" s="4" t="s">
        <v>218</v>
      </c>
      <c r="B1756" s="39">
        <f>IF(B$1677,1-B668/B$1677,0)</f>
        <v>1</v>
      </c>
      <c r="C1756" s="17"/>
    </row>
    <row r="1757" spans="1:3" x14ac:dyDescent="0.25">
      <c r="A1757" s="4" t="s">
        <v>276</v>
      </c>
      <c r="B1757" s="39">
        <f>IF(B$1677,1-B669/B$1677,0)</f>
        <v>0.74423434422881374</v>
      </c>
      <c r="C1757" s="17"/>
    </row>
    <row r="1758" spans="1:3" x14ac:dyDescent="0.25">
      <c r="A1758" s="4" t="s">
        <v>277</v>
      </c>
      <c r="B1758" s="39">
        <f>IF(B$1677,1-B670/B$1677,0)</f>
        <v>0.58350964489288826</v>
      </c>
      <c r="C1758" s="17"/>
    </row>
    <row r="1759" spans="1:3" x14ac:dyDescent="0.25">
      <c r="A1759" s="29" t="s">
        <v>219</v>
      </c>
      <c r="C1759" s="17"/>
    </row>
    <row r="1760" spans="1:3" x14ac:dyDescent="0.25">
      <c r="A1760" s="4" t="s">
        <v>219</v>
      </c>
      <c r="B1760" s="39">
        <f>IF(B$1678,1-B672/B$1678,0)</f>
        <v>1</v>
      </c>
      <c r="C1760" s="17"/>
    </row>
    <row r="1761" spans="1:3" x14ac:dyDescent="0.25">
      <c r="A1761" s="4" t="s">
        <v>279</v>
      </c>
      <c r="B1761" s="39">
        <f>IF(B$1678,1-B673/B$1678,0)</f>
        <v>0.79943464959288535</v>
      </c>
      <c r="C1761" s="17"/>
    </row>
    <row r="1762" spans="1:3" x14ac:dyDescent="0.25">
      <c r="A1762" s="4" t="s">
        <v>280</v>
      </c>
      <c r="B1762" s="39">
        <f>IF(B$1678,1-B674/B$1678,0)</f>
        <v>0.6733981591024385</v>
      </c>
      <c r="C1762" s="17"/>
    </row>
    <row r="1763" spans="1:3" x14ac:dyDescent="0.25">
      <c r="A1763" s="29" t="s">
        <v>181</v>
      </c>
      <c r="C1763" s="17"/>
    </row>
    <row r="1764" spans="1:3" x14ac:dyDescent="0.25">
      <c r="A1764" s="4" t="s">
        <v>181</v>
      </c>
      <c r="B1764" s="39">
        <f>IF(B$1679,1-B676/B$1679,0)</f>
        <v>1</v>
      </c>
      <c r="C1764" s="17"/>
    </row>
    <row r="1765" spans="1:3" x14ac:dyDescent="0.25">
      <c r="A1765" s="4" t="s">
        <v>282</v>
      </c>
      <c r="B1765" s="39">
        <f>IF(B$1679,1-B677/B$1679,0)</f>
        <v>1</v>
      </c>
      <c r="C1765" s="17"/>
    </row>
    <row r="1766" spans="1:3" x14ac:dyDescent="0.25">
      <c r="A1766" s="4" t="s">
        <v>283</v>
      </c>
      <c r="B1766" s="39">
        <f>IF(B$1679,1-B678/B$1679,0)</f>
        <v>1</v>
      </c>
      <c r="C1766" s="17"/>
    </row>
    <row r="1767" spans="1:3" x14ac:dyDescent="0.25">
      <c r="A1767" s="29" t="s">
        <v>182</v>
      </c>
      <c r="C1767" s="17"/>
    </row>
    <row r="1768" spans="1:3" x14ac:dyDescent="0.25">
      <c r="A1768" s="4" t="s">
        <v>182</v>
      </c>
      <c r="B1768" s="39">
        <f>IF(B$1680,1-B680/B$1680,0)</f>
        <v>0</v>
      </c>
      <c r="C1768" s="17"/>
    </row>
    <row r="1769" spans="1:3" x14ac:dyDescent="0.25">
      <c r="A1769" s="4" t="s">
        <v>285</v>
      </c>
      <c r="B1769" s="39">
        <f>IF(B$1680,1-B681/B$1680,0)</f>
        <v>0</v>
      </c>
      <c r="C1769" s="17"/>
    </row>
    <row r="1770" spans="1:3" x14ac:dyDescent="0.25">
      <c r="A1770" s="29" t="s">
        <v>183</v>
      </c>
      <c r="C1770" s="17"/>
    </row>
    <row r="1771" spans="1:3" x14ac:dyDescent="0.25">
      <c r="A1771" s="4" t="s">
        <v>183</v>
      </c>
      <c r="B1771" s="39">
        <f>IF(B$1681,1-B683/B$1681,0)</f>
        <v>1</v>
      </c>
      <c r="C1771" s="17"/>
    </row>
    <row r="1772" spans="1:3" x14ac:dyDescent="0.25">
      <c r="A1772" s="4" t="s">
        <v>287</v>
      </c>
      <c r="B1772" s="39">
        <f>IF(B$1681,1-B684/B$1681,0)</f>
        <v>1</v>
      </c>
      <c r="C1772" s="17"/>
    </row>
    <row r="1773" spans="1:3" x14ac:dyDescent="0.25">
      <c r="A1773" s="4" t="s">
        <v>288</v>
      </c>
      <c r="B1773" s="39">
        <f>IF(B$1681,1-B685/B$1681,0)</f>
        <v>1</v>
      </c>
      <c r="C1773" s="17"/>
    </row>
    <row r="1774" spans="1:3" x14ac:dyDescent="0.25">
      <c r="A1774" s="29" t="s">
        <v>184</v>
      </c>
      <c r="C1774" s="17"/>
    </row>
    <row r="1775" spans="1:3" x14ac:dyDescent="0.25">
      <c r="A1775" s="4" t="s">
        <v>184</v>
      </c>
      <c r="B1775" s="39">
        <f>IF(B$1682,1-B687/B$1682,0)</f>
        <v>1</v>
      </c>
      <c r="C1775" s="17"/>
    </row>
    <row r="1776" spans="1:3" x14ac:dyDescent="0.25">
      <c r="A1776" s="4" t="s">
        <v>290</v>
      </c>
      <c r="B1776" s="39">
        <f>IF(B$1682,1-B688/B$1682,0)</f>
        <v>1</v>
      </c>
      <c r="C1776" s="17"/>
    </row>
    <row r="1777" spans="1:3" x14ac:dyDescent="0.25">
      <c r="A1777" s="4" t="s">
        <v>291</v>
      </c>
      <c r="B1777" s="39">
        <f>IF(B$1682,1-B689/B$1682,0)</f>
        <v>1</v>
      </c>
      <c r="C1777" s="17"/>
    </row>
    <row r="1778" spans="1:3" x14ac:dyDescent="0.25">
      <c r="A1778" s="29" t="s">
        <v>185</v>
      </c>
      <c r="C1778" s="17"/>
    </row>
    <row r="1779" spans="1:3" x14ac:dyDescent="0.25">
      <c r="A1779" s="4" t="s">
        <v>185</v>
      </c>
      <c r="B1779" s="39">
        <f>IF(B$1683,1-B691/B$1683,0)</f>
        <v>1</v>
      </c>
      <c r="C1779" s="17"/>
    </row>
    <row r="1780" spans="1:3" x14ac:dyDescent="0.25">
      <c r="A1780" s="4" t="s">
        <v>293</v>
      </c>
      <c r="B1780" s="39">
        <f>IF(B$1683,1-B692/B$1683,0)</f>
        <v>1</v>
      </c>
      <c r="C1780" s="17"/>
    </row>
    <row r="1781" spans="1:3" x14ac:dyDescent="0.25">
      <c r="A1781" s="29" t="s">
        <v>186</v>
      </c>
      <c r="C1781" s="17"/>
    </row>
    <row r="1782" spans="1:3" x14ac:dyDescent="0.25">
      <c r="A1782" s="4" t="s">
        <v>186</v>
      </c>
      <c r="B1782" s="39">
        <f>IF(B$1684,1-B694/B$1684,0)</f>
        <v>1</v>
      </c>
      <c r="C1782" s="17"/>
    </row>
    <row r="1783" spans="1:3" x14ac:dyDescent="0.25">
      <c r="A1783" s="4" t="s">
        <v>295</v>
      </c>
      <c r="B1783" s="39">
        <f>IF(B$1684,1-B695/B$1684,0)</f>
        <v>1</v>
      </c>
      <c r="C1783" s="17"/>
    </row>
    <row r="1784" spans="1:3" x14ac:dyDescent="0.25">
      <c r="A1784" s="29" t="s">
        <v>194</v>
      </c>
      <c r="C1784" s="17"/>
    </row>
    <row r="1785" spans="1:3" x14ac:dyDescent="0.25">
      <c r="A1785" s="4" t="s">
        <v>194</v>
      </c>
      <c r="B1785" s="39">
        <f>IF(B$1685,1-B697/B$1685,0)</f>
        <v>1</v>
      </c>
      <c r="C1785" s="17"/>
    </row>
    <row r="1786" spans="1:3" x14ac:dyDescent="0.25">
      <c r="A1786" s="4" t="s">
        <v>297</v>
      </c>
      <c r="B1786" s="39">
        <f>IF(B$1685,1-B698/B$1685,0)</f>
        <v>1</v>
      </c>
      <c r="C1786" s="17"/>
    </row>
    <row r="1787" spans="1:3" x14ac:dyDescent="0.25">
      <c r="A1787" s="29" t="s">
        <v>195</v>
      </c>
      <c r="C1787" s="17"/>
    </row>
    <row r="1788" spans="1:3" x14ac:dyDescent="0.25">
      <c r="A1788" s="4" t="s">
        <v>195</v>
      </c>
      <c r="B1788" s="39">
        <f>IF(B$1686,1-B700/B$1686,0)</f>
        <v>1</v>
      </c>
      <c r="C1788" s="17"/>
    </row>
    <row r="1789" spans="1:3" x14ac:dyDescent="0.25">
      <c r="A1789" s="4" t="s">
        <v>299</v>
      </c>
      <c r="B1789" s="39">
        <f>IF(B$1686,1-B701/B$1686,0)</f>
        <v>1</v>
      </c>
      <c r="C1789" s="17"/>
    </row>
    <row r="1791" spans="1:3" ht="21" customHeight="1" x14ac:dyDescent="0.3">
      <c r="A1791" s="1" t="s">
        <v>1761</v>
      </c>
    </row>
    <row r="1792" spans="1:3" x14ac:dyDescent="0.25">
      <c r="A1792" s="2" t="s">
        <v>350</v>
      </c>
    </row>
    <row r="1793" spans="1:6" x14ac:dyDescent="0.25">
      <c r="A1793" s="32" t="s">
        <v>1762</v>
      </c>
    </row>
    <row r="1794" spans="1:6" x14ac:dyDescent="0.25">
      <c r="A1794" s="32" t="s">
        <v>1615</v>
      </c>
    </row>
    <row r="1795" spans="1:6" x14ac:dyDescent="0.25">
      <c r="A1795" s="32" t="s">
        <v>1616</v>
      </c>
    </row>
    <row r="1796" spans="1:6" x14ac:dyDescent="0.25">
      <c r="A1796" s="32" t="s">
        <v>1617</v>
      </c>
    </row>
    <row r="1797" spans="1:6" x14ac:dyDescent="0.25">
      <c r="A1797" s="32" t="s">
        <v>1618</v>
      </c>
    </row>
    <row r="1798" spans="1:6" ht="30" x14ac:dyDescent="0.25">
      <c r="A1798" s="33" t="s">
        <v>353</v>
      </c>
      <c r="B1798" s="33" t="s">
        <v>355</v>
      </c>
      <c r="C1798" s="33" t="s">
        <v>355</v>
      </c>
      <c r="D1798" s="33" t="s">
        <v>355</v>
      </c>
      <c r="E1798" s="33" t="s">
        <v>355</v>
      </c>
    </row>
    <row r="1799" spans="1:6" ht="30" x14ac:dyDescent="0.25">
      <c r="A1799" s="33" t="s">
        <v>356</v>
      </c>
      <c r="B1799" s="33" t="s">
        <v>358</v>
      </c>
      <c r="C1799" s="33" t="s">
        <v>1619</v>
      </c>
      <c r="D1799" s="33" t="s">
        <v>1620</v>
      </c>
      <c r="E1799" s="33" t="s">
        <v>1621</v>
      </c>
    </row>
    <row r="1801" spans="1:6" ht="60" x14ac:dyDescent="0.25">
      <c r="B1801" s="15" t="s">
        <v>1562</v>
      </c>
      <c r="C1801" s="15" t="s">
        <v>1563</v>
      </c>
      <c r="D1801" s="15" t="s">
        <v>1564</v>
      </c>
      <c r="E1801" s="15" t="s">
        <v>1565</v>
      </c>
    </row>
    <row r="1802" spans="1:6" x14ac:dyDescent="0.25">
      <c r="A1802" s="4" t="s">
        <v>1622</v>
      </c>
      <c r="B1802" s="21">
        <f>SUMPRODUCT(B$1695:B$1789,$B$716:$B$810)</f>
        <v>171066026.00568134</v>
      </c>
      <c r="C1802" s="21">
        <f>SUMPRODUCT(B$1695:B$1789,$C$716:$C$810)</f>
        <v>18659967.398681428</v>
      </c>
      <c r="D1802" s="21">
        <f>SUMPRODUCT(B$1695:B$1789,$D$716:$D$810)</f>
        <v>114072718.69906993</v>
      </c>
      <c r="E1802" s="21">
        <f>SUMPRODUCT(B$1695:B$1789,$E$716:$E$810)</f>
        <v>79681761.088317588</v>
      </c>
      <c r="F1802" s="17"/>
    </row>
    <row r="1804" spans="1:6" ht="21" customHeight="1" x14ac:dyDescent="0.3">
      <c r="A1804" s="1" t="s">
        <v>1763</v>
      </c>
    </row>
    <row r="1805" spans="1:6" x14ac:dyDescent="0.25">
      <c r="A1805" s="2" t="s">
        <v>350</v>
      </c>
    </row>
    <row r="1806" spans="1:6" x14ac:dyDescent="0.25">
      <c r="A1806" s="32" t="s">
        <v>1764</v>
      </c>
    </row>
    <row r="1807" spans="1:6" x14ac:dyDescent="0.25">
      <c r="A1807" s="32" t="s">
        <v>1765</v>
      </c>
    </row>
    <row r="1808" spans="1:6" x14ac:dyDescent="0.25">
      <c r="A1808" s="32" t="s">
        <v>1626</v>
      </c>
    </row>
    <row r="1809" spans="1:5" x14ac:dyDescent="0.25">
      <c r="A1809" s="32" t="s">
        <v>1766</v>
      </c>
    </row>
    <row r="1810" spans="1:5" x14ac:dyDescent="0.25">
      <c r="A1810" s="32" t="s">
        <v>1767</v>
      </c>
    </row>
    <row r="1811" spans="1:5" x14ac:dyDescent="0.25">
      <c r="A1811" s="32" t="s">
        <v>1629</v>
      </c>
    </row>
    <row r="1812" spans="1:5" x14ac:dyDescent="0.25">
      <c r="A1812" s="32" t="s">
        <v>1768</v>
      </c>
    </row>
    <row r="1813" spans="1:5" x14ac:dyDescent="0.25">
      <c r="A1813" s="32" t="s">
        <v>1758</v>
      </c>
    </row>
    <row r="1814" spans="1:5" x14ac:dyDescent="0.25">
      <c r="A1814" s="32" t="s">
        <v>1631</v>
      </c>
    </row>
    <row r="1815" spans="1:5" x14ac:dyDescent="0.25">
      <c r="A1815" s="32" t="s">
        <v>1769</v>
      </c>
    </row>
    <row r="1816" spans="1:5" x14ac:dyDescent="0.25">
      <c r="A1816" s="32" t="s">
        <v>1633</v>
      </c>
    </row>
    <row r="1817" spans="1:5" x14ac:dyDescent="0.25">
      <c r="A1817" s="32" t="s">
        <v>1770</v>
      </c>
    </row>
    <row r="1818" spans="1:5" x14ac:dyDescent="0.25">
      <c r="A1818" s="32" t="s">
        <v>1771</v>
      </c>
    </row>
    <row r="1819" spans="1:5" x14ac:dyDescent="0.25">
      <c r="A1819" s="33" t="s">
        <v>353</v>
      </c>
      <c r="B1819" s="33" t="s">
        <v>483</v>
      </c>
      <c r="C1819" s="33" t="s">
        <v>483</v>
      </c>
      <c r="D1819" s="33" t="s">
        <v>483</v>
      </c>
    </row>
    <row r="1820" spans="1:5" ht="30" x14ac:dyDescent="0.25">
      <c r="A1820" s="33" t="s">
        <v>356</v>
      </c>
      <c r="B1820" s="33" t="s">
        <v>1636</v>
      </c>
      <c r="C1820" s="33" t="s">
        <v>1637</v>
      </c>
      <c r="D1820" s="33" t="s">
        <v>1638</v>
      </c>
    </row>
    <row r="1822" spans="1:5" x14ac:dyDescent="0.25">
      <c r="B1822" s="15" t="s">
        <v>1639</v>
      </c>
      <c r="C1822" s="15" t="s">
        <v>1640</v>
      </c>
      <c r="D1822" s="15" t="s">
        <v>1641</v>
      </c>
    </row>
    <row r="1823" spans="1:5" x14ac:dyDescent="0.25">
      <c r="A1823" s="4" t="s">
        <v>1772</v>
      </c>
      <c r="B1823" s="44">
        <f>C1802*B1647-C256</f>
        <v>-381.13167672231793</v>
      </c>
      <c r="C1823" s="44">
        <f>D1802*C1647-D256</f>
        <v>-988083.79203605652</v>
      </c>
      <c r="D1823" s="44">
        <f>E1802*D1647-E256+B1802-B256+B1823+C1823</f>
        <v>-1465813.1652150638</v>
      </c>
      <c r="E1823" s="17"/>
    </row>
    <row r="1825" spans="1:5" ht="21" customHeight="1" x14ac:dyDescent="0.3">
      <c r="A1825" s="1" t="s">
        <v>1773</v>
      </c>
    </row>
    <row r="1826" spans="1:5" x14ac:dyDescent="0.25">
      <c r="A1826" s="2" t="s">
        <v>350</v>
      </c>
    </row>
    <row r="1827" spans="1:5" x14ac:dyDescent="0.25">
      <c r="A1827" s="32" t="s">
        <v>1751</v>
      </c>
    </row>
    <row r="1828" spans="1:5" x14ac:dyDescent="0.25">
      <c r="A1828" s="32" t="s">
        <v>1774</v>
      </c>
    </row>
    <row r="1829" spans="1:5" x14ac:dyDescent="0.25">
      <c r="A1829" s="32" t="s">
        <v>1753</v>
      </c>
    </row>
    <row r="1830" spans="1:5" x14ac:dyDescent="0.25">
      <c r="A1830" s="33" t="s">
        <v>353</v>
      </c>
      <c r="B1830" s="33" t="s">
        <v>412</v>
      </c>
      <c r="C1830" s="33" t="s">
        <v>412</v>
      </c>
      <c r="D1830" s="33" t="s">
        <v>412</v>
      </c>
    </row>
    <row r="1831" spans="1:5" x14ac:dyDescent="0.25">
      <c r="A1831" s="33" t="s">
        <v>356</v>
      </c>
      <c r="B1831" s="33" t="s">
        <v>1577</v>
      </c>
      <c r="C1831" s="33" t="s">
        <v>415</v>
      </c>
      <c r="D1831" s="33" t="s">
        <v>1578</v>
      </c>
    </row>
    <row r="1833" spans="1:5" ht="60" x14ac:dyDescent="0.25">
      <c r="B1833" s="15" t="s">
        <v>1746</v>
      </c>
      <c r="C1833" s="15" t="s">
        <v>1747</v>
      </c>
      <c r="D1833" s="15" t="s">
        <v>1595</v>
      </c>
    </row>
    <row r="1834" spans="1:5" x14ac:dyDescent="0.25">
      <c r="A1834" s="4" t="s">
        <v>1775</v>
      </c>
      <c r="B1834" s="38">
        <f>B1636</f>
        <v>0.99872471686216835</v>
      </c>
      <c r="C1834" s="38">
        <f>C1636</f>
        <v>0.99863952935226497</v>
      </c>
      <c r="D1834" s="28">
        <f>D1395</f>
        <v>0.99</v>
      </c>
      <c r="E1834" s="17"/>
    </row>
    <row r="1836" spans="1:5" ht="21" customHeight="1" x14ac:dyDescent="0.3">
      <c r="A1836" s="1" t="s">
        <v>1776</v>
      </c>
    </row>
    <row r="1837" spans="1:5" x14ac:dyDescent="0.25">
      <c r="A1837" s="2" t="s">
        <v>350</v>
      </c>
    </row>
    <row r="1838" spans="1:5" x14ac:dyDescent="0.25">
      <c r="A1838" s="32" t="s">
        <v>1598</v>
      </c>
    </row>
    <row r="1839" spans="1:5" x14ac:dyDescent="0.25">
      <c r="A1839" s="32" t="s">
        <v>1599</v>
      </c>
    </row>
    <row r="1840" spans="1:5" x14ac:dyDescent="0.25">
      <c r="A1840" s="32" t="s">
        <v>1600</v>
      </c>
    </row>
    <row r="1841" spans="1:3" x14ac:dyDescent="0.25">
      <c r="A1841" s="32" t="s">
        <v>1777</v>
      </c>
    </row>
    <row r="1842" spans="1:3" x14ac:dyDescent="0.25">
      <c r="A1842" s="32" t="s">
        <v>1602</v>
      </c>
    </row>
    <row r="1843" spans="1:3" x14ac:dyDescent="0.25">
      <c r="A1843" s="32" t="s">
        <v>1778</v>
      </c>
    </row>
    <row r="1844" spans="1:3" x14ac:dyDescent="0.25">
      <c r="A1844" s="32" t="s">
        <v>1604</v>
      </c>
    </row>
    <row r="1845" spans="1:3" x14ac:dyDescent="0.25">
      <c r="A1845" s="32" t="s">
        <v>1779</v>
      </c>
    </row>
    <row r="1846" spans="1:3" x14ac:dyDescent="0.25">
      <c r="A1846" s="2" t="s">
        <v>1606</v>
      </c>
    </row>
    <row r="1848" spans="1:3" x14ac:dyDescent="0.25">
      <c r="B1848" s="15" t="s">
        <v>1607</v>
      </c>
    </row>
    <row r="1849" spans="1:3" x14ac:dyDescent="0.25">
      <c r="A1849" s="4" t="s">
        <v>171</v>
      </c>
      <c r="B1849" s="37">
        <f t="shared" ref="B1849:B1873" si="15">IF(F823,(B823+C823*B$1834+D823*C$1834+E823*D$1834)/F823*0.1,0)</f>
        <v>2.5248839885593264</v>
      </c>
      <c r="C1849" s="17"/>
    </row>
    <row r="1850" spans="1:3" x14ac:dyDescent="0.25">
      <c r="A1850" s="4" t="s">
        <v>1567</v>
      </c>
      <c r="B1850" s="37">
        <f t="shared" si="15"/>
        <v>1.5824496307903164</v>
      </c>
      <c r="C1850" s="17"/>
    </row>
    <row r="1851" spans="1:3" x14ac:dyDescent="0.25">
      <c r="A1851" s="4" t="s">
        <v>173</v>
      </c>
      <c r="B1851" s="37">
        <f t="shared" si="15"/>
        <v>2.1727743802508361</v>
      </c>
      <c r="C1851" s="17"/>
    </row>
    <row r="1852" spans="1:3" ht="30" x14ac:dyDescent="0.25">
      <c r="A1852" s="4" t="s">
        <v>1568</v>
      </c>
      <c r="B1852" s="37">
        <f t="shared" si="15"/>
        <v>1.5976946452123946</v>
      </c>
      <c r="C1852" s="17"/>
    </row>
    <row r="1853" spans="1:3" x14ac:dyDescent="0.25">
      <c r="A1853" s="4" t="s">
        <v>175</v>
      </c>
      <c r="B1853" s="37">
        <f t="shared" si="15"/>
        <v>0</v>
      </c>
      <c r="C1853" s="17"/>
    </row>
    <row r="1854" spans="1:3" x14ac:dyDescent="0.25">
      <c r="A1854" s="4" t="s">
        <v>176</v>
      </c>
      <c r="B1854" s="37">
        <f t="shared" si="15"/>
        <v>0</v>
      </c>
      <c r="C1854" s="17"/>
    </row>
    <row r="1855" spans="1:3" x14ac:dyDescent="0.25">
      <c r="A1855" s="4" t="s">
        <v>192</v>
      </c>
      <c r="B1855" s="37">
        <f t="shared" si="15"/>
        <v>1.4856926752998265</v>
      </c>
      <c r="C1855" s="17"/>
    </row>
    <row r="1856" spans="1:3" x14ac:dyDescent="0.25">
      <c r="A1856" s="4" t="s">
        <v>177</v>
      </c>
      <c r="B1856" s="37">
        <f t="shared" si="15"/>
        <v>0</v>
      </c>
      <c r="C1856" s="17"/>
    </row>
    <row r="1857" spans="1:3" x14ac:dyDescent="0.25">
      <c r="A1857" s="4" t="s">
        <v>178</v>
      </c>
      <c r="B1857" s="37">
        <f t="shared" si="15"/>
        <v>1.9914541651559245</v>
      </c>
      <c r="C1857" s="17"/>
    </row>
    <row r="1858" spans="1:3" x14ac:dyDescent="0.25">
      <c r="A1858" s="4" t="s">
        <v>179</v>
      </c>
      <c r="B1858" s="37">
        <f t="shared" si="15"/>
        <v>2.2633451543648868</v>
      </c>
      <c r="C1858" s="17"/>
    </row>
    <row r="1859" spans="1:3" x14ac:dyDescent="0.25">
      <c r="A1859" s="4" t="s">
        <v>180</v>
      </c>
      <c r="B1859" s="37">
        <f t="shared" si="15"/>
        <v>1.8370488006816748</v>
      </c>
      <c r="C1859" s="17"/>
    </row>
    <row r="1860" spans="1:3" x14ac:dyDescent="0.25">
      <c r="A1860" s="4" t="s">
        <v>193</v>
      </c>
      <c r="B1860" s="37">
        <f t="shared" si="15"/>
        <v>1.1912032701470368</v>
      </c>
      <c r="C1860" s="17"/>
    </row>
    <row r="1861" spans="1:3" x14ac:dyDescent="0.25">
      <c r="A1861" s="4" t="s">
        <v>215</v>
      </c>
      <c r="B1861" s="37">
        <f t="shared" si="15"/>
        <v>2.845664023081512</v>
      </c>
      <c r="C1861" s="17"/>
    </row>
    <row r="1862" spans="1:3" x14ac:dyDescent="0.25">
      <c r="A1862" s="4" t="s">
        <v>216</v>
      </c>
      <c r="B1862" s="37">
        <f t="shared" si="15"/>
        <v>3.2165047434304159</v>
      </c>
      <c r="C1862" s="17"/>
    </row>
    <row r="1863" spans="1:3" x14ac:dyDescent="0.25">
      <c r="A1863" s="4" t="s">
        <v>217</v>
      </c>
      <c r="B1863" s="37">
        <f t="shared" si="15"/>
        <v>4.6406882955697482</v>
      </c>
      <c r="C1863" s="17"/>
    </row>
    <row r="1864" spans="1:3" x14ac:dyDescent="0.25">
      <c r="A1864" s="4" t="s">
        <v>218</v>
      </c>
      <c r="B1864" s="37">
        <f t="shared" si="15"/>
        <v>2.6654721727353294</v>
      </c>
      <c r="C1864" s="17"/>
    </row>
    <row r="1865" spans="1:3" x14ac:dyDescent="0.25">
      <c r="A1865" s="4" t="s">
        <v>219</v>
      </c>
      <c r="B1865" s="37">
        <f t="shared" si="15"/>
        <v>3.3957079685986851</v>
      </c>
      <c r="C1865" s="17"/>
    </row>
    <row r="1866" spans="1:3" x14ac:dyDescent="0.25">
      <c r="A1866" s="4" t="s">
        <v>181</v>
      </c>
      <c r="B1866" s="37">
        <f t="shared" si="15"/>
        <v>-0.91165716927148788</v>
      </c>
      <c r="C1866" s="17"/>
    </row>
    <row r="1867" spans="1:3" x14ac:dyDescent="0.25">
      <c r="A1867" s="4" t="s">
        <v>182</v>
      </c>
      <c r="B1867" s="37">
        <f t="shared" si="15"/>
        <v>0</v>
      </c>
      <c r="C1867" s="17"/>
    </row>
    <row r="1868" spans="1:3" x14ac:dyDescent="0.25">
      <c r="A1868" s="4" t="s">
        <v>183</v>
      </c>
      <c r="B1868" s="37">
        <f t="shared" si="15"/>
        <v>-0.90476466021916913</v>
      </c>
      <c r="C1868" s="17"/>
    </row>
    <row r="1869" spans="1:3" x14ac:dyDescent="0.25">
      <c r="A1869" s="4" t="s">
        <v>184</v>
      </c>
      <c r="B1869" s="37">
        <f t="shared" si="15"/>
        <v>-0.81971546545842466</v>
      </c>
      <c r="C1869" s="17"/>
    </row>
    <row r="1870" spans="1:3" x14ac:dyDescent="0.25">
      <c r="A1870" s="4" t="s">
        <v>185</v>
      </c>
      <c r="B1870" s="37">
        <f t="shared" si="15"/>
        <v>-0.72616725811341154</v>
      </c>
      <c r="C1870" s="17"/>
    </row>
    <row r="1871" spans="1:3" x14ac:dyDescent="0.25">
      <c r="A1871" s="4" t="s">
        <v>186</v>
      </c>
      <c r="B1871" s="37">
        <f t="shared" si="15"/>
        <v>-0.56588711582363682</v>
      </c>
      <c r="C1871" s="17"/>
    </row>
    <row r="1872" spans="1:3" x14ac:dyDescent="0.25">
      <c r="A1872" s="4" t="s">
        <v>194</v>
      </c>
      <c r="B1872" s="37">
        <f t="shared" si="15"/>
        <v>-0.5215995011489466</v>
      </c>
      <c r="C1872" s="17"/>
    </row>
    <row r="1873" spans="1:3" x14ac:dyDescent="0.25">
      <c r="A1873" s="4" t="s">
        <v>195</v>
      </c>
      <c r="B1873" s="37">
        <f t="shared" si="15"/>
        <v>-0.48381929838150539</v>
      </c>
      <c r="C1873" s="17"/>
    </row>
    <row r="1875" spans="1:3" ht="21" customHeight="1" x14ac:dyDescent="0.3">
      <c r="A1875" s="1" t="s">
        <v>1780</v>
      </c>
    </row>
    <row r="1876" spans="1:3" x14ac:dyDescent="0.25">
      <c r="A1876" s="2" t="s">
        <v>350</v>
      </c>
    </row>
    <row r="1877" spans="1:3" x14ac:dyDescent="0.25">
      <c r="A1877" s="32" t="s">
        <v>1781</v>
      </c>
    </row>
    <row r="1878" spans="1:3" x14ac:dyDescent="0.25">
      <c r="A1878" s="32" t="s">
        <v>1610</v>
      </c>
    </row>
    <row r="1879" spans="1:3" x14ac:dyDescent="0.25">
      <c r="A1879" s="2" t="s">
        <v>1611</v>
      </c>
    </row>
    <row r="1881" spans="1:3" ht="30" x14ac:dyDescent="0.25">
      <c r="B1881" s="15" t="s">
        <v>1612</v>
      </c>
    </row>
    <row r="1882" spans="1:3" x14ac:dyDescent="0.25">
      <c r="A1882" s="29" t="s">
        <v>171</v>
      </c>
      <c r="C1882" s="17"/>
    </row>
    <row r="1883" spans="1:3" x14ac:dyDescent="0.25">
      <c r="A1883" s="4" t="s">
        <v>171</v>
      </c>
      <c r="B1883" s="39">
        <f>IF(B$1849,1-B608/B$1849,0)</f>
        <v>1</v>
      </c>
      <c r="C1883" s="17"/>
    </row>
    <row r="1884" spans="1:3" x14ac:dyDescent="0.25">
      <c r="A1884" s="4" t="s">
        <v>231</v>
      </c>
      <c r="B1884" s="39">
        <f>IF(B$1849,1-B609/B$1849,0)</f>
        <v>0.73158061137026642</v>
      </c>
      <c r="C1884" s="17"/>
    </row>
    <row r="1885" spans="1:3" x14ac:dyDescent="0.25">
      <c r="A1885" s="4" t="s">
        <v>232</v>
      </c>
      <c r="B1885" s="39">
        <f>IF(B$1849,1-B610/B$1849,0)</f>
        <v>0.56290422906488635</v>
      </c>
      <c r="C1885" s="17"/>
    </row>
    <row r="1886" spans="1:3" x14ac:dyDescent="0.25">
      <c r="A1886" s="29" t="s">
        <v>1567</v>
      </c>
      <c r="C1886" s="17"/>
    </row>
    <row r="1887" spans="1:3" x14ac:dyDescent="0.25">
      <c r="A1887" s="4" t="s">
        <v>172</v>
      </c>
      <c r="B1887" s="39">
        <f t="shared" ref="B1887:B1892" si="16">IF(B$1850,1-B612/B$1850,0)</f>
        <v>1</v>
      </c>
      <c r="C1887" s="17"/>
    </row>
    <row r="1888" spans="1:3" x14ac:dyDescent="0.25">
      <c r="A1888" s="4" t="s">
        <v>234</v>
      </c>
      <c r="B1888" s="39">
        <f t="shared" si="16"/>
        <v>0.57172234529093813</v>
      </c>
      <c r="C1888" s="17"/>
    </row>
    <row r="1889" spans="1:3" x14ac:dyDescent="0.25">
      <c r="A1889" s="4" t="s">
        <v>235</v>
      </c>
      <c r="B1889" s="39">
        <f t="shared" si="16"/>
        <v>0.30259005277160778</v>
      </c>
      <c r="C1889" s="17"/>
    </row>
    <row r="1890" spans="1:3" x14ac:dyDescent="0.25">
      <c r="A1890" s="4" t="s">
        <v>213</v>
      </c>
      <c r="B1890" s="39">
        <f t="shared" si="16"/>
        <v>1</v>
      </c>
      <c r="C1890" s="17"/>
    </row>
    <row r="1891" spans="1:3" x14ac:dyDescent="0.25">
      <c r="A1891" s="4" t="s">
        <v>237</v>
      </c>
      <c r="B1891" s="39">
        <f t="shared" si="16"/>
        <v>0.57172234529093813</v>
      </c>
      <c r="C1891" s="17"/>
    </row>
    <row r="1892" spans="1:3" x14ac:dyDescent="0.25">
      <c r="A1892" s="4" t="s">
        <v>238</v>
      </c>
      <c r="B1892" s="39">
        <f t="shared" si="16"/>
        <v>0.30259005277160778</v>
      </c>
      <c r="C1892" s="17"/>
    </row>
    <row r="1893" spans="1:3" x14ac:dyDescent="0.25">
      <c r="A1893" s="29" t="s">
        <v>173</v>
      </c>
      <c r="C1893" s="17"/>
    </row>
    <row r="1894" spans="1:3" x14ac:dyDescent="0.25">
      <c r="A1894" s="4" t="s">
        <v>173</v>
      </c>
      <c r="B1894" s="39">
        <f>IF(B$1851,1-B619/B$1851,0)</f>
        <v>1</v>
      </c>
      <c r="C1894" s="17"/>
    </row>
    <row r="1895" spans="1:3" x14ac:dyDescent="0.25">
      <c r="A1895" s="4" t="s">
        <v>240</v>
      </c>
      <c r="B1895" s="39">
        <f>IF(B$1851,1-B620/B$1851,0)</f>
        <v>0.68808182629074577</v>
      </c>
      <c r="C1895" s="17"/>
    </row>
    <row r="1896" spans="1:3" x14ac:dyDescent="0.25">
      <c r="A1896" s="4" t="s">
        <v>241</v>
      </c>
      <c r="B1896" s="39">
        <f>IF(B$1851,1-B621/B$1851,0)</f>
        <v>0.49207054191532928</v>
      </c>
      <c r="C1896" s="17"/>
    </row>
    <row r="1897" spans="1:3" ht="30" x14ac:dyDescent="0.25">
      <c r="A1897" s="29" t="s">
        <v>1568</v>
      </c>
      <c r="C1897" s="17"/>
    </row>
    <row r="1898" spans="1:3" x14ac:dyDescent="0.25">
      <c r="A1898" s="4" t="s">
        <v>174</v>
      </c>
      <c r="B1898" s="39">
        <f t="shared" ref="B1898:B1903" si="17">IF(B$1852,1-B623/B$1852,0)</f>
        <v>1</v>
      </c>
      <c r="C1898" s="17"/>
    </row>
    <row r="1899" spans="1:3" x14ac:dyDescent="0.25">
      <c r="A1899" s="4" t="s">
        <v>243</v>
      </c>
      <c r="B1899" s="39">
        <f t="shared" si="17"/>
        <v>0.57580892030842246</v>
      </c>
      <c r="C1899" s="17"/>
    </row>
    <row r="1900" spans="1:3" x14ac:dyDescent="0.25">
      <c r="A1900" s="4" t="s">
        <v>244</v>
      </c>
      <c r="B1900" s="39">
        <f t="shared" si="17"/>
        <v>0.30924465647542387</v>
      </c>
      <c r="C1900" s="17"/>
    </row>
    <row r="1901" spans="1:3" x14ac:dyDescent="0.25">
      <c r="A1901" s="4" t="s">
        <v>214</v>
      </c>
      <c r="B1901" s="39">
        <f t="shared" si="17"/>
        <v>1</v>
      </c>
      <c r="C1901" s="17"/>
    </row>
    <row r="1902" spans="1:3" ht="30" x14ac:dyDescent="0.25">
      <c r="A1902" s="4" t="s">
        <v>246</v>
      </c>
      <c r="B1902" s="39">
        <f t="shared" si="17"/>
        <v>0.57580892030842246</v>
      </c>
      <c r="C1902" s="17"/>
    </row>
    <row r="1903" spans="1:3" ht="30" x14ac:dyDescent="0.25">
      <c r="A1903" s="4" t="s">
        <v>247</v>
      </c>
      <c r="B1903" s="39">
        <f t="shared" si="17"/>
        <v>0.30924465647542387</v>
      </c>
      <c r="C1903" s="17"/>
    </row>
    <row r="1904" spans="1:3" x14ac:dyDescent="0.25">
      <c r="A1904" s="29" t="s">
        <v>175</v>
      </c>
      <c r="C1904" s="17"/>
    </row>
    <row r="1905" spans="1:3" x14ac:dyDescent="0.25">
      <c r="A1905" s="4" t="s">
        <v>175</v>
      </c>
      <c r="B1905" s="39">
        <f>IF(B$1853,1-B630/B$1853,0)</f>
        <v>0</v>
      </c>
      <c r="C1905" s="17"/>
    </row>
    <row r="1906" spans="1:3" x14ac:dyDescent="0.25">
      <c r="A1906" s="4" t="s">
        <v>249</v>
      </c>
      <c r="B1906" s="39">
        <f>IF(B$1853,1-B631/B$1853,0)</f>
        <v>0</v>
      </c>
      <c r="C1906" s="17"/>
    </row>
    <row r="1907" spans="1:3" x14ac:dyDescent="0.25">
      <c r="A1907" s="4" t="s">
        <v>250</v>
      </c>
      <c r="B1907" s="39">
        <f>IF(B$1853,1-B632/B$1853,0)</f>
        <v>0</v>
      </c>
      <c r="C1907" s="17"/>
    </row>
    <row r="1908" spans="1:3" x14ac:dyDescent="0.25">
      <c r="A1908" s="29" t="s">
        <v>176</v>
      </c>
      <c r="C1908" s="17"/>
    </row>
    <row r="1909" spans="1:3" x14ac:dyDescent="0.25">
      <c r="A1909" s="4" t="s">
        <v>176</v>
      </c>
      <c r="B1909" s="39">
        <f>IF(B$1854,1-B634/B$1854,0)</f>
        <v>0</v>
      </c>
      <c r="C1909" s="17"/>
    </row>
    <row r="1910" spans="1:3" x14ac:dyDescent="0.25">
      <c r="A1910" s="29" t="s">
        <v>192</v>
      </c>
      <c r="C1910" s="17"/>
    </row>
    <row r="1911" spans="1:3" x14ac:dyDescent="0.25">
      <c r="A1911" s="4" t="s">
        <v>192</v>
      </c>
      <c r="B1911" s="39">
        <f>IF(B$1855,1-B636/B$1855,0)</f>
        <v>1</v>
      </c>
      <c r="C1911" s="17"/>
    </row>
    <row r="1912" spans="1:3" x14ac:dyDescent="0.25">
      <c r="A1912" s="29" t="s">
        <v>177</v>
      </c>
      <c r="C1912" s="17"/>
    </row>
    <row r="1913" spans="1:3" x14ac:dyDescent="0.25">
      <c r="A1913" s="4" t="s">
        <v>177</v>
      </c>
      <c r="B1913" s="39">
        <f>IF(B$1856,1-B638/B$1856,0)</f>
        <v>0</v>
      </c>
      <c r="C1913" s="17"/>
    </row>
    <row r="1914" spans="1:3" x14ac:dyDescent="0.25">
      <c r="A1914" s="4" t="s">
        <v>254</v>
      </c>
      <c r="B1914" s="39">
        <f>IF(B$1856,1-B639/B$1856,0)</f>
        <v>0</v>
      </c>
      <c r="C1914" s="17"/>
    </row>
    <row r="1915" spans="1:3" x14ac:dyDescent="0.25">
      <c r="A1915" s="4" t="s">
        <v>255</v>
      </c>
      <c r="B1915" s="39">
        <f>IF(B$1856,1-B640/B$1856,0)</f>
        <v>0</v>
      </c>
      <c r="C1915" s="17"/>
    </row>
    <row r="1916" spans="1:3" x14ac:dyDescent="0.25">
      <c r="A1916" s="29" t="s">
        <v>178</v>
      </c>
      <c r="C1916" s="17"/>
    </row>
    <row r="1917" spans="1:3" x14ac:dyDescent="0.25">
      <c r="A1917" s="4" t="s">
        <v>178</v>
      </c>
      <c r="B1917" s="39">
        <f>IF(B$1857,1-B642/B$1857,0)</f>
        <v>1</v>
      </c>
      <c r="C1917" s="17"/>
    </row>
    <row r="1918" spans="1:3" x14ac:dyDescent="0.25">
      <c r="A1918" s="4" t="s">
        <v>257</v>
      </c>
      <c r="B1918" s="39">
        <f>IF(B$1857,1-B643/B$1857,0)</f>
        <v>0.65968194075055009</v>
      </c>
      <c r="C1918" s="17"/>
    </row>
    <row r="1919" spans="1:3" x14ac:dyDescent="0.25">
      <c r="A1919" s="4" t="s">
        <v>258</v>
      </c>
      <c r="B1919" s="39">
        <f>IF(B$1857,1-B644/B$1857,0)</f>
        <v>0.44582399494258318</v>
      </c>
      <c r="C1919" s="17"/>
    </row>
    <row r="1920" spans="1:3" x14ac:dyDescent="0.25">
      <c r="A1920" s="29" t="s">
        <v>179</v>
      </c>
      <c r="C1920" s="17"/>
    </row>
    <row r="1921" spans="1:3" x14ac:dyDescent="0.25">
      <c r="A1921" s="4" t="s">
        <v>179</v>
      </c>
      <c r="B1921" s="39">
        <f>IF(B$1858,1-B646/B$1858,0)</f>
        <v>1</v>
      </c>
      <c r="C1921" s="17"/>
    </row>
    <row r="1922" spans="1:3" x14ac:dyDescent="0.25">
      <c r="A1922" s="4" t="s">
        <v>260</v>
      </c>
      <c r="B1922" s="39">
        <f>IF(B$1858,1-B647/B$1858,0)</f>
        <v>0.70056364789829262</v>
      </c>
      <c r="C1922" s="17"/>
    </row>
    <row r="1923" spans="1:3" x14ac:dyDescent="0.25">
      <c r="A1923" s="4" t="s">
        <v>261</v>
      </c>
      <c r="B1923" s="39">
        <f>IF(B$1858,1-B648/B$1858,0)</f>
        <v>0.51239601641281829</v>
      </c>
      <c r="C1923" s="17"/>
    </row>
    <row r="1924" spans="1:3" x14ac:dyDescent="0.25">
      <c r="A1924" s="29" t="s">
        <v>180</v>
      </c>
      <c r="C1924" s="17"/>
    </row>
    <row r="1925" spans="1:3" x14ac:dyDescent="0.25">
      <c r="A1925" s="4" t="s">
        <v>180</v>
      </c>
      <c r="B1925" s="39">
        <f>IF(B$1859,1-B650/B$1859,0)</f>
        <v>1</v>
      </c>
      <c r="C1925" s="17"/>
    </row>
    <row r="1926" spans="1:3" x14ac:dyDescent="0.25">
      <c r="A1926" s="4" t="s">
        <v>263</v>
      </c>
      <c r="B1926" s="39">
        <f>IF(B$1859,1-B651/B$1859,0)</f>
        <v>0.64940036931156864</v>
      </c>
      <c r="C1926" s="17"/>
    </row>
    <row r="1927" spans="1:3" x14ac:dyDescent="0.25">
      <c r="A1927" s="29" t="s">
        <v>193</v>
      </c>
      <c r="C1927" s="17"/>
    </row>
    <row r="1928" spans="1:3" x14ac:dyDescent="0.25">
      <c r="A1928" s="4" t="s">
        <v>193</v>
      </c>
      <c r="B1928" s="39">
        <f>IF(B$1860,1-B653/B$1860,0)</f>
        <v>1</v>
      </c>
      <c r="C1928" s="17"/>
    </row>
    <row r="1929" spans="1:3" x14ac:dyDescent="0.25">
      <c r="A1929" s="4" t="s">
        <v>265</v>
      </c>
      <c r="B1929" s="39">
        <f>IF(B$1860,1-B654/B$1860,0)</f>
        <v>0.65298332571588091</v>
      </c>
      <c r="C1929" s="17"/>
    </row>
    <row r="1930" spans="1:3" x14ac:dyDescent="0.25">
      <c r="A1930" s="29" t="s">
        <v>215</v>
      </c>
      <c r="C1930" s="17"/>
    </row>
    <row r="1931" spans="1:3" x14ac:dyDescent="0.25">
      <c r="A1931" s="4" t="s">
        <v>215</v>
      </c>
      <c r="B1931" s="39">
        <f>IF(B$1861,1-B656/B$1861,0)</f>
        <v>1</v>
      </c>
      <c r="C1931" s="17"/>
    </row>
    <row r="1932" spans="1:3" x14ac:dyDescent="0.25">
      <c r="A1932" s="4" t="s">
        <v>267</v>
      </c>
      <c r="B1932" s="39">
        <f>IF(B$1861,1-B657/B$1861,0)</f>
        <v>0.7618384281935715</v>
      </c>
      <c r="C1932" s="17"/>
    </row>
    <row r="1933" spans="1:3" x14ac:dyDescent="0.25">
      <c r="A1933" s="4" t="s">
        <v>268</v>
      </c>
      <c r="B1933" s="39">
        <f>IF(B$1861,1-B658/B$1861,0)</f>
        <v>0.6121762426802656</v>
      </c>
      <c r="C1933" s="17"/>
    </row>
    <row r="1934" spans="1:3" x14ac:dyDescent="0.25">
      <c r="A1934" s="29" t="s">
        <v>216</v>
      </c>
      <c r="C1934" s="17"/>
    </row>
    <row r="1935" spans="1:3" x14ac:dyDescent="0.25">
      <c r="A1935" s="4" t="s">
        <v>216</v>
      </c>
      <c r="B1935" s="39">
        <f>IF(B$1862,1-B660/B$1862,0)</f>
        <v>1</v>
      </c>
      <c r="C1935" s="17"/>
    </row>
    <row r="1936" spans="1:3" x14ac:dyDescent="0.25">
      <c r="A1936" s="4" t="s">
        <v>270</v>
      </c>
      <c r="B1936" s="39">
        <f>IF(B$1862,1-B661/B$1862,0)</f>
        <v>0.78929680798564661</v>
      </c>
      <c r="C1936" s="17"/>
    </row>
    <row r="1937" spans="1:3" x14ac:dyDescent="0.25">
      <c r="A1937" s="4" t="s">
        <v>271</v>
      </c>
      <c r="B1937" s="39">
        <f>IF(B$1862,1-B662/B$1862,0)</f>
        <v>0.65688963594561589</v>
      </c>
      <c r="C1937" s="17"/>
    </row>
    <row r="1938" spans="1:3" x14ac:dyDescent="0.25">
      <c r="A1938" s="29" t="s">
        <v>217</v>
      </c>
      <c r="C1938" s="17"/>
    </row>
    <row r="1939" spans="1:3" x14ac:dyDescent="0.25">
      <c r="A1939" s="4" t="s">
        <v>217</v>
      </c>
      <c r="B1939" s="39">
        <f>IF(B$1863,1-B664/B$1863,0)</f>
        <v>1</v>
      </c>
      <c r="C1939" s="17"/>
    </row>
    <row r="1940" spans="1:3" x14ac:dyDescent="0.25">
      <c r="A1940" s="4" t="s">
        <v>273</v>
      </c>
      <c r="B1940" s="39">
        <f>IF(B$1863,1-B665/B$1863,0)</f>
        <v>0.85395963413076181</v>
      </c>
      <c r="C1940" s="17"/>
    </row>
    <row r="1941" spans="1:3" x14ac:dyDescent="0.25">
      <c r="A1941" s="4" t="s">
        <v>274</v>
      </c>
      <c r="B1941" s="39">
        <f>IF(B$1863,1-B666/B$1863,0)</f>
        <v>0.76218697675630687</v>
      </c>
      <c r="C1941" s="17"/>
    </row>
    <row r="1942" spans="1:3" x14ac:dyDescent="0.25">
      <c r="A1942" s="29" t="s">
        <v>218</v>
      </c>
      <c r="C1942" s="17"/>
    </row>
    <row r="1943" spans="1:3" x14ac:dyDescent="0.25">
      <c r="A1943" s="4" t="s">
        <v>218</v>
      </c>
      <c r="B1943" s="39">
        <f>IF(B$1864,1-B668/B$1864,0)</f>
        <v>1</v>
      </c>
      <c r="C1943" s="17"/>
    </row>
    <row r="1944" spans="1:3" x14ac:dyDescent="0.25">
      <c r="A1944" s="4" t="s">
        <v>276</v>
      </c>
      <c r="B1944" s="39">
        <f>IF(B$1864,1-B669/B$1864,0)</f>
        <v>0.74573817595904301</v>
      </c>
      <c r="C1944" s="17"/>
    </row>
    <row r="1945" spans="1:3" x14ac:dyDescent="0.25">
      <c r="A1945" s="4" t="s">
        <v>277</v>
      </c>
      <c r="B1945" s="39">
        <f>IF(B$1864,1-B670/B$1864,0)</f>
        <v>0.58595849366211028</v>
      </c>
      <c r="C1945" s="17"/>
    </row>
    <row r="1946" spans="1:3" x14ac:dyDescent="0.25">
      <c r="A1946" s="29" t="s">
        <v>219</v>
      </c>
      <c r="C1946" s="17"/>
    </row>
    <row r="1947" spans="1:3" x14ac:dyDescent="0.25">
      <c r="A1947" s="4" t="s">
        <v>219</v>
      </c>
      <c r="B1947" s="39">
        <f>IF(B$1865,1-B672/B$1865,0)</f>
        <v>1</v>
      </c>
      <c r="C1947" s="17"/>
    </row>
    <row r="1948" spans="1:3" x14ac:dyDescent="0.25">
      <c r="A1948" s="4" t="s">
        <v>279</v>
      </c>
      <c r="B1948" s="39">
        <f>IF(B$1865,1-B673/B$1865,0)</f>
        <v>0.80041634238359516</v>
      </c>
      <c r="C1948" s="17"/>
    </row>
    <row r="1949" spans="1:3" x14ac:dyDescent="0.25">
      <c r="A1949" s="4" t="s">
        <v>280</v>
      </c>
      <c r="B1949" s="39">
        <f>IF(B$1865,1-B674/B$1865,0)</f>
        <v>0.67499675363529699</v>
      </c>
      <c r="C1949" s="17"/>
    </row>
    <row r="1950" spans="1:3" x14ac:dyDescent="0.25">
      <c r="A1950" s="29" t="s">
        <v>181</v>
      </c>
      <c r="C1950" s="17"/>
    </row>
    <row r="1951" spans="1:3" x14ac:dyDescent="0.25">
      <c r="A1951" s="4" t="s">
        <v>181</v>
      </c>
      <c r="B1951" s="39">
        <f>IF(B$1866,1-B676/B$1866,0)</f>
        <v>1</v>
      </c>
      <c r="C1951" s="17"/>
    </row>
    <row r="1952" spans="1:3" x14ac:dyDescent="0.25">
      <c r="A1952" s="4" t="s">
        <v>282</v>
      </c>
      <c r="B1952" s="39">
        <f>IF(B$1866,1-B677/B$1866,0)</f>
        <v>1</v>
      </c>
      <c r="C1952" s="17"/>
    </row>
    <row r="1953" spans="1:3" x14ac:dyDescent="0.25">
      <c r="A1953" s="4" t="s">
        <v>283</v>
      </c>
      <c r="B1953" s="39">
        <f>IF(B$1866,1-B678/B$1866,0)</f>
        <v>1</v>
      </c>
      <c r="C1953" s="17"/>
    </row>
    <row r="1954" spans="1:3" x14ac:dyDescent="0.25">
      <c r="A1954" s="29" t="s">
        <v>182</v>
      </c>
      <c r="C1954" s="17"/>
    </row>
    <row r="1955" spans="1:3" x14ac:dyDescent="0.25">
      <c r="A1955" s="4" t="s">
        <v>182</v>
      </c>
      <c r="B1955" s="39">
        <f>IF(B$1867,1-B680/B$1867,0)</f>
        <v>0</v>
      </c>
      <c r="C1955" s="17"/>
    </row>
    <row r="1956" spans="1:3" x14ac:dyDescent="0.25">
      <c r="A1956" s="4" t="s">
        <v>285</v>
      </c>
      <c r="B1956" s="39">
        <f>IF(B$1867,1-B681/B$1867,0)</f>
        <v>0</v>
      </c>
      <c r="C1956" s="17"/>
    </row>
    <row r="1957" spans="1:3" x14ac:dyDescent="0.25">
      <c r="A1957" s="29" t="s">
        <v>183</v>
      </c>
      <c r="C1957" s="17"/>
    </row>
    <row r="1958" spans="1:3" x14ac:dyDescent="0.25">
      <c r="A1958" s="4" t="s">
        <v>183</v>
      </c>
      <c r="B1958" s="39">
        <f>IF(B$1868,1-B683/B$1868,0)</f>
        <v>1</v>
      </c>
      <c r="C1958" s="17"/>
    </row>
    <row r="1959" spans="1:3" x14ac:dyDescent="0.25">
      <c r="A1959" s="4" t="s">
        <v>287</v>
      </c>
      <c r="B1959" s="39">
        <f>IF(B$1868,1-B684/B$1868,0)</f>
        <v>1</v>
      </c>
      <c r="C1959" s="17"/>
    </row>
    <row r="1960" spans="1:3" x14ac:dyDescent="0.25">
      <c r="A1960" s="4" t="s">
        <v>288</v>
      </c>
      <c r="B1960" s="39">
        <f>IF(B$1868,1-B685/B$1868,0)</f>
        <v>1</v>
      </c>
      <c r="C1960" s="17"/>
    </row>
    <row r="1961" spans="1:3" x14ac:dyDescent="0.25">
      <c r="A1961" s="29" t="s">
        <v>184</v>
      </c>
      <c r="C1961" s="17"/>
    </row>
    <row r="1962" spans="1:3" x14ac:dyDescent="0.25">
      <c r="A1962" s="4" t="s">
        <v>184</v>
      </c>
      <c r="B1962" s="39">
        <f>IF(B$1869,1-B687/B$1869,0)</f>
        <v>1</v>
      </c>
      <c r="C1962" s="17"/>
    </row>
    <row r="1963" spans="1:3" x14ac:dyDescent="0.25">
      <c r="A1963" s="4" t="s">
        <v>290</v>
      </c>
      <c r="B1963" s="39">
        <f>IF(B$1869,1-B688/B$1869,0)</f>
        <v>1</v>
      </c>
      <c r="C1963" s="17"/>
    </row>
    <row r="1964" spans="1:3" x14ac:dyDescent="0.25">
      <c r="A1964" s="4" t="s">
        <v>291</v>
      </c>
      <c r="B1964" s="39">
        <f>IF(B$1869,1-B689/B$1869,0)</f>
        <v>1</v>
      </c>
      <c r="C1964" s="17"/>
    </row>
    <row r="1965" spans="1:3" x14ac:dyDescent="0.25">
      <c r="A1965" s="29" t="s">
        <v>185</v>
      </c>
      <c r="C1965" s="17"/>
    </row>
    <row r="1966" spans="1:3" x14ac:dyDescent="0.25">
      <c r="A1966" s="4" t="s">
        <v>185</v>
      </c>
      <c r="B1966" s="39">
        <f>IF(B$1870,1-B691/B$1870,0)</f>
        <v>1</v>
      </c>
      <c r="C1966" s="17"/>
    </row>
    <row r="1967" spans="1:3" x14ac:dyDescent="0.25">
      <c r="A1967" s="4" t="s">
        <v>293</v>
      </c>
      <c r="B1967" s="39">
        <f>IF(B$1870,1-B692/B$1870,0)</f>
        <v>1</v>
      </c>
      <c r="C1967" s="17"/>
    </row>
    <row r="1968" spans="1:3" x14ac:dyDescent="0.25">
      <c r="A1968" s="29" t="s">
        <v>186</v>
      </c>
      <c r="C1968" s="17"/>
    </row>
    <row r="1969" spans="1:3" x14ac:dyDescent="0.25">
      <c r="A1969" s="4" t="s">
        <v>186</v>
      </c>
      <c r="B1969" s="39">
        <f>IF(B$1871,1-B694/B$1871,0)</f>
        <v>1</v>
      </c>
      <c r="C1969" s="17"/>
    </row>
    <row r="1970" spans="1:3" x14ac:dyDescent="0.25">
      <c r="A1970" s="4" t="s">
        <v>295</v>
      </c>
      <c r="B1970" s="39">
        <f>IF(B$1871,1-B695/B$1871,0)</f>
        <v>1</v>
      </c>
      <c r="C1970" s="17"/>
    </row>
    <row r="1971" spans="1:3" x14ac:dyDescent="0.25">
      <c r="A1971" s="29" t="s">
        <v>194</v>
      </c>
      <c r="C1971" s="17"/>
    </row>
    <row r="1972" spans="1:3" x14ac:dyDescent="0.25">
      <c r="A1972" s="4" t="s">
        <v>194</v>
      </c>
      <c r="B1972" s="39">
        <f>IF(B$1872,1-B697/B$1872,0)</f>
        <v>1</v>
      </c>
      <c r="C1972" s="17"/>
    </row>
    <row r="1973" spans="1:3" x14ac:dyDescent="0.25">
      <c r="A1973" s="4" t="s">
        <v>297</v>
      </c>
      <c r="B1973" s="39">
        <f>IF(B$1872,1-B698/B$1872,0)</f>
        <v>1</v>
      </c>
      <c r="C1973" s="17"/>
    </row>
    <row r="1974" spans="1:3" x14ac:dyDescent="0.25">
      <c r="A1974" s="29" t="s">
        <v>195</v>
      </c>
      <c r="C1974" s="17"/>
    </row>
    <row r="1975" spans="1:3" x14ac:dyDescent="0.25">
      <c r="A1975" s="4" t="s">
        <v>195</v>
      </c>
      <c r="B1975" s="39">
        <f>IF(B$1873,1-B700/B$1873,0)</f>
        <v>1</v>
      </c>
      <c r="C1975" s="17"/>
    </row>
    <row r="1976" spans="1:3" x14ac:dyDescent="0.25">
      <c r="A1976" s="4" t="s">
        <v>299</v>
      </c>
      <c r="B1976" s="39">
        <f>IF(B$1873,1-B701/B$1873,0)</f>
        <v>1</v>
      </c>
      <c r="C1976" s="17"/>
    </row>
    <row r="1978" spans="1:3" ht="21" customHeight="1" x14ac:dyDescent="0.3">
      <c r="A1978" s="1" t="s">
        <v>1782</v>
      </c>
    </row>
    <row r="1979" spans="1:3" x14ac:dyDescent="0.25">
      <c r="A1979" s="2" t="s">
        <v>350</v>
      </c>
    </row>
    <row r="1980" spans="1:3" x14ac:dyDescent="0.25">
      <c r="A1980" s="32" t="s">
        <v>1783</v>
      </c>
    </row>
    <row r="1981" spans="1:3" x14ac:dyDescent="0.25">
      <c r="A1981" s="32" t="s">
        <v>1615</v>
      </c>
    </row>
    <row r="1982" spans="1:3" x14ac:dyDescent="0.25">
      <c r="A1982" s="32" t="s">
        <v>1616</v>
      </c>
    </row>
    <row r="1983" spans="1:3" x14ac:dyDescent="0.25">
      <c r="A1983" s="32" t="s">
        <v>1617</v>
      </c>
    </row>
    <row r="1984" spans="1:3" x14ac:dyDescent="0.25">
      <c r="A1984" s="32" t="s">
        <v>1618</v>
      </c>
    </row>
    <row r="1985" spans="1:6" ht="30" x14ac:dyDescent="0.25">
      <c r="A1985" s="33" t="s">
        <v>353</v>
      </c>
      <c r="B1985" s="33" t="s">
        <v>355</v>
      </c>
      <c r="C1985" s="33" t="s">
        <v>355</v>
      </c>
      <c r="D1985" s="33" t="s">
        <v>355</v>
      </c>
      <c r="E1985" s="33" t="s">
        <v>355</v>
      </c>
    </row>
    <row r="1986" spans="1:6" ht="30" x14ac:dyDescent="0.25">
      <c r="A1986" s="33" t="s">
        <v>356</v>
      </c>
      <c r="B1986" s="33" t="s">
        <v>358</v>
      </c>
      <c r="C1986" s="33" t="s">
        <v>1619</v>
      </c>
      <c r="D1986" s="33" t="s">
        <v>1620</v>
      </c>
      <c r="E1986" s="33" t="s">
        <v>1621</v>
      </c>
    </row>
    <row r="1988" spans="1:6" ht="60" x14ac:dyDescent="0.25">
      <c r="B1988" s="15" t="s">
        <v>1562</v>
      </c>
      <c r="C1988" s="15" t="s">
        <v>1563</v>
      </c>
      <c r="D1988" s="15" t="s">
        <v>1564</v>
      </c>
      <c r="E1988" s="15" t="s">
        <v>1565</v>
      </c>
    </row>
    <row r="1989" spans="1:6" x14ac:dyDescent="0.25">
      <c r="A1989" s="4" t="s">
        <v>1622</v>
      </c>
      <c r="B1989" s="21">
        <f>SUMPRODUCT(B$1882:B$1976,$B$716:$B$810)</f>
        <v>171068609.53046033</v>
      </c>
      <c r="C1989" s="21">
        <f>SUMPRODUCT(B$1882:B$1976,$C$716:$C$810)</f>
        <v>18660230.852413233</v>
      </c>
      <c r="D1989" s="21">
        <f>SUMPRODUCT(B$1882:B$1976,$D$716:$D$810)</f>
        <v>114074481.53352937</v>
      </c>
      <c r="E1989" s="21">
        <f>SUMPRODUCT(B$1882:B$1976,$E$716:$E$810)</f>
        <v>79682856.01955536</v>
      </c>
      <c r="F1989" s="17"/>
    </row>
    <row r="1991" spans="1:6" ht="21" customHeight="1" x14ac:dyDescent="0.3">
      <c r="A1991" s="1" t="s">
        <v>1784</v>
      </c>
    </row>
    <row r="1992" spans="1:6" x14ac:dyDescent="0.25">
      <c r="A1992" s="2" t="s">
        <v>350</v>
      </c>
    </row>
    <row r="1993" spans="1:6" x14ac:dyDescent="0.25">
      <c r="A1993" s="32" t="s">
        <v>1785</v>
      </c>
    </row>
    <row r="1994" spans="1:6" x14ac:dyDescent="0.25">
      <c r="A1994" s="32" t="s">
        <v>1786</v>
      </c>
    </row>
    <row r="1995" spans="1:6" x14ac:dyDescent="0.25">
      <c r="A1995" s="32" t="s">
        <v>1626</v>
      </c>
    </row>
    <row r="1996" spans="1:6" x14ac:dyDescent="0.25">
      <c r="A1996" s="32" t="s">
        <v>1787</v>
      </c>
    </row>
    <row r="1997" spans="1:6" x14ac:dyDescent="0.25">
      <c r="A1997" s="32" t="s">
        <v>1788</v>
      </c>
    </row>
    <row r="1998" spans="1:6" x14ac:dyDescent="0.25">
      <c r="A1998" s="32" t="s">
        <v>1629</v>
      </c>
    </row>
    <row r="1999" spans="1:6" x14ac:dyDescent="0.25">
      <c r="A1999" s="32" t="s">
        <v>1789</v>
      </c>
    </row>
    <row r="2000" spans="1:6" x14ac:dyDescent="0.25">
      <c r="A2000" s="32" t="s">
        <v>1779</v>
      </c>
    </row>
    <row r="2001" spans="1:5" x14ac:dyDescent="0.25">
      <c r="A2001" s="32" t="s">
        <v>1631</v>
      </c>
    </row>
    <row r="2002" spans="1:5" x14ac:dyDescent="0.25">
      <c r="A2002" s="32" t="s">
        <v>1790</v>
      </c>
    </row>
    <row r="2003" spans="1:5" x14ac:dyDescent="0.25">
      <c r="A2003" s="32" t="s">
        <v>1633</v>
      </c>
    </row>
    <row r="2004" spans="1:5" x14ac:dyDescent="0.25">
      <c r="A2004" s="32" t="s">
        <v>1791</v>
      </c>
    </row>
    <row r="2005" spans="1:5" x14ac:dyDescent="0.25">
      <c r="A2005" s="32" t="s">
        <v>1792</v>
      </c>
    </row>
    <row r="2006" spans="1:5" x14ac:dyDescent="0.25">
      <c r="A2006" s="33" t="s">
        <v>353</v>
      </c>
      <c r="B2006" s="33" t="s">
        <v>483</v>
      </c>
      <c r="C2006" s="33" t="s">
        <v>483</v>
      </c>
      <c r="D2006" s="33" t="s">
        <v>483</v>
      </c>
    </row>
    <row r="2007" spans="1:5" ht="30" x14ac:dyDescent="0.25">
      <c r="A2007" s="33" t="s">
        <v>356</v>
      </c>
      <c r="B2007" s="33" t="s">
        <v>1636</v>
      </c>
      <c r="C2007" s="33" t="s">
        <v>1637</v>
      </c>
      <c r="D2007" s="33" t="s">
        <v>1638</v>
      </c>
    </row>
    <row r="2009" spans="1:5" x14ac:dyDescent="0.25">
      <c r="B2009" s="15" t="s">
        <v>1639</v>
      </c>
      <c r="C2009" s="15" t="s">
        <v>1640</v>
      </c>
      <c r="D2009" s="15" t="s">
        <v>1641</v>
      </c>
    </row>
    <row r="2010" spans="1:5" x14ac:dyDescent="0.25">
      <c r="A2010" s="4" t="s">
        <v>1793</v>
      </c>
      <c r="B2010" s="44">
        <f>C1989*B1834-C256</f>
        <v>-118.01392301917076</v>
      </c>
      <c r="C2010" s="44">
        <f>D1989*C1834-D256</f>
        <v>-788.75436788797379</v>
      </c>
      <c r="D2010" s="44">
        <f>E1989*D1834-E256+B1989-B256+B2010+C2010</f>
        <v>-474587.5030888021</v>
      </c>
      <c r="E2010" s="17"/>
    </row>
    <row r="2012" spans="1:5" ht="21" customHeight="1" x14ac:dyDescent="0.3">
      <c r="A2012" s="1" t="s">
        <v>1794</v>
      </c>
    </row>
    <row r="2013" spans="1:5" x14ac:dyDescent="0.25">
      <c r="A2013" s="2" t="s">
        <v>350</v>
      </c>
    </row>
    <row r="2014" spans="1:5" x14ac:dyDescent="0.25">
      <c r="A2014" s="32" t="s">
        <v>1598</v>
      </c>
    </row>
    <row r="2015" spans="1:5" x14ac:dyDescent="0.25">
      <c r="A2015" s="32" t="s">
        <v>1599</v>
      </c>
    </row>
    <row r="2016" spans="1:5" x14ac:dyDescent="0.25">
      <c r="A2016" s="32" t="s">
        <v>1600</v>
      </c>
    </row>
    <row r="2017" spans="1:3" x14ac:dyDescent="0.25">
      <c r="A2017" s="32" t="s">
        <v>1795</v>
      </c>
    </row>
    <row r="2018" spans="1:3" x14ac:dyDescent="0.25">
      <c r="A2018" s="32" t="s">
        <v>1602</v>
      </c>
    </row>
    <row r="2019" spans="1:3" x14ac:dyDescent="0.25">
      <c r="A2019" s="32" t="s">
        <v>1796</v>
      </c>
    </row>
    <row r="2020" spans="1:3" x14ac:dyDescent="0.25">
      <c r="A2020" s="32" t="s">
        <v>1604</v>
      </c>
    </row>
    <row r="2021" spans="1:3" x14ac:dyDescent="0.25">
      <c r="A2021" s="32" t="s">
        <v>1797</v>
      </c>
    </row>
    <row r="2022" spans="1:3" x14ac:dyDescent="0.25">
      <c r="A2022" s="2" t="s">
        <v>1606</v>
      </c>
    </row>
    <row r="2024" spans="1:3" x14ac:dyDescent="0.25">
      <c r="B2024" s="15" t="s">
        <v>1607</v>
      </c>
    </row>
    <row r="2025" spans="1:3" x14ac:dyDescent="0.25">
      <c r="A2025" s="4" t="s">
        <v>171</v>
      </c>
      <c r="B2025" s="37">
        <f t="shared" ref="B2025:B2049" si="18">IF(F823,(B823+C823*B$1636+D823*C$1636+E823*D$1636)/F823*0.1,0)</f>
        <v>2.5279105176313319</v>
      </c>
      <c r="C2025" s="17"/>
    </row>
    <row r="2026" spans="1:3" x14ac:dyDescent="0.25">
      <c r="A2026" s="4" t="s">
        <v>1567</v>
      </c>
      <c r="B2026" s="37">
        <f t="shared" si="18"/>
        <v>1.5842640492449318</v>
      </c>
      <c r="C2026" s="17"/>
    </row>
    <row r="2027" spans="1:3" x14ac:dyDescent="0.25">
      <c r="A2027" s="4" t="s">
        <v>173</v>
      </c>
      <c r="B2027" s="37">
        <f t="shared" si="18"/>
        <v>2.1754894302183327</v>
      </c>
      <c r="C2027" s="17"/>
    </row>
    <row r="2028" spans="1:3" ht="30" x14ac:dyDescent="0.25">
      <c r="A2028" s="4" t="s">
        <v>1568</v>
      </c>
      <c r="B2028" s="37">
        <f t="shared" si="18"/>
        <v>1.5997068656498807</v>
      </c>
      <c r="C2028" s="17"/>
    </row>
    <row r="2029" spans="1:3" x14ac:dyDescent="0.25">
      <c r="A2029" s="4" t="s">
        <v>175</v>
      </c>
      <c r="B2029" s="37">
        <f t="shared" si="18"/>
        <v>0</v>
      </c>
      <c r="C2029" s="17"/>
    </row>
    <row r="2030" spans="1:3" x14ac:dyDescent="0.25">
      <c r="A2030" s="4" t="s">
        <v>176</v>
      </c>
      <c r="B2030" s="37">
        <f t="shared" si="18"/>
        <v>0</v>
      </c>
      <c r="C2030" s="17"/>
    </row>
    <row r="2031" spans="1:3" x14ac:dyDescent="0.25">
      <c r="A2031" s="4" t="s">
        <v>192</v>
      </c>
      <c r="B2031" s="37">
        <f t="shared" si="18"/>
        <v>1.4878405261651073</v>
      </c>
      <c r="C2031" s="17"/>
    </row>
    <row r="2032" spans="1:3" x14ac:dyDescent="0.25">
      <c r="A2032" s="4" t="s">
        <v>177</v>
      </c>
      <c r="B2032" s="37">
        <f t="shared" si="18"/>
        <v>0</v>
      </c>
      <c r="C2032" s="17"/>
    </row>
    <row r="2033" spans="1:3" x14ac:dyDescent="0.25">
      <c r="A2033" s="4" t="s">
        <v>178</v>
      </c>
      <c r="B2033" s="37">
        <f t="shared" si="18"/>
        <v>1.994086278425474</v>
      </c>
      <c r="C2033" s="17"/>
    </row>
    <row r="2034" spans="1:3" x14ac:dyDescent="0.25">
      <c r="A2034" s="4" t="s">
        <v>179</v>
      </c>
      <c r="B2034" s="37">
        <f t="shared" si="18"/>
        <v>2.2656723095561953</v>
      </c>
      <c r="C2034" s="17"/>
    </row>
    <row r="2035" spans="1:3" x14ac:dyDescent="0.25">
      <c r="A2035" s="4" t="s">
        <v>180</v>
      </c>
      <c r="B2035" s="37">
        <f t="shared" si="18"/>
        <v>1.8391742712676782</v>
      </c>
      <c r="C2035" s="17"/>
    </row>
    <row r="2036" spans="1:3" x14ac:dyDescent="0.25">
      <c r="A2036" s="4" t="s">
        <v>193</v>
      </c>
      <c r="B2036" s="37">
        <f t="shared" si="18"/>
        <v>1.1929879733195781</v>
      </c>
      <c r="C2036" s="17"/>
    </row>
    <row r="2037" spans="1:3" x14ac:dyDescent="0.25">
      <c r="A2037" s="4" t="s">
        <v>215</v>
      </c>
      <c r="B2037" s="37">
        <f t="shared" si="18"/>
        <v>2.8473710879378711</v>
      </c>
      <c r="C2037" s="17"/>
    </row>
    <row r="2038" spans="1:3" x14ac:dyDescent="0.25">
      <c r="A2038" s="4" t="s">
        <v>216</v>
      </c>
      <c r="B2038" s="37">
        <f t="shared" si="18"/>
        <v>3.2191680165579371</v>
      </c>
      <c r="C2038" s="17"/>
    </row>
    <row r="2039" spans="1:3" x14ac:dyDescent="0.25">
      <c r="A2039" s="4" t="s">
        <v>217</v>
      </c>
      <c r="B2039" s="37">
        <f t="shared" si="18"/>
        <v>4.6457470254194675</v>
      </c>
      <c r="C2039" s="17"/>
    </row>
    <row r="2040" spans="1:3" x14ac:dyDescent="0.25">
      <c r="A2040" s="4" t="s">
        <v>218</v>
      </c>
      <c r="B2040" s="37">
        <f t="shared" si="18"/>
        <v>2.6666100940274982</v>
      </c>
      <c r="C2040" s="17"/>
    </row>
    <row r="2041" spans="1:3" x14ac:dyDescent="0.25">
      <c r="A2041" s="4" t="s">
        <v>219</v>
      </c>
      <c r="B2041" s="37">
        <f t="shared" si="18"/>
        <v>3.3986349930310995</v>
      </c>
      <c r="C2041" s="17"/>
    </row>
    <row r="2042" spans="1:3" x14ac:dyDescent="0.25">
      <c r="A2042" s="4" t="s">
        <v>181</v>
      </c>
      <c r="B2042" s="37">
        <f t="shared" si="18"/>
        <v>-0.91165716927148788</v>
      </c>
      <c r="C2042" s="17"/>
    </row>
    <row r="2043" spans="1:3" x14ac:dyDescent="0.25">
      <c r="A2043" s="4" t="s">
        <v>182</v>
      </c>
      <c r="B2043" s="37">
        <f t="shared" si="18"/>
        <v>0</v>
      </c>
      <c r="C2043" s="17"/>
    </row>
    <row r="2044" spans="1:3" x14ac:dyDescent="0.25">
      <c r="A2044" s="4" t="s">
        <v>183</v>
      </c>
      <c r="B2044" s="37">
        <f t="shared" si="18"/>
        <v>-0.90476466021916913</v>
      </c>
      <c r="C2044" s="17"/>
    </row>
    <row r="2045" spans="1:3" x14ac:dyDescent="0.25">
      <c r="A2045" s="4" t="s">
        <v>184</v>
      </c>
      <c r="B2045" s="37">
        <f t="shared" si="18"/>
        <v>-0.81971546545842466</v>
      </c>
      <c r="C2045" s="17"/>
    </row>
    <row r="2046" spans="1:3" x14ac:dyDescent="0.25">
      <c r="A2046" s="4" t="s">
        <v>185</v>
      </c>
      <c r="B2046" s="37">
        <f t="shared" si="18"/>
        <v>-0.72616725811341154</v>
      </c>
      <c r="C2046" s="17"/>
    </row>
    <row r="2047" spans="1:3" x14ac:dyDescent="0.25">
      <c r="A2047" s="4" t="s">
        <v>186</v>
      </c>
      <c r="B2047" s="37">
        <f t="shared" si="18"/>
        <v>-0.56588711582363682</v>
      </c>
      <c r="C2047" s="17"/>
    </row>
    <row r="2048" spans="1:3" x14ac:dyDescent="0.25">
      <c r="A2048" s="4" t="s">
        <v>194</v>
      </c>
      <c r="B2048" s="37">
        <f t="shared" si="18"/>
        <v>-0.5215995011489466</v>
      </c>
      <c r="C2048" s="17"/>
    </row>
    <row r="2049" spans="1:3" x14ac:dyDescent="0.25">
      <c r="A2049" s="4" t="s">
        <v>195</v>
      </c>
      <c r="B2049" s="37">
        <f t="shared" si="18"/>
        <v>-0.48381929838150539</v>
      </c>
      <c r="C2049" s="17"/>
    </row>
    <row r="2051" spans="1:3" ht="21" customHeight="1" x14ac:dyDescent="0.3">
      <c r="A2051" s="1" t="s">
        <v>1798</v>
      </c>
    </row>
    <row r="2052" spans="1:3" x14ac:dyDescent="0.25">
      <c r="A2052" s="2" t="s">
        <v>350</v>
      </c>
    </row>
    <row r="2053" spans="1:3" x14ac:dyDescent="0.25">
      <c r="A2053" s="32" t="s">
        <v>1799</v>
      </c>
    </row>
    <row r="2054" spans="1:3" x14ac:dyDescent="0.25">
      <c r="A2054" s="32" t="s">
        <v>1610</v>
      </c>
    </row>
    <row r="2055" spans="1:3" x14ac:dyDescent="0.25">
      <c r="A2055" s="2" t="s">
        <v>1611</v>
      </c>
    </row>
    <row r="2057" spans="1:3" ht="30" x14ac:dyDescent="0.25">
      <c r="B2057" s="15" t="s">
        <v>1612</v>
      </c>
    </row>
    <row r="2058" spans="1:3" x14ac:dyDescent="0.25">
      <c r="A2058" s="29" t="s">
        <v>171</v>
      </c>
      <c r="C2058" s="17"/>
    </row>
    <row r="2059" spans="1:3" x14ac:dyDescent="0.25">
      <c r="A2059" s="4" t="s">
        <v>171</v>
      </c>
      <c r="B2059" s="39">
        <f>IF(B$2025,1-B608/B$2025,0)</f>
        <v>1</v>
      </c>
      <c r="C2059" s="17"/>
    </row>
    <row r="2060" spans="1:3" x14ac:dyDescent="0.25">
      <c r="A2060" s="4" t="s">
        <v>231</v>
      </c>
      <c r="B2060" s="39">
        <f>IF(B$2025,1-B609/B$2025,0)</f>
        <v>0.73190197523085865</v>
      </c>
      <c r="C2060" s="17"/>
    </row>
    <row r="2061" spans="1:3" x14ac:dyDescent="0.25">
      <c r="A2061" s="4" t="s">
        <v>232</v>
      </c>
      <c r="B2061" s="39">
        <f>IF(B$2025,1-B610/B$2025,0)</f>
        <v>0.56342753993714989</v>
      </c>
      <c r="C2061" s="17"/>
    </row>
    <row r="2062" spans="1:3" x14ac:dyDescent="0.25">
      <c r="A2062" s="29" t="s">
        <v>1567</v>
      </c>
      <c r="C2062" s="17"/>
    </row>
    <row r="2063" spans="1:3" x14ac:dyDescent="0.25">
      <c r="A2063" s="4" t="s">
        <v>172</v>
      </c>
      <c r="B2063" s="39">
        <f t="shared" ref="B2063:B2068" si="19">IF(B$2026,1-B612/B$2026,0)</f>
        <v>1</v>
      </c>
      <c r="C2063" s="17"/>
    </row>
    <row r="2064" spans="1:3" x14ac:dyDescent="0.25">
      <c r="A2064" s="4" t="s">
        <v>234</v>
      </c>
      <c r="B2064" s="39">
        <f t="shared" si="19"/>
        <v>0.57221284110239945</v>
      </c>
      <c r="C2064" s="17"/>
    </row>
    <row r="2065" spans="1:3" x14ac:dyDescent="0.25">
      <c r="A2065" s="4" t="s">
        <v>235</v>
      </c>
      <c r="B2065" s="39">
        <f t="shared" si="19"/>
        <v>0.30338877914508489</v>
      </c>
      <c r="C2065" s="17"/>
    </row>
    <row r="2066" spans="1:3" x14ac:dyDescent="0.25">
      <c r="A2066" s="4" t="s">
        <v>213</v>
      </c>
      <c r="B2066" s="39">
        <f t="shared" si="19"/>
        <v>1</v>
      </c>
      <c r="C2066" s="17"/>
    </row>
    <row r="2067" spans="1:3" x14ac:dyDescent="0.25">
      <c r="A2067" s="4" t="s">
        <v>237</v>
      </c>
      <c r="B2067" s="39">
        <f t="shared" si="19"/>
        <v>0.57221284110239945</v>
      </c>
      <c r="C2067" s="17"/>
    </row>
    <row r="2068" spans="1:3" x14ac:dyDescent="0.25">
      <c r="A2068" s="4" t="s">
        <v>238</v>
      </c>
      <c r="B2068" s="39">
        <f t="shared" si="19"/>
        <v>0.30338877914508489</v>
      </c>
      <c r="C2068" s="17"/>
    </row>
    <row r="2069" spans="1:3" x14ac:dyDescent="0.25">
      <c r="A2069" s="29" t="s">
        <v>173</v>
      </c>
      <c r="C2069" s="17"/>
    </row>
    <row r="2070" spans="1:3" x14ac:dyDescent="0.25">
      <c r="A2070" s="4" t="s">
        <v>173</v>
      </c>
      <c r="B2070" s="39">
        <f>IF(B$2027,1-B619/B$2027,0)</f>
        <v>1</v>
      </c>
      <c r="C2070" s="17"/>
    </row>
    <row r="2071" spans="1:3" x14ac:dyDescent="0.25">
      <c r="A2071" s="4" t="s">
        <v>240</v>
      </c>
      <c r="B2071" s="39">
        <f>IF(B$2027,1-B620/B$2027,0)</f>
        <v>0.68847110578602966</v>
      </c>
      <c r="C2071" s="17"/>
    </row>
    <row r="2072" spans="1:3" x14ac:dyDescent="0.25">
      <c r="A2072" s="4" t="s">
        <v>241</v>
      </c>
      <c r="B2072" s="39">
        <f>IF(B$2027,1-B621/B$2027,0)</f>
        <v>0.49270444702169658</v>
      </c>
      <c r="C2072" s="17"/>
    </row>
    <row r="2073" spans="1:3" ht="30" x14ac:dyDescent="0.25">
      <c r="A2073" s="29" t="s">
        <v>1568</v>
      </c>
      <c r="C2073" s="17"/>
    </row>
    <row r="2074" spans="1:3" x14ac:dyDescent="0.25">
      <c r="A2074" s="4" t="s">
        <v>174</v>
      </c>
      <c r="B2074" s="39">
        <f t="shared" ref="B2074:B2079" si="20">IF(B$2028,1-B623/B$2028,0)</f>
        <v>1</v>
      </c>
      <c r="C2074" s="17"/>
    </row>
    <row r="2075" spans="1:3" x14ac:dyDescent="0.25">
      <c r="A2075" s="4" t="s">
        <v>243</v>
      </c>
      <c r="B2075" s="39">
        <f t="shared" si="20"/>
        <v>0.57634249678939098</v>
      </c>
      <c r="C2075" s="17"/>
    </row>
    <row r="2076" spans="1:3" x14ac:dyDescent="0.25">
      <c r="A2076" s="4" t="s">
        <v>244</v>
      </c>
      <c r="B2076" s="39">
        <f t="shared" si="20"/>
        <v>0.31011353567410027</v>
      </c>
      <c r="C2076" s="17"/>
    </row>
    <row r="2077" spans="1:3" x14ac:dyDescent="0.25">
      <c r="A2077" s="4" t="s">
        <v>214</v>
      </c>
      <c r="B2077" s="39">
        <f t="shared" si="20"/>
        <v>1</v>
      </c>
      <c r="C2077" s="17"/>
    </row>
    <row r="2078" spans="1:3" ht="30" x14ac:dyDescent="0.25">
      <c r="A2078" s="4" t="s">
        <v>246</v>
      </c>
      <c r="B2078" s="39">
        <f t="shared" si="20"/>
        <v>0.57634249678939098</v>
      </c>
      <c r="C2078" s="17"/>
    </row>
    <row r="2079" spans="1:3" ht="30" x14ac:dyDescent="0.25">
      <c r="A2079" s="4" t="s">
        <v>247</v>
      </c>
      <c r="B2079" s="39">
        <f t="shared" si="20"/>
        <v>0.31011353567410027</v>
      </c>
      <c r="C2079" s="17"/>
    </row>
    <row r="2080" spans="1:3" x14ac:dyDescent="0.25">
      <c r="A2080" s="29" t="s">
        <v>175</v>
      </c>
      <c r="C2080" s="17"/>
    </row>
    <row r="2081" spans="1:3" x14ac:dyDescent="0.25">
      <c r="A2081" s="4" t="s">
        <v>175</v>
      </c>
      <c r="B2081" s="39">
        <f>IF(B$2029,1-B630/B$2029,0)</f>
        <v>0</v>
      </c>
      <c r="C2081" s="17"/>
    </row>
    <row r="2082" spans="1:3" x14ac:dyDescent="0.25">
      <c r="A2082" s="4" t="s">
        <v>249</v>
      </c>
      <c r="B2082" s="39">
        <f>IF(B$2029,1-B631/B$2029,0)</f>
        <v>0</v>
      </c>
      <c r="C2082" s="17"/>
    </row>
    <row r="2083" spans="1:3" x14ac:dyDescent="0.25">
      <c r="A2083" s="4" t="s">
        <v>250</v>
      </c>
      <c r="B2083" s="39">
        <f>IF(B$2029,1-B632/B$2029,0)</f>
        <v>0</v>
      </c>
      <c r="C2083" s="17"/>
    </row>
    <row r="2084" spans="1:3" x14ac:dyDescent="0.25">
      <c r="A2084" s="29" t="s">
        <v>176</v>
      </c>
      <c r="C2084" s="17"/>
    </row>
    <row r="2085" spans="1:3" x14ac:dyDescent="0.25">
      <c r="A2085" s="4" t="s">
        <v>176</v>
      </c>
      <c r="B2085" s="39">
        <f>IF(B$2030,1-B634/B$2030,0)</f>
        <v>0</v>
      </c>
      <c r="C2085" s="17"/>
    </row>
    <row r="2086" spans="1:3" x14ac:dyDescent="0.25">
      <c r="A2086" s="29" t="s">
        <v>192</v>
      </c>
      <c r="C2086" s="17"/>
    </row>
    <row r="2087" spans="1:3" x14ac:dyDescent="0.25">
      <c r="A2087" s="4" t="s">
        <v>192</v>
      </c>
      <c r="B2087" s="39">
        <f>IF(B$2031,1-B636/B$2031,0)</f>
        <v>1</v>
      </c>
      <c r="C2087" s="17"/>
    </row>
    <row r="2088" spans="1:3" x14ac:dyDescent="0.25">
      <c r="A2088" s="29" t="s">
        <v>177</v>
      </c>
      <c r="C2088" s="17"/>
    </row>
    <row r="2089" spans="1:3" x14ac:dyDescent="0.25">
      <c r="A2089" s="4" t="s">
        <v>177</v>
      </c>
      <c r="B2089" s="39">
        <f>IF(B$2032,1-B638/B$2032,0)</f>
        <v>0</v>
      </c>
      <c r="C2089" s="17"/>
    </row>
    <row r="2090" spans="1:3" x14ac:dyDescent="0.25">
      <c r="A2090" s="4" t="s">
        <v>254</v>
      </c>
      <c r="B2090" s="39">
        <f>IF(B$2032,1-B639/B$2032,0)</f>
        <v>0</v>
      </c>
      <c r="C2090" s="17"/>
    </row>
    <row r="2091" spans="1:3" x14ac:dyDescent="0.25">
      <c r="A2091" s="4" t="s">
        <v>255</v>
      </c>
      <c r="B2091" s="39">
        <f>IF(B$2032,1-B640/B$2032,0)</f>
        <v>0</v>
      </c>
      <c r="C2091" s="17"/>
    </row>
    <row r="2092" spans="1:3" x14ac:dyDescent="0.25">
      <c r="A2092" s="29" t="s">
        <v>178</v>
      </c>
      <c r="C2092" s="17"/>
    </row>
    <row r="2093" spans="1:3" x14ac:dyDescent="0.25">
      <c r="A2093" s="4" t="s">
        <v>178</v>
      </c>
      <c r="B2093" s="39">
        <f>IF(B$2033,1-B642/B$2033,0)</f>
        <v>1</v>
      </c>
      <c r="C2093" s="17"/>
    </row>
    <row r="2094" spans="1:3" x14ac:dyDescent="0.25">
      <c r="A2094" s="4" t="s">
        <v>257</v>
      </c>
      <c r="B2094" s="39">
        <f>IF(B$2033,1-B643/B$2033,0)</f>
        <v>0.66013114683020135</v>
      </c>
      <c r="C2094" s="17"/>
    </row>
    <row r="2095" spans="1:3" x14ac:dyDescent="0.25">
      <c r="A2095" s="4" t="s">
        <v>258</v>
      </c>
      <c r="B2095" s="39">
        <f>IF(B$2033,1-B644/B$2033,0)</f>
        <v>0.44655548486473906</v>
      </c>
      <c r="C2095" s="17"/>
    </row>
    <row r="2096" spans="1:3" x14ac:dyDescent="0.25">
      <c r="A2096" s="29" t="s">
        <v>179</v>
      </c>
      <c r="C2096" s="17"/>
    </row>
    <row r="2097" spans="1:3" x14ac:dyDescent="0.25">
      <c r="A2097" s="4" t="s">
        <v>179</v>
      </c>
      <c r="B2097" s="39">
        <f>IF(B$2034,1-B646/B$2034,0)</f>
        <v>1</v>
      </c>
      <c r="C2097" s="17"/>
    </row>
    <row r="2098" spans="1:3" x14ac:dyDescent="0.25">
      <c r="A2098" s="4" t="s">
        <v>260</v>
      </c>
      <c r="B2098" s="39">
        <f>IF(B$2034,1-B647/B$2034,0)</f>
        <v>0.70087120996643493</v>
      </c>
      <c r="C2098" s="17"/>
    </row>
    <row r="2099" spans="1:3" x14ac:dyDescent="0.25">
      <c r="A2099" s="4" t="s">
        <v>261</v>
      </c>
      <c r="B2099" s="39">
        <f>IF(B$2034,1-B648/B$2034,0)</f>
        <v>0.51289685236200722</v>
      </c>
      <c r="C2099" s="17"/>
    </row>
    <row r="2100" spans="1:3" x14ac:dyDescent="0.25">
      <c r="A2100" s="29" t="s">
        <v>180</v>
      </c>
      <c r="C2100" s="17"/>
    </row>
    <row r="2101" spans="1:3" x14ac:dyDescent="0.25">
      <c r="A2101" s="4" t="s">
        <v>180</v>
      </c>
      <c r="B2101" s="39">
        <f>IF(B$2035,1-B650/B$2035,0)</f>
        <v>1</v>
      </c>
      <c r="C2101" s="17"/>
    </row>
    <row r="2102" spans="1:3" x14ac:dyDescent="0.25">
      <c r="A2102" s="4" t="s">
        <v>263</v>
      </c>
      <c r="B2102" s="39">
        <f>IF(B$2035,1-B651/B$2035,0)</f>
        <v>0.64980554527239698</v>
      </c>
      <c r="C2102" s="17"/>
    </row>
    <row r="2103" spans="1:3" x14ac:dyDescent="0.25">
      <c r="A2103" s="29" t="s">
        <v>193</v>
      </c>
      <c r="C2103" s="17"/>
    </row>
    <row r="2104" spans="1:3" x14ac:dyDescent="0.25">
      <c r="A2104" s="4" t="s">
        <v>193</v>
      </c>
      <c r="B2104" s="39">
        <f>IF(B$2036,1-B653/B$2036,0)</f>
        <v>1</v>
      </c>
      <c r="C2104" s="17"/>
    </row>
    <row r="2105" spans="1:3" x14ac:dyDescent="0.25">
      <c r="A2105" s="4" t="s">
        <v>265</v>
      </c>
      <c r="B2105" s="39">
        <f>IF(B$2036,1-B654/B$2036,0)</f>
        <v>0.65350246067228479</v>
      </c>
      <c r="C2105" s="17"/>
    </row>
    <row r="2106" spans="1:3" x14ac:dyDescent="0.25">
      <c r="A2106" s="29" t="s">
        <v>215</v>
      </c>
      <c r="C2106" s="17"/>
    </row>
    <row r="2107" spans="1:3" x14ac:dyDescent="0.25">
      <c r="A2107" s="4" t="s">
        <v>215</v>
      </c>
      <c r="B2107" s="39">
        <f>IF(B$2037,1-B656/B$2037,0)</f>
        <v>1</v>
      </c>
      <c r="C2107" s="17"/>
    </row>
    <row r="2108" spans="1:3" x14ac:dyDescent="0.25">
      <c r="A2108" s="4" t="s">
        <v>267</v>
      </c>
      <c r="B2108" s="39">
        <f>IF(B$2037,1-B657/B$2037,0)</f>
        <v>0.76198121156700971</v>
      </c>
      <c r="C2108" s="17"/>
    </row>
    <row r="2109" spans="1:3" x14ac:dyDescent="0.25">
      <c r="A2109" s="4" t="s">
        <v>268</v>
      </c>
      <c r="B2109" s="39">
        <f>IF(B$2037,1-B658/B$2037,0)</f>
        <v>0.61240875199715306</v>
      </c>
      <c r="C2109" s="17"/>
    </row>
    <row r="2110" spans="1:3" x14ac:dyDescent="0.25">
      <c r="A2110" s="29" t="s">
        <v>216</v>
      </c>
      <c r="C2110" s="17"/>
    </row>
    <row r="2111" spans="1:3" x14ac:dyDescent="0.25">
      <c r="A2111" s="4" t="s">
        <v>216</v>
      </c>
      <c r="B2111" s="39">
        <f>IF(B$2038,1-B660/B$2038,0)</f>
        <v>1</v>
      </c>
      <c r="C2111" s="17"/>
    </row>
    <row r="2112" spans="1:3" x14ac:dyDescent="0.25">
      <c r="A2112" s="4" t="s">
        <v>270</v>
      </c>
      <c r="B2112" s="39">
        <f>IF(B$2038,1-B661/B$2038,0)</f>
        <v>0.78947112636427375</v>
      </c>
      <c r="C2112" s="17"/>
    </row>
    <row r="2113" spans="1:3" x14ac:dyDescent="0.25">
      <c r="A2113" s="4" t="s">
        <v>271</v>
      </c>
      <c r="B2113" s="39">
        <f>IF(B$2038,1-B662/B$2038,0)</f>
        <v>0.65717349705744965</v>
      </c>
      <c r="C2113" s="17"/>
    </row>
    <row r="2114" spans="1:3" x14ac:dyDescent="0.25">
      <c r="A2114" s="29" t="s">
        <v>217</v>
      </c>
      <c r="C2114" s="17"/>
    </row>
    <row r="2115" spans="1:3" x14ac:dyDescent="0.25">
      <c r="A2115" s="4" t="s">
        <v>217</v>
      </c>
      <c r="B2115" s="39">
        <f>IF(B$2039,1-B664/B$2039,0)</f>
        <v>1</v>
      </c>
      <c r="C2115" s="17"/>
    </row>
    <row r="2116" spans="1:3" x14ac:dyDescent="0.25">
      <c r="A2116" s="4" t="s">
        <v>273</v>
      </c>
      <c r="B2116" s="39">
        <f>IF(B$2039,1-B665/B$2039,0)</f>
        <v>0.85411865672799836</v>
      </c>
      <c r="C2116" s="17"/>
    </row>
    <row r="2117" spans="1:3" x14ac:dyDescent="0.25">
      <c r="A2117" s="4" t="s">
        <v>274</v>
      </c>
      <c r="B2117" s="39">
        <f>IF(B$2039,1-B666/B$2039,0)</f>
        <v>0.76244593012435558</v>
      </c>
      <c r="C2117" s="17"/>
    </row>
    <row r="2118" spans="1:3" x14ac:dyDescent="0.25">
      <c r="A2118" s="29" t="s">
        <v>218</v>
      </c>
      <c r="C2118" s="17"/>
    </row>
    <row r="2119" spans="1:3" x14ac:dyDescent="0.25">
      <c r="A2119" s="4" t="s">
        <v>218</v>
      </c>
      <c r="B2119" s="39">
        <f>IF(B$2040,1-B668/B$2040,0)</f>
        <v>1</v>
      </c>
      <c r="C2119" s="17"/>
    </row>
    <row r="2120" spans="1:3" x14ac:dyDescent="0.25">
      <c r="A2120" s="4" t="s">
        <v>276</v>
      </c>
      <c r="B2120" s="39">
        <f>IF(B$2040,1-B669/B$2040,0)</f>
        <v>0.74584667698962481</v>
      </c>
      <c r="C2120" s="17"/>
    </row>
    <row r="2121" spans="1:3" x14ac:dyDescent="0.25">
      <c r="A2121" s="4" t="s">
        <v>277</v>
      </c>
      <c r="B2121" s="39">
        <f>IF(B$2040,1-B670/B$2040,0)</f>
        <v>0.58613517740262377</v>
      </c>
      <c r="C2121" s="17"/>
    </row>
    <row r="2122" spans="1:3" x14ac:dyDescent="0.25">
      <c r="A2122" s="29" t="s">
        <v>219</v>
      </c>
      <c r="C2122" s="17"/>
    </row>
    <row r="2123" spans="1:3" x14ac:dyDescent="0.25">
      <c r="A2123" s="4" t="s">
        <v>219</v>
      </c>
      <c r="B2123" s="39">
        <f>IF(B$2041,1-B672/B$2041,0)</f>
        <v>1</v>
      </c>
      <c r="C2123" s="17"/>
    </row>
    <row r="2124" spans="1:3" x14ac:dyDescent="0.25">
      <c r="A2124" s="4" t="s">
        <v>279</v>
      </c>
      <c r="B2124" s="39">
        <f>IF(B$2041,1-B673/B$2041,0)</f>
        <v>0.80058823087510766</v>
      </c>
      <c r="C2124" s="17"/>
    </row>
    <row r="2125" spans="1:3" x14ac:dyDescent="0.25">
      <c r="A2125" s="4" t="s">
        <v>280</v>
      </c>
      <c r="B2125" s="39">
        <f>IF(B$2041,1-B674/B$2041,0)</f>
        <v>0.67527665790412095</v>
      </c>
      <c r="C2125" s="17"/>
    </row>
    <row r="2126" spans="1:3" x14ac:dyDescent="0.25">
      <c r="A2126" s="29" t="s">
        <v>181</v>
      </c>
      <c r="C2126" s="17"/>
    </row>
    <row r="2127" spans="1:3" x14ac:dyDescent="0.25">
      <c r="A2127" s="4" t="s">
        <v>181</v>
      </c>
      <c r="B2127" s="39">
        <f>IF(B$2042,1-B676/B$2042,0)</f>
        <v>1</v>
      </c>
      <c r="C2127" s="17"/>
    </row>
    <row r="2128" spans="1:3" x14ac:dyDescent="0.25">
      <c r="A2128" s="4" t="s">
        <v>282</v>
      </c>
      <c r="B2128" s="39">
        <f>IF(B$2042,1-B677/B$2042,0)</f>
        <v>1</v>
      </c>
      <c r="C2128" s="17"/>
    </row>
    <row r="2129" spans="1:3" x14ac:dyDescent="0.25">
      <c r="A2129" s="4" t="s">
        <v>283</v>
      </c>
      <c r="B2129" s="39">
        <f>IF(B$2042,1-B678/B$2042,0)</f>
        <v>1</v>
      </c>
      <c r="C2129" s="17"/>
    </row>
    <row r="2130" spans="1:3" x14ac:dyDescent="0.25">
      <c r="A2130" s="29" t="s">
        <v>182</v>
      </c>
      <c r="C2130" s="17"/>
    </row>
    <row r="2131" spans="1:3" x14ac:dyDescent="0.25">
      <c r="A2131" s="4" t="s">
        <v>182</v>
      </c>
      <c r="B2131" s="39">
        <f>IF(B$2043,1-B680/B$2043,0)</f>
        <v>0</v>
      </c>
      <c r="C2131" s="17"/>
    </row>
    <row r="2132" spans="1:3" x14ac:dyDescent="0.25">
      <c r="A2132" s="4" t="s">
        <v>285</v>
      </c>
      <c r="B2132" s="39">
        <f>IF(B$2043,1-B681/B$2043,0)</f>
        <v>0</v>
      </c>
      <c r="C2132" s="17"/>
    </row>
    <row r="2133" spans="1:3" x14ac:dyDescent="0.25">
      <c r="A2133" s="29" t="s">
        <v>183</v>
      </c>
      <c r="C2133" s="17"/>
    </row>
    <row r="2134" spans="1:3" x14ac:dyDescent="0.25">
      <c r="A2134" s="4" t="s">
        <v>183</v>
      </c>
      <c r="B2134" s="39">
        <f>IF(B$2044,1-B683/B$2044,0)</f>
        <v>1</v>
      </c>
      <c r="C2134" s="17"/>
    </row>
    <row r="2135" spans="1:3" x14ac:dyDescent="0.25">
      <c r="A2135" s="4" t="s">
        <v>287</v>
      </c>
      <c r="B2135" s="39">
        <f>IF(B$2044,1-B684/B$2044,0)</f>
        <v>1</v>
      </c>
      <c r="C2135" s="17"/>
    </row>
    <row r="2136" spans="1:3" x14ac:dyDescent="0.25">
      <c r="A2136" s="4" t="s">
        <v>288</v>
      </c>
      <c r="B2136" s="39">
        <f>IF(B$2044,1-B685/B$2044,0)</f>
        <v>1</v>
      </c>
      <c r="C2136" s="17"/>
    </row>
    <row r="2137" spans="1:3" x14ac:dyDescent="0.25">
      <c r="A2137" s="29" t="s">
        <v>184</v>
      </c>
      <c r="C2137" s="17"/>
    </row>
    <row r="2138" spans="1:3" x14ac:dyDescent="0.25">
      <c r="A2138" s="4" t="s">
        <v>184</v>
      </c>
      <c r="B2138" s="39">
        <f>IF(B$2045,1-B687/B$2045,0)</f>
        <v>1</v>
      </c>
      <c r="C2138" s="17"/>
    </row>
    <row r="2139" spans="1:3" x14ac:dyDescent="0.25">
      <c r="A2139" s="4" t="s">
        <v>290</v>
      </c>
      <c r="B2139" s="39">
        <f>IF(B$2045,1-B688/B$2045,0)</f>
        <v>1</v>
      </c>
      <c r="C2139" s="17"/>
    </row>
    <row r="2140" spans="1:3" x14ac:dyDescent="0.25">
      <c r="A2140" s="4" t="s">
        <v>291</v>
      </c>
      <c r="B2140" s="39">
        <f>IF(B$2045,1-B689/B$2045,0)</f>
        <v>1</v>
      </c>
      <c r="C2140" s="17"/>
    </row>
    <row r="2141" spans="1:3" x14ac:dyDescent="0.25">
      <c r="A2141" s="29" t="s">
        <v>185</v>
      </c>
      <c r="C2141" s="17"/>
    </row>
    <row r="2142" spans="1:3" x14ac:dyDescent="0.25">
      <c r="A2142" s="4" t="s">
        <v>185</v>
      </c>
      <c r="B2142" s="39">
        <f>IF(B$2046,1-B691/B$2046,0)</f>
        <v>1</v>
      </c>
      <c r="C2142" s="17"/>
    </row>
    <row r="2143" spans="1:3" x14ac:dyDescent="0.25">
      <c r="A2143" s="4" t="s">
        <v>293</v>
      </c>
      <c r="B2143" s="39">
        <f>IF(B$2046,1-B692/B$2046,0)</f>
        <v>1</v>
      </c>
      <c r="C2143" s="17"/>
    </row>
    <row r="2144" spans="1:3" x14ac:dyDescent="0.25">
      <c r="A2144" s="29" t="s">
        <v>186</v>
      </c>
      <c r="C2144" s="17"/>
    </row>
    <row r="2145" spans="1:3" x14ac:dyDescent="0.25">
      <c r="A2145" s="4" t="s">
        <v>186</v>
      </c>
      <c r="B2145" s="39">
        <f>IF(B$2047,1-B694/B$2047,0)</f>
        <v>1</v>
      </c>
      <c r="C2145" s="17"/>
    </row>
    <row r="2146" spans="1:3" x14ac:dyDescent="0.25">
      <c r="A2146" s="4" t="s">
        <v>295</v>
      </c>
      <c r="B2146" s="39">
        <f>IF(B$2047,1-B695/B$2047,0)</f>
        <v>1</v>
      </c>
      <c r="C2146" s="17"/>
    </row>
    <row r="2147" spans="1:3" x14ac:dyDescent="0.25">
      <c r="A2147" s="29" t="s">
        <v>194</v>
      </c>
      <c r="C2147" s="17"/>
    </row>
    <row r="2148" spans="1:3" x14ac:dyDescent="0.25">
      <c r="A2148" s="4" t="s">
        <v>194</v>
      </c>
      <c r="B2148" s="39">
        <f>IF(B$2048,1-B697/B$2048,0)</f>
        <v>1</v>
      </c>
      <c r="C2148" s="17"/>
    </row>
    <row r="2149" spans="1:3" x14ac:dyDescent="0.25">
      <c r="A2149" s="4" t="s">
        <v>297</v>
      </c>
      <c r="B2149" s="39">
        <f>IF(B$2048,1-B698/B$2048,0)</f>
        <v>1</v>
      </c>
      <c r="C2149" s="17"/>
    </row>
    <row r="2150" spans="1:3" x14ac:dyDescent="0.25">
      <c r="A2150" s="29" t="s">
        <v>195</v>
      </c>
      <c r="C2150" s="17"/>
    </row>
    <row r="2151" spans="1:3" x14ac:dyDescent="0.25">
      <c r="A2151" s="4" t="s">
        <v>195</v>
      </c>
      <c r="B2151" s="39">
        <f>IF(B$2049,1-B700/B$2049,0)</f>
        <v>1</v>
      </c>
      <c r="C2151" s="17"/>
    </row>
    <row r="2152" spans="1:3" x14ac:dyDescent="0.25">
      <c r="A2152" s="4" t="s">
        <v>299</v>
      </c>
      <c r="B2152" s="39">
        <f>IF(B$2049,1-B701/B$2049,0)</f>
        <v>1</v>
      </c>
      <c r="C2152" s="17"/>
    </row>
    <row r="2154" spans="1:3" ht="21" customHeight="1" x14ac:dyDescent="0.3">
      <c r="A2154" s="1" t="s">
        <v>1800</v>
      </c>
    </row>
    <row r="2155" spans="1:3" x14ac:dyDescent="0.25">
      <c r="A2155" s="2" t="s">
        <v>350</v>
      </c>
    </row>
    <row r="2156" spans="1:3" x14ac:dyDescent="0.25">
      <c r="A2156" s="32" t="s">
        <v>1801</v>
      </c>
    </row>
    <row r="2157" spans="1:3" x14ac:dyDescent="0.25">
      <c r="A2157" s="32" t="s">
        <v>1615</v>
      </c>
    </row>
    <row r="2158" spans="1:3" x14ac:dyDescent="0.25">
      <c r="A2158" s="32" t="s">
        <v>1616</v>
      </c>
    </row>
    <row r="2159" spans="1:3" x14ac:dyDescent="0.25">
      <c r="A2159" s="32" t="s">
        <v>1617</v>
      </c>
    </row>
    <row r="2160" spans="1:3" x14ac:dyDescent="0.25">
      <c r="A2160" s="32" t="s">
        <v>1618</v>
      </c>
    </row>
    <row r="2161" spans="1:6" ht="30" x14ac:dyDescent="0.25">
      <c r="A2161" s="33" t="s">
        <v>353</v>
      </c>
      <c r="B2161" s="33" t="s">
        <v>355</v>
      </c>
      <c r="C2161" s="33" t="s">
        <v>355</v>
      </c>
      <c r="D2161" s="33" t="s">
        <v>355</v>
      </c>
      <c r="E2161" s="33" t="s">
        <v>355</v>
      </c>
    </row>
    <row r="2162" spans="1:6" ht="30" x14ac:dyDescent="0.25">
      <c r="A2162" s="33" t="s">
        <v>356</v>
      </c>
      <c r="B2162" s="33" t="s">
        <v>358</v>
      </c>
      <c r="C2162" s="33" t="s">
        <v>1619</v>
      </c>
      <c r="D2162" s="33" t="s">
        <v>1620</v>
      </c>
      <c r="E2162" s="33" t="s">
        <v>1621</v>
      </c>
    </row>
    <row r="2164" spans="1:6" ht="60" x14ac:dyDescent="0.25">
      <c r="B2164" s="15" t="s">
        <v>1562</v>
      </c>
      <c r="C2164" s="15" t="s">
        <v>1563</v>
      </c>
      <c r="D2164" s="15" t="s">
        <v>1564</v>
      </c>
      <c r="E2164" s="15" t="s">
        <v>1565</v>
      </c>
    </row>
    <row r="2165" spans="1:6" x14ac:dyDescent="0.25">
      <c r="A2165" s="4" t="s">
        <v>1622</v>
      </c>
      <c r="B2165" s="21">
        <f>SUMPRODUCT(B$2058:B$2152,$B$716:$B$810)</f>
        <v>171069765.44269162</v>
      </c>
      <c r="C2165" s="21">
        <f>SUMPRODUCT(B$2058:B$2152,$C$716:$C$810)</f>
        <v>18660348.628783613</v>
      </c>
      <c r="D2165" s="21">
        <f>SUMPRODUCT(B$2058:B$2152,$D$716:$D$810)</f>
        <v>114075268.81363398</v>
      </c>
      <c r="E2165" s="21">
        <f>SUMPRODUCT(B$2058:B$2152,$E$716:$E$810)</f>
        <v>79683345.505986661</v>
      </c>
      <c r="F2165" s="17"/>
    </row>
    <row r="2167" spans="1:6" ht="21" customHeight="1" x14ac:dyDescent="0.3">
      <c r="A2167" s="1" t="s">
        <v>1802</v>
      </c>
    </row>
    <row r="2168" spans="1:6" x14ac:dyDescent="0.25">
      <c r="A2168" s="2" t="s">
        <v>350</v>
      </c>
    </row>
    <row r="2169" spans="1:6" x14ac:dyDescent="0.25">
      <c r="A2169" s="32" t="s">
        <v>1803</v>
      </c>
    </row>
    <row r="2170" spans="1:6" x14ac:dyDescent="0.25">
      <c r="A2170" s="32" t="s">
        <v>1804</v>
      </c>
    </row>
    <row r="2171" spans="1:6" x14ac:dyDescent="0.25">
      <c r="A2171" s="32" t="s">
        <v>1626</v>
      </c>
    </row>
    <row r="2172" spans="1:6" x14ac:dyDescent="0.25">
      <c r="A2172" s="32" t="s">
        <v>1805</v>
      </c>
    </row>
    <row r="2173" spans="1:6" x14ac:dyDescent="0.25">
      <c r="A2173" s="32" t="s">
        <v>1806</v>
      </c>
    </row>
    <row r="2174" spans="1:6" x14ac:dyDescent="0.25">
      <c r="A2174" s="32" t="s">
        <v>1629</v>
      </c>
    </row>
    <row r="2175" spans="1:6" x14ac:dyDescent="0.25">
      <c r="A2175" s="32" t="s">
        <v>1807</v>
      </c>
    </row>
    <row r="2176" spans="1:6" x14ac:dyDescent="0.25">
      <c r="A2176" s="32" t="s">
        <v>1797</v>
      </c>
    </row>
    <row r="2177" spans="1:5" x14ac:dyDescent="0.25">
      <c r="A2177" s="32" t="s">
        <v>1631</v>
      </c>
    </row>
    <row r="2178" spans="1:5" x14ac:dyDescent="0.25">
      <c r="A2178" s="32" t="s">
        <v>1808</v>
      </c>
    </row>
    <row r="2179" spans="1:5" x14ac:dyDescent="0.25">
      <c r="A2179" s="32" t="s">
        <v>1633</v>
      </c>
    </row>
    <row r="2180" spans="1:5" x14ac:dyDescent="0.25">
      <c r="A2180" s="32" t="s">
        <v>1809</v>
      </c>
    </row>
    <row r="2181" spans="1:5" x14ac:dyDescent="0.25">
      <c r="A2181" s="32" t="s">
        <v>1810</v>
      </c>
    </row>
    <row r="2182" spans="1:5" x14ac:dyDescent="0.25">
      <c r="A2182" s="33" t="s">
        <v>353</v>
      </c>
      <c r="B2182" s="33" t="s">
        <v>483</v>
      </c>
      <c r="C2182" s="33" t="s">
        <v>483</v>
      </c>
      <c r="D2182" s="33" t="s">
        <v>483</v>
      </c>
    </row>
    <row r="2183" spans="1:5" ht="30" x14ac:dyDescent="0.25">
      <c r="A2183" s="33" t="s">
        <v>356</v>
      </c>
      <c r="B2183" s="33" t="s">
        <v>1636</v>
      </c>
      <c r="C2183" s="33" t="s">
        <v>1637</v>
      </c>
      <c r="D2183" s="33" t="s">
        <v>1638</v>
      </c>
    </row>
    <row r="2185" spans="1:5" x14ac:dyDescent="0.25">
      <c r="B2185" s="15" t="s">
        <v>1639</v>
      </c>
      <c r="C2185" s="15" t="s">
        <v>1640</v>
      </c>
      <c r="D2185" s="15" t="s">
        <v>1641</v>
      </c>
    </row>
    <row r="2186" spans="1:5" x14ac:dyDescent="0.25">
      <c r="A2186" s="4" t="s">
        <v>1811</v>
      </c>
      <c r="B2186" s="44">
        <f>C2165*B1636-C256</f>
        <v>-0.38775085657835007</v>
      </c>
      <c r="C2186" s="44">
        <f>D2165*C1636-D256</f>
        <v>-2.5453347563743591</v>
      </c>
      <c r="D2186" s="44">
        <f>E2165*D1636-E256+B2165-B256+B2186+C2186</f>
        <v>0.13548106700181961</v>
      </c>
      <c r="E2186" s="17"/>
    </row>
    <row r="2188" spans="1:5" ht="21" customHeight="1" x14ac:dyDescent="0.3">
      <c r="A2188" s="1" t="s">
        <v>1812</v>
      </c>
    </row>
    <row r="2189" spans="1:5" x14ac:dyDescent="0.25">
      <c r="A2189" s="2" t="s">
        <v>350</v>
      </c>
    </row>
    <row r="2190" spans="1:5" x14ac:dyDescent="0.25">
      <c r="A2190" s="32" t="s">
        <v>1813</v>
      </c>
    </row>
    <row r="2191" spans="1:5" x14ac:dyDescent="0.25">
      <c r="A2191" s="32" t="s">
        <v>1814</v>
      </c>
    </row>
    <row r="2192" spans="1:5" x14ac:dyDescent="0.25">
      <c r="A2192" s="32" t="s">
        <v>1815</v>
      </c>
    </row>
    <row r="2193" spans="1:1" x14ac:dyDescent="0.25">
      <c r="A2193" s="32" t="s">
        <v>1756</v>
      </c>
    </row>
    <row r="2194" spans="1:1" x14ac:dyDescent="0.25">
      <c r="A2194" s="32" t="s">
        <v>1816</v>
      </c>
    </row>
    <row r="2195" spans="1:1" x14ac:dyDescent="0.25">
      <c r="A2195" s="32" t="s">
        <v>1817</v>
      </c>
    </row>
    <row r="2196" spans="1:1" x14ac:dyDescent="0.25">
      <c r="A2196" s="32" t="s">
        <v>1818</v>
      </c>
    </row>
    <row r="2197" spans="1:1" x14ac:dyDescent="0.25">
      <c r="A2197" s="32" t="s">
        <v>1819</v>
      </c>
    </row>
    <row r="2198" spans="1:1" x14ac:dyDescent="0.25">
      <c r="A2198" s="32" t="s">
        <v>1820</v>
      </c>
    </row>
    <row r="2199" spans="1:1" x14ac:dyDescent="0.25">
      <c r="A2199" s="32" t="s">
        <v>1821</v>
      </c>
    </row>
    <row r="2200" spans="1:1" x14ac:dyDescent="0.25">
      <c r="A2200" s="32" t="s">
        <v>1822</v>
      </c>
    </row>
    <row r="2201" spans="1:1" x14ac:dyDescent="0.25">
      <c r="A2201" s="32" t="s">
        <v>1823</v>
      </c>
    </row>
    <row r="2202" spans="1:1" x14ac:dyDescent="0.25">
      <c r="A2202" s="32" t="s">
        <v>1824</v>
      </c>
    </row>
    <row r="2203" spans="1:1" x14ac:dyDescent="0.25">
      <c r="A2203" s="32" t="s">
        <v>1825</v>
      </c>
    </row>
    <row r="2204" spans="1:1" x14ac:dyDescent="0.25">
      <c r="A2204" s="32" t="s">
        <v>1826</v>
      </c>
    </row>
    <row r="2205" spans="1:1" x14ac:dyDescent="0.25">
      <c r="A2205" s="32" t="s">
        <v>1827</v>
      </c>
    </row>
    <row r="2206" spans="1:1" x14ac:dyDescent="0.25">
      <c r="A2206" s="32" t="s">
        <v>1828</v>
      </c>
    </row>
    <row r="2207" spans="1:1" x14ac:dyDescent="0.25">
      <c r="A2207" s="32" t="s">
        <v>1829</v>
      </c>
    </row>
    <row r="2208" spans="1:1" x14ac:dyDescent="0.25">
      <c r="A2208" s="32" t="s">
        <v>1830</v>
      </c>
    </row>
    <row r="2209" spans="1:5" x14ac:dyDescent="0.25">
      <c r="A2209" s="32" t="s">
        <v>1831</v>
      </c>
    </row>
    <row r="2210" spans="1:5" x14ac:dyDescent="0.25">
      <c r="A2210" s="32" t="s">
        <v>1832</v>
      </c>
    </row>
    <row r="2211" spans="1:5" x14ac:dyDescent="0.25">
      <c r="A2211" s="32" t="s">
        <v>1833</v>
      </c>
    </row>
    <row r="2212" spans="1:5" x14ac:dyDescent="0.25">
      <c r="A2212" s="32" t="s">
        <v>1834</v>
      </c>
    </row>
    <row r="2213" spans="1:5" x14ac:dyDescent="0.25">
      <c r="A2213" s="32" t="s">
        <v>1835</v>
      </c>
    </row>
    <row r="2214" spans="1:5" x14ac:dyDescent="0.25">
      <c r="A2214" s="2" t="s">
        <v>1727</v>
      </c>
    </row>
    <row r="2216" spans="1:5" x14ac:dyDescent="0.25">
      <c r="B2216" s="15" t="s">
        <v>1728</v>
      </c>
      <c r="C2216" s="15" t="s">
        <v>1729</v>
      </c>
      <c r="D2216" s="15" t="s">
        <v>1730</v>
      </c>
    </row>
    <row r="2217" spans="1:5" x14ac:dyDescent="0.25">
      <c r="A2217" s="4" t="s">
        <v>1728</v>
      </c>
      <c r="B2217" s="37">
        <f>0.000001*(B1823-B1571)/(B1647-B1395)</f>
        <v>18.664735896930662</v>
      </c>
      <c r="C2217" s="37">
        <f>0.000001*(C1823-C1571)/(B1647-B1395)</f>
        <v>3.1875244531688961E-2</v>
      </c>
      <c r="D2217" s="37">
        <f>0.000001*(D1823-D1571)/(B1647-B1395)</f>
        <v>18.76369938432315</v>
      </c>
      <c r="E2217" s="17"/>
    </row>
    <row r="2218" spans="1:5" x14ac:dyDescent="0.25">
      <c r="A2218" s="4" t="s">
        <v>1729</v>
      </c>
      <c r="B2218" s="37">
        <f>0.000001*(B2010-B1823)/(C1834-C1647)</f>
        <v>3.0455102700029268E-2</v>
      </c>
      <c r="C2218" s="37">
        <f>0.000001*(C2010-C1823)/(C1834-C1647)</f>
        <v>114.27648398570869</v>
      </c>
      <c r="D2218" s="37">
        <f>0.000001*(D2010-D1823)/(C1834-C1647)</f>
        <v>114.73144215505188</v>
      </c>
      <c r="E2218" s="17"/>
    </row>
    <row r="2219" spans="1:5" x14ac:dyDescent="0.25">
      <c r="A2219" s="4" t="s">
        <v>1730</v>
      </c>
      <c r="B2219" s="37">
        <f>0.000001*(B2186-B2010)/(D1636-D1834)</f>
        <v>1.9855905010388388E-2</v>
      </c>
      <c r="C2219" s="37">
        <f>0.000001*(C2186-C2010)/(D1636-D1834)</f>
        <v>0.13271614295661768</v>
      </c>
      <c r="D2219" s="37">
        <f>0.000001*(D2186-D2010)/(D1636-D1834)</f>
        <v>80.112843062869686</v>
      </c>
      <c r="E2219" s="17"/>
    </row>
    <row r="2221" spans="1:5" ht="21" customHeight="1" x14ac:dyDescent="0.3">
      <c r="A2221" s="1" t="s">
        <v>1836</v>
      </c>
    </row>
    <row r="2222" spans="1:5" x14ac:dyDescent="0.25">
      <c r="A2222" s="2" t="s">
        <v>350</v>
      </c>
    </row>
    <row r="2223" spans="1:5" x14ac:dyDescent="0.25">
      <c r="A2223" s="32" t="s">
        <v>1837</v>
      </c>
    </row>
    <row r="2224" spans="1:5" x14ac:dyDescent="0.25">
      <c r="A2224" s="2" t="s">
        <v>1727</v>
      </c>
    </row>
    <row r="2226" spans="1:5" x14ac:dyDescent="0.25">
      <c r="B2226" s="15" t="s">
        <v>1728</v>
      </c>
      <c r="C2226" s="15" t="s">
        <v>1729</v>
      </c>
      <c r="D2226" s="15" t="s">
        <v>1730</v>
      </c>
    </row>
    <row r="2227" spans="1:5" x14ac:dyDescent="0.25">
      <c r="A2227" s="4" t="s">
        <v>1728</v>
      </c>
      <c r="B2227" s="37">
        <f>C2218*D2219-D2218*C2219</f>
        <v>9139.7873128449519</v>
      </c>
      <c r="C2227" s="37">
        <f>D2218*B2219-B2218*D2219</f>
        <v>-0.16174824593544335</v>
      </c>
      <c r="D2227" s="37">
        <f>B2218*C2219-C2218*B2219</f>
        <v>-2.2650211271777061</v>
      </c>
      <c r="E2227" s="17"/>
    </row>
    <row r="2228" spans="1:5" x14ac:dyDescent="0.25">
      <c r="A2228" s="4" t="s">
        <v>1729</v>
      </c>
      <c r="B2228" s="37">
        <f>D2217*C2219-C2217*D2219</f>
        <v>-6.3370652872962285E-2</v>
      </c>
      <c r="C2228" s="37">
        <f>B2217*D2219-D2217*B2219</f>
        <v>1494.9124874880979</v>
      </c>
      <c r="D2228" s="37">
        <f>C2217*B2219-B2217*C2219</f>
        <v>-2.4764788457169593</v>
      </c>
      <c r="E2228" s="17"/>
    </row>
    <row r="2229" spans="1:5" x14ac:dyDescent="0.25">
      <c r="A2229" s="4" t="s">
        <v>1730</v>
      </c>
      <c r="B2229" s="37">
        <f>C2217*D2218-D2217*C2218</f>
        <v>-2140.5924994310913</v>
      </c>
      <c r="C2229" s="37">
        <f>D2217*B2218-B2217*D2218</f>
        <v>-2140.8606165062383</v>
      </c>
      <c r="D2229" s="37">
        <f>B2217*C2218-C2217*B2218</f>
        <v>2132.939422059233</v>
      </c>
      <c r="E2229" s="17"/>
    </row>
    <row r="2231" spans="1:5" ht="21" customHeight="1" x14ac:dyDescent="0.3">
      <c r="A2231" s="1" t="s">
        <v>1838</v>
      </c>
    </row>
    <row r="2232" spans="1:5" x14ac:dyDescent="0.25">
      <c r="A2232" s="2" t="s">
        <v>1734</v>
      </c>
    </row>
    <row r="2234" spans="1:5" x14ac:dyDescent="0.25">
      <c r="B2234" s="15" t="s">
        <v>1735</v>
      </c>
    </row>
    <row r="2235" spans="1:5" x14ac:dyDescent="0.25">
      <c r="A2235" s="4" t="s">
        <v>1735</v>
      </c>
      <c r="B2235" s="37">
        <f>SUMPRODUCT(B2217:D2217,B2227:D2227)</f>
        <v>170549.21101707421</v>
      </c>
      <c r="C2235" s="17"/>
    </row>
    <row r="2237" spans="1:5" ht="21" customHeight="1" x14ac:dyDescent="0.3">
      <c r="A2237" s="1" t="s">
        <v>1839</v>
      </c>
    </row>
    <row r="2238" spans="1:5" x14ac:dyDescent="0.25">
      <c r="A2238" s="2" t="s">
        <v>350</v>
      </c>
    </row>
    <row r="2239" spans="1:5" x14ac:dyDescent="0.25">
      <c r="A2239" s="32" t="s">
        <v>1751</v>
      </c>
    </row>
    <row r="2240" spans="1:5" x14ac:dyDescent="0.25">
      <c r="A2240" s="32" t="s">
        <v>1814</v>
      </c>
    </row>
    <row r="2241" spans="1:5" x14ac:dyDescent="0.25">
      <c r="A2241" s="32" t="s">
        <v>1840</v>
      </c>
    </row>
    <row r="2242" spans="1:5" x14ac:dyDescent="0.25">
      <c r="A2242" s="32" t="s">
        <v>1841</v>
      </c>
    </row>
    <row r="2243" spans="1:5" x14ac:dyDescent="0.25">
      <c r="A2243" s="32" t="s">
        <v>1842</v>
      </c>
    </row>
    <row r="2244" spans="1:5" x14ac:dyDescent="0.25">
      <c r="A2244" s="32" t="s">
        <v>1843</v>
      </c>
    </row>
    <row r="2245" spans="1:5" x14ac:dyDescent="0.25">
      <c r="A2245" s="32" t="s">
        <v>1844</v>
      </c>
    </row>
    <row r="2246" spans="1:5" x14ac:dyDescent="0.25">
      <c r="A2246" s="32" t="s">
        <v>1797</v>
      </c>
    </row>
    <row r="2247" spans="1:5" ht="30" x14ac:dyDescent="0.25">
      <c r="A2247" s="33" t="s">
        <v>353</v>
      </c>
      <c r="B2247" s="33" t="s">
        <v>421</v>
      </c>
      <c r="C2247" s="33" t="s">
        <v>421</v>
      </c>
      <c r="D2247" s="33" t="s">
        <v>421</v>
      </c>
    </row>
    <row r="2248" spans="1:5" ht="45" x14ac:dyDescent="0.25">
      <c r="A2248" s="33" t="s">
        <v>356</v>
      </c>
      <c r="B2248" s="33" t="s">
        <v>1743</v>
      </c>
      <c r="C2248" s="33" t="s">
        <v>1744</v>
      </c>
      <c r="D2248" s="33" t="s">
        <v>1745</v>
      </c>
    </row>
    <row r="2250" spans="1:5" ht="30" x14ac:dyDescent="0.25">
      <c r="B2250" s="15" t="s">
        <v>1746</v>
      </c>
      <c r="C2250" s="15" t="s">
        <v>1747</v>
      </c>
      <c r="D2250" s="15" t="s">
        <v>1748</v>
      </c>
    </row>
    <row r="2251" spans="1:5" x14ac:dyDescent="0.25">
      <c r="A2251" s="4" t="s">
        <v>1845</v>
      </c>
      <c r="B2251" s="37">
        <f>B1636-0.000001*(B2186*B2227+C2186*C2227+D2186*D2227)/B2235</f>
        <v>0.99872473764124736</v>
      </c>
      <c r="C2251" s="37">
        <f>C1636-0.000001*(B2186*B2228+C2186*C2228+D2186*D2228)/B2235</f>
        <v>0.99863955166467344</v>
      </c>
      <c r="D2251" s="37">
        <f>D1636-0.000001*(B2186*B2229+C2186*C2229+D2186*D2229)/B2235</f>
        <v>0.99592395095614283</v>
      </c>
      <c r="E2251" s="17"/>
    </row>
    <row r="2253" spans="1:5" ht="21" customHeight="1" x14ac:dyDescent="0.3">
      <c r="A2253" s="1" t="s">
        <v>1846</v>
      </c>
    </row>
    <row r="2254" spans="1:5" x14ac:dyDescent="0.25">
      <c r="A2254" s="2" t="s">
        <v>350</v>
      </c>
    </row>
    <row r="2255" spans="1:5" x14ac:dyDescent="0.25">
      <c r="A2255" s="32" t="s">
        <v>1598</v>
      </c>
    </row>
    <row r="2256" spans="1:5" x14ac:dyDescent="0.25">
      <c r="A2256" s="32" t="s">
        <v>1599</v>
      </c>
    </row>
    <row r="2257" spans="1:3" x14ac:dyDescent="0.25">
      <c r="A2257" s="32" t="s">
        <v>1600</v>
      </c>
    </row>
    <row r="2258" spans="1:3" x14ac:dyDescent="0.25">
      <c r="A2258" s="32" t="s">
        <v>1847</v>
      </c>
    </row>
    <row r="2259" spans="1:3" x14ac:dyDescent="0.25">
      <c r="A2259" s="32" t="s">
        <v>1602</v>
      </c>
    </row>
    <row r="2260" spans="1:3" x14ac:dyDescent="0.25">
      <c r="A2260" s="32" t="s">
        <v>1848</v>
      </c>
    </row>
    <row r="2261" spans="1:3" x14ac:dyDescent="0.25">
      <c r="A2261" s="32" t="s">
        <v>1604</v>
      </c>
    </row>
    <row r="2262" spans="1:3" x14ac:dyDescent="0.25">
      <c r="A2262" s="32" t="s">
        <v>1849</v>
      </c>
    </row>
    <row r="2263" spans="1:3" x14ac:dyDescent="0.25">
      <c r="A2263" s="2" t="s">
        <v>1606</v>
      </c>
    </row>
    <row r="2265" spans="1:3" ht="30" x14ac:dyDescent="0.25">
      <c r="B2265" s="15" t="s">
        <v>1850</v>
      </c>
    </row>
    <row r="2266" spans="1:3" x14ac:dyDescent="0.25">
      <c r="A2266" s="4" t="s">
        <v>171</v>
      </c>
      <c r="B2266" s="37">
        <f t="shared" ref="B2266:B2290" si="21">IF(F823,(B823+C823*B$2251+D823*C$2251+E823*D$2251)/F823*0.1,0)</f>
        <v>2.527910518381578</v>
      </c>
      <c r="C2266" s="17"/>
    </row>
    <row r="2267" spans="1:3" x14ac:dyDescent="0.25">
      <c r="A2267" s="4" t="s">
        <v>1567</v>
      </c>
      <c r="B2267" s="37">
        <f t="shared" si="21"/>
        <v>1.5842640501993379</v>
      </c>
      <c r="C2267" s="17"/>
    </row>
    <row r="2268" spans="1:3" x14ac:dyDescent="0.25">
      <c r="A2268" s="4" t="s">
        <v>173</v>
      </c>
      <c r="B2268" s="37">
        <f t="shared" si="21"/>
        <v>2.1754894268200582</v>
      </c>
      <c r="C2268" s="17"/>
    </row>
    <row r="2269" spans="1:3" ht="30" x14ac:dyDescent="0.25">
      <c r="A2269" s="4" t="s">
        <v>1568</v>
      </c>
      <c r="B2269" s="37">
        <f t="shared" si="21"/>
        <v>1.5997068627503535</v>
      </c>
      <c r="C2269" s="17"/>
    </row>
    <row r="2270" spans="1:3" x14ac:dyDescent="0.25">
      <c r="A2270" s="4" t="s">
        <v>175</v>
      </c>
      <c r="B2270" s="37">
        <f t="shared" si="21"/>
        <v>0</v>
      </c>
      <c r="C2270" s="17"/>
    </row>
    <row r="2271" spans="1:3" x14ac:dyDescent="0.25">
      <c r="A2271" s="4" t="s">
        <v>176</v>
      </c>
      <c r="B2271" s="37">
        <f t="shared" si="21"/>
        <v>0</v>
      </c>
      <c r="C2271" s="17"/>
    </row>
    <row r="2272" spans="1:3" x14ac:dyDescent="0.25">
      <c r="A2272" s="4" t="s">
        <v>192</v>
      </c>
      <c r="B2272" s="37">
        <f t="shared" si="21"/>
        <v>1.4878405258634864</v>
      </c>
      <c r="C2272" s="17"/>
    </row>
    <row r="2273" spans="1:3" x14ac:dyDescent="0.25">
      <c r="A2273" s="4" t="s">
        <v>177</v>
      </c>
      <c r="B2273" s="37">
        <f t="shared" si="21"/>
        <v>0</v>
      </c>
      <c r="C2273" s="17"/>
    </row>
    <row r="2274" spans="1:3" x14ac:dyDescent="0.25">
      <c r="A2274" s="4" t="s">
        <v>178</v>
      </c>
      <c r="B2274" s="37">
        <f t="shared" si="21"/>
        <v>1.9940862732133831</v>
      </c>
      <c r="C2274" s="17"/>
    </row>
    <row r="2275" spans="1:3" x14ac:dyDescent="0.25">
      <c r="A2275" s="4" t="s">
        <v>179</v>
      </c>
      <c r="B2275" s="37">
        <f t="shared" si="21"/>
        <v>2.2656723102241783</v>
      </c>
      <c r="C2275" s="17"/>
    </row>
    <row r="2276" spans="1:3" x14ac:dyDescent="0.25">
      <c r="A2276" s="4" t="s">
        <v>180</v>
      </c>
      <c r="B2276" s="37">
        <f t="shared" si="21"/>
        <v>1.839174271065283</v>
      </c>
      <c r="C2276" s="17"/>
    </row>
    <row r="2277" spans="1:3" x14ac:dyDescent="0.25">
      <c r="A2277" s="4" t="s">
        <v>193</v>
      </c>
      <c r="B2277" s="37">
        <f t="shared" si="21"/>
        <v>1.1929879704268023</v>
      </c>
      <c r="C2277" s="17"/>
    </row>
    <row r="2278" spans="1:3" x14ac:dyDescent="0.25">
      <c r="A2278" s="4" t="s">
        <v>215</v>
      </c>
      <c r="B2278" s="37">
        <f t="shared" si="21"/>
        <v>2.8473711191617674</v>
      </c>
      <c r="C2278" s="17"/>
    </row>
    <row r="2279" spans="1:3" x14ac:dyDescent="0.25">
      <c r="A2279" s="4" t="s">
        <v>216</v>
      </c>
      <c r="B2279" s="37">
        <f t="shared" si="21"/>
        <v>3.2191680435423606</v>
      </c>
      <c r="C2279" s="17"/>
    </row>
    <row r="2280" spans="1:3" x14ac:dyDescent="0.25">
      <c r="A2280" s="4" t="s">
        <v>217</v>
      </c>
      <c r="B2280" s="37">
        <f t="shared" si="21"/>
        <v>4.6457470453320946</v>
      </c>
      <c r="C2280" s="17"/>
    </row>
    <row r="2281" spans="1:3" x14ac:dyDescent="0.25">
      <c r="A2281" s="4" t="s">
        <v>218</v>
      </c>
      <c r="B2281" s="37">
        <f t="shared" si="21"/>
        <v>2.6666101280652783</v>
      </c>
      <c r="C2281" s="17"/>
    </row>
    <row r="2282" spans="1:3" x14ac:dyDescent="0.25">
      <c r="A2282" s="4" t="s">
        <v>219</v>
      </c>
      <c r="B2282" s="37">
        <f t="shared" si="21"/>
        <v>3.3986350193973758</v>
      </c>
      <c r="C2282" s="17"/>
    </row>
    <row r="2283" spans="1:3" x14ac:dyDescent="0.25">
      <c r="A2283" s="4" t="s">
        <v>181</v>
      </c>
      <c r="B2283" s="37">
        <f t="shared" si="21"/>
        <v>-0.91165717615701236</v>
      </c>
      <c r="C2283" s="17"/>
    </row>
    <row r="2284" spans="1:3" x14ac:dyDescent="0.25">
      <c r="A2284" s="4" t="s">
        <v>182</v>
      </c>
      <c r="B2284" s="37">
        <f t="shared" si="21"/>
        <v>0</v>
      </c>
      <c r="C2284" s="17"/>
    </row>
    <row r="2285" spans="1:3" x14ac:dyDescent="0.25">
      <c r="A2285" s="4" t="s">
        <v>183</v>
      </c>
      <c r="B2285" s="37">
        <f t="shared" si="21"/>
        <v>-0.90476466705003655</v>
      </c>
      <c r="C2285" s="17"/>
    </row>
    <row r="2286" spans="1:3" x14ac:dyDescent="0.25">
      <c r="A2286" s="4" t="s">
        <v>184</v>
      </c>
      <c r="B2286" s="37">
        <f t="shared" si="21"/>
        <v>-0.8197154716113314</v>
      </c>
      <c r="C2286" s="17"/>
    </row>
    <row r="2287" spans="1:3" x14ac:dyDescent="0.25">
      <c r="A2287" s="4" t="s">
        <v>185</v>
      </c>
      <c r="B2287" s="37">
        <f t="shared" si="21"/>
        <v>-0.72616726358220818</v>
      </c>
      <c r="C2287" s="17"/>
    </row>
    <row r="2288" spans="1:3" x14ac:dyDescent="0.25">
      <c r="A2288" s="4" t="s">
        <v>186</v>
      </c>
      <c r="B2288" s="37">
        <f t="shared" si="21"/>
        <v>-0.56588712000899644</v>
      </c>
      <c r="C2288" s="17"/>
    </row>
    <row r="2289" spans="1:3" x14ac:dyDescent="0.25">
      <c r="A2289" s="4" t="s">
        <v>194</v>
      </c>
      <c r="B2289" s="37">
        <f t="shared" si="21"/>
        <v>-0.52159950538056732</v>
      </c>
      <c r="C2289" s="17"/>
    </row>
    <row r="2290" spans="1:3" x14ac:dyDescent="0.25">
      <c r="A2290" s="4" t="s">
        <v>195</v>
      </c>
      <c r="B2290" s="37">
        <f t="shared" si="21"/>
        <v>-0.48381930228522751</v>
      </c>
      <c r="C2290" s="17"/>
    </row>
  </sheetData>
  <sheetProtection sheet="1" objects="1" scenarios="1"/>
  <hyperlinks>
    <hyperlink ref="A10" location="'Aggreg'!B14" display="x1 = 3301. Unit rate 1 p/kWh (elements)"/>
    <hyperlink ref="A11" location="'G-Calc'!B5" display="x2 = 4301. Levels containing asset charges"/>
    <hyperlink ref="A12" location="'Aggreg'!B52" display="x3 = 3302. Unit rate 2 p/kWh (elements)"/>
    <hyperlink ref="A13" location="'Aggreg'!B90" display="x4 = 3303. Unit rate 3 p/kWh (elements)"/>
    <hyperlink ref="A14" location="'Aggreg'!B128" display="x5 = 3304. Fixed charge p/MPAN/day (elements)"/>
    <hyperlink ref="A15" location="'Aggreg'!B162" display="x6 = 3305. Capacity charge p/kVA/day (elements)"/>
    <hyperlink ref="A16" location="'Aggreg'!B197" display="x7 = 3306. Reactive power charge p/kVArh (elements)"/>
    <hyperlink ref="A56" location="'Aggreg'!B14" display="x1 = 3301. Unit rate 1 p/kWh (elements)"/>
    <hyperlink ref="A57" location="'G-Calc'!B51" display="x2 = 4303. Levels containing transmission exit charges"/>
    <hyperlink ref="A58" location="'Aggreg'!B52" display="x3 = 3302. Unit rate 2 p/kWh (elements)"/>
    <hyperlink ref="A59" location="'Aggreg'!B90" display="x4 = 3303. Unit rate 3 p/kWh (elements)"/>
    <hyperlink ref="A60" location="'Aggreg'!B128" display="x5 = 3304. Fixed charge p/MPAN/day (elements)"/>
    <hyperlink ref="A61" location="'Aggreg'!B162" display="x6 = 3305. Capacity charge p/kVA/day (elements)"/>
    <hyperlink ref="A62" location="'Aggreg'!B197" display="x7 = 3306. Reactive power charge p/kVArh (elements)"/>
    <hyperlink ref="A102" location="'Aggreg'!B14" display="x1 = 3301. Unit rate 1 p/kWh (elements)"/>
    <hyperlink ref="A103" location="'G-Calc'!B97" display="x2 = 4305. Levels containing other expenditure charges"/>
    <hyperlink ref="A104" location="'Aggreg'!B52" display="x3 = 3302. Unit rate 2 p/kWh (elements)"/>
    <hyperlink ref="A105" location="'Aggreg'!B90" display="x4 = 3303. Unit rate 3 p/kWh (elements)"/>
    <hyperlink ref="A106" location="'Aggreg'!B128" display="x5 = 3304. Fixed charge p/MPAN/day (elements)"/>
    <hyperlink ref="A107" location="'Aggreg'!B162" display="x6 = 3305. Capacity charge p/kVA/day (elements)"/>
    <hyperlink ref="A108" location="'Aggreg'!B197" display="x7 = 3306. Reactive power charge p/kVArh (elements)"/>
    <hyperlink ref="A143" location="'Scaler'!B415" display="x1 = 3510. Unit rate 1 p/kWh scaler (in Scaler)"/>
    <hyperlink ref="A144" location="'Scaler'!C415" display="x2 = 3510. Unit rate 2 p/kWh scaler (in Scaler)"/>
    <hyperlink ref="A145" location="'Scaler'!D415" display="x3 = 3510. Unit rate 3 p/kWh scaler (in Scaler)"/>
    <hyperlink ref="A146" location="'Scaler'!E415" display="x4 = 3510. Fixed charge p/MPAN/day scaler (in Scaler)"/>
    <hyperlink ref="A147" location="'Scaler'!F415" display="x5 = 3510. Capacity charge p/kVA/day scaler (in Scaler)"/>
    <hyperlink ref="A148" location="'Scaler'!G415" display="x6 = 3510. Reactive power charge p/kVArh scaler (in Scaler)"/>
    <hyperlink ref="A183" location="'Input'!F57" display="x1 = 1010. Days in the charging year (in Financial and general assumptions)"/>
    <hyperlink ref="A184" location="'G-Calc'!E20" display="x2 = 4302. Asset contributions to Fixed charge p/MPAN/day (in Unrounded tariff analysis: Asset charges)"/>
    <hyperlink ref="A185" location="'Loads'!E301" display="x3 = 2305. MPANs (in Equivalent volume for each end user)"/>
    <hyperlink ref="A186" location="'G-Calc'!F20" display="x4 = 4302. Asset contributions to Capacity charge p/kVA/day (in Unrounded tariff analysis: Asset charges)"/>
    <hyperlink ref="A187" location="'Loads'!F301" display="x5 = 2305. Import capacity (kVA) (in Equivalent volume for each end user)"/>
    <hyperlink ref="A188" location="'G-Calc'!B20" display="x6 = 4302. Asset contributions to Unit rate 1 p/kWh (in Unrounded tariff analysis: Asset charges)"/>
    <hyperlink ref="A189" location="'Loads'!B301" display="x7 = 2305. Rate 1 units (MWh) (in Equivalent volume for each end user)"/>
    <hyperlink ref="A190" location="'G-Calc'!C20" display="x8 = 4302. Asset contributions to Unit rate 2 p/kWh (in Unrounded tariff analysis: Asset charges)"/>
    <hyperlink ref="A191" location="'Loads'!C301" display="x9 = 2305. Rate 2 units (MWh) (in Equivalent volume for each end user)"/>
    <hyperlink ref="A192" location="'G-Calc'!D20" display="x10 = 4302. Asset contributions to Unit rate 3 p/kWh (in Unrounded tariff analysis: Asset charges)"/>
    <hyperlink ref="A193" location="'Loads'!D301" display="x11 = 2305. Rate 3 units (MWh) (in Equivalent volume for each end user)"/>
    <hyperlink ref="A194" location="'G-Calc'!G20" display="x12 = 4302. Asset contributions to Reactive power charge p/kVArh (in Unrounded tariff analysis: Asset charges)"/>
    <hyperlink ref="A195" location="'Loads'!G301" display="x13 = 2305. Reactive power units (MVArh) (in Equivalent volume for each end user)"/>
    <hyperlink ref="A196" location="'G-Calc'!E66" display="x14 = 4304. Transmission exit contributions to Fixed charge p/MPAN/day (in Unrounded tariff analysis: Transmission exit charges)"/>
    <hyperlink ref="A197" location="'G-Calc'!F66" display="x15 = 4304. Transmission exit contributions to Capacity charge p/kVA/day (in Unrounded tariff analysis: Transmission exit charges)"/>
    <hyperlink ref="A198" location="'G-Calc'!B66" display="x16 = 4304. Transmission exit contributions to Unit rate 1 p/kWh (in Unrounded tariff analysis: Transmission exit charges)"/>
    <hyperlink ref="A199" location="'G-Calc'!C66" display="x17 = 4304. Transmission exit contributions to Unit rate 2 p/kWh (in Unrounded tariff analysis: Transmission exit charges)"/>
    <hyperlink ref="A200" location="'G-Calc'!D66" display="x18 = 4304. Transmission exit contributions to Unit rate 3 p/kWh (in Unrounded tariff analysis: Transmission exit charges)"/>
    <hyperlink ref="A201" location="'G-Calc'!G66" display="x19 = 4304. Transmission exit contributions to Reactive power charge p/kVArh (in Unrounded tariff analysis: Transmission exit charges)"/>
    <hyperlink ref="A202" location="'G-Calc'!E112" display="x20 = 4306. Other expenditure contributions to Fixed charge p/MPAN/day (in Unrounded tariff analysis: Other expenditure charges)"/>
    <hyperlink ref="A203" location="'G-Calc'!F112" display="x21 = 4306. Other expenditure contributions to Capacity charge p/kVA/day (in Unrounded tariff analysis: Other expenditure charges)"/>
    <hyperlink ref="A204" location="'G-Calc'!B112" display="x22 = 4306. Other expenditure contributions to Unit rate 1 p/kWh (in Unrounded tariff analysis: Other expenditure charges)"/>
    <hyperlink ref="A205" location="'G-Calc'!C112" display="x23 = 4306. Other expenditure contributions to Unit rate 2 p/kWh (in Unrounded tariff analysis: Other expenditure charges)"/>
    <hyperlink ref="A206" location="'G-Calc'!D112" display="x24 = 4306. Other expenditure contributions to Unit rate 3 p/kWh (in Unrounded tariff analysis: Other expenditure charges)"/>
    <hyperlink ref="A207" location="'G-Calc'!G112" display="x25 = 4306. Other expenditure contributions to Reactive power charge p/kVArh (in Unrounded tariff analysis: Other expenditure charges)"/>
    <hyperlink ref="A208" location="'G-Calc'!E152" display="x26 = 4307. Matching contributions to Fixed charge p/MPAN/day (in Unrounded tariff analysis: Matching charges)"/>
    <hyperlink ref="A209" location="'G-Calc'!F152" display="x27 = 4307. Matching contributions to Capacity charge p/kVA/day (in Unrounded tariff analysis: Matching charges)"/>
    <hyperlink ref="A210" location="'G-Calc'!B152" display="x28 = 4307. Matching contributions to Unit rate 1 p/kWh (in Unrounded tariff analysis: Matching charges)"/>
    <hyperlink ref="A211" location="'G-Calc'!C152" display="x29 = 4307. Matching contributions to Unit rate 2 p/kWh (in Unrounded tariff analysis: Matching charges)"/>
    <hyperlink ref="A212" location="'G-Calc'!D152" display="x30 = 4307. Matching contributions to Unit rate 3 p/kWh (in Unrounded tariff analysis: Matching charges)"/>
    <hyperlink ref="A213" location="'G-Calc'!G152" display="x31 = 4307. Matching contributions to Reactive power charge p/kVArh (in Unrounded tariff analysis: Matching charges)"/>
    <hyperlink ref="A248" location="'G-Calc'!B217" display="x1 = 4308. Baseline revenues from asset charges (£/year) (in Unrounded revenue analysis (baseline))"/>
    <hyperlink ref="A249" location="'G-Calc'!C217" display="x2 = 4308. Baseline revenues from transmission exit charges (£/year) (in Unrounded revenue analysis (baseline))"/>
    <hyperlink ref="A250" location="'G-Calc'!D217" display="x3 = 4308. Baseline revenues from other expenditure charges (£/year) (in Unrounded revenue analysis (baseline))"/>
    <hyperlink ref="A251" location="'G-Calc'!E217" display="x4 = 4308. Baseline revenues from matching charges (£/year) (in Unrounded revenue analysis (baseline))"/>
    <hyperlink ref="A261" location="'Input'!E190" display="x2 = 1053. MPANs by tariff (in Volume forecasts for the charging year)"/>
    <hyperlink ref="A365" location="'Input'!F57" display="x1 = 1010. Days in the charging year (in Financial and general assumptions)"/>
    <hyperlink ref="A366" location="'G-Calc'!E20" display="x2 = 4302. Asset contributions to Fixed charge p/MPAN/day (in Unrounded tariff analysis: Asset charges)"/>
    <hyperlink ref="A367" location="'G-Calc'!B264" display="x3 = 4310. MPANs excluding LDNO generation"/>
    <hyperlink ref="A368" location="'G-Calc'!F20" display="x4 = 4302. Asset contributions to Capacity charge p/kVA/day (in Unrounded tariff analysis: Asset charges)"/>
    <hyperlink ref="A369" location="'Input'!F190" display="x5 = 1053. Import capacity (kVA) by tariff (in Volume forecasts for the charging year)"/>
    <hyperlink ref="A370" location="'G-Calc'!B20" display="x6 = 4302. Asset contributions to Unit rate 1 p/kWh (in Unrounded tariff analysis: Asset charges)"/>
    <hyperlink ref="A371" location="'Input'!B190" display="x7 = 1053. Rate 1 units (MWh) by tariff (in Volume forecasts for the charging year)"/>
    <hyperlink ref="A372" location="'G-Calc'!C20" display="x8 = 4302. Asset contributions to Unit rate 2 p/kWh (in Unrounded tariff analysis: Asset charges)"/>
    <hyperlink ref="A373" location="'Input'!C190" display="x9 = 1053. Rate 2 units (MWh) by tariff (in Volume forecasts for the charging year)"/>
    <hyperlink ref="A374" location="'G-Calc'!D20" display="x10 = 4302. Asset contributions to Unit rate 3 p/kWh (in Unrounded tariff analysis: Asset charges)"/>
    <hyperlink ref="A375" location="'Input'!D190" display="x11 = 1053. Rate 3 units (MWh) by tariff (in Volume forecasts for the charging year)"/>
    <hyperlink ref="A376" location="'G-Calc'!G20" display="x12 = 4302. Asset contributions to Reactive power charge p/kVArh (in Unrounded tariff analysis: Asset charges)"/>
    <hyperlink ref="A377" location="'Input'!G190" display="x13 = 1053. Reactive power units (MVArh) by tariff (in Volume forecasts for the charging year)"/>
    <hyperlink ref="A378" location="'G-Calc'!E66" display="x14 = 4304. Transmission exit contributions to Fixed charge p/MPAN/day (in Unrounded tariff analysis: Transmission exit charges)"/>
    <hyperlink ref="A379" location="'G-Calc'!F66" display="x15 = 4304. Transmission exit contributions to Capacity charge p/kVA/day (in Unrounded tariff analysis: Transmission exit charges)"/>
    <hyperlink ref="A380" location="'G-Calc'!B66" display="x16 = 4304. Transmission exit contributions to Unit rate 1 p/kWh (in Unrounded tariff analysis: Transmission exit charges)"/>
    <hyperlink ref="A381" location="'G-Calc'!C66" display="x17 = 4304. Transmission exit contributions to Unit rate 2 p/kWh (in Unrounded tariff analysis: Transmission exit charges)"/>
    <hyperlink ref="A382" location="'G-Calc'!D66" display="x18 = 4304. Transmission exit contributions to Unit rate 3 p/kWh (in Unrounded tariff analysis: Transmission exit charges)"/>
    <hyperlink ref="A383" location="'G-Calc'!G66" display="x19 = 4304. Transmission exit contributions to Reactive power charge p/kVArh (in Unrounded tariff analysis: Transmission exit charges)"/>
    <hyperlink ref="A384" location="'G-Calc'!E112" display="x20 = 4306. Other expenditure contributions to Fixed charge p/MPAN/day (in Unrounded tariff analysis: Other expenditure charges)"/>
    <hyperlink ref="A385" location="'G-Calc'!F112" display="x21 = 4306. Other expenditure contributions to Capacity charge p/kVA/day (in Unrounded tariff analysis: Other expenditure charges)"/>
    <hyperlink ref="A386" location="'G-Calc'!B112" display="x22 = 4306. Other expenditure contributions to Unit rate 1 p/kWh (in Unrounded tariff analysis: Other expenditure charges)"/>
    <hyperlink ref="A387" location="'G-Calc'!C112" display="x23 = 4306. Other expenditure contributions to Unit rate 2 p/kWh (in Unrounded tariff analysis: Other expenditure charges)"/>
    <hyperlink ref="A388" location="'G-Calc'!D112" display="x24 = 4306. Other expenditure contributions to Unit rate 3 p/kWh (in Unrounded tariff analysis: Other expenditure charges)"/>
    <hyperlink ref="A389" location="'G-Calc'!G112" display="x25 = 4306. Other expenditure contributions to Reactive power charge p/kVArh (in Unrounded tariff analysis: Other expenditure charges)"/>
    <hyperlink ref="A390" location="'G-Calc'!E152" display="x26 = 4307. Matching contributions to Fixed charge p/MPAN/day (in Unrounded tariff analysis: Matching charges)"/>
    <hyperlink ref="A391" location="'G-Calc'!F152" display="x27 = 4307. Matching contributions to Capacity charge p/kVA/day (in Unrounded tariff analysis: Matching charges)"/>
    <hyperlink ref="A392" location="'G-Calc'!B152" display="x28 = 4307. Matching contributions to Unit rate 1 p/kWh (in Unrounded tariff analysis: Matching charges)"/>
    <hyperlink ref="A393" location="'G-Calc'!C152" display="x29 = 4307. Matching contributions to Unit rate 2 p/kWh (in Unrounded tariff analysis: Matching charges)"/>
    <hyperlink ref="A394" location="'G-Calc'!D152" display="x30 = 4307. Matching contributions to Unit rate 3 p/kWh (in Unrounded tariff analysis: Matching charges)"/>
    <hyperlink ref="A395" location="'G-Calc'!G152" display="x31 = 4307. Matching contributions to Reactive power charge p/kVArh (in Unrounded tariff analysis: Matching charges)"/>
    <hyperlink ref="A500" location="'Loads'!B76" display="x1 = 2303. Discount map"/>
    <hyperlink ref="A602" location="'G-Calc'!B503" display="x1 = 4312. Discount map (re-grouped)"/>
    <hyperlink ref="A603" location="'Input'!B158" display="x2 = 1039. LDNO discounts (p/kWh)"/>
    <hyperlink ref="A705" location="'G-Calc'!B399" display="x1 = 4311. Revenues from asset charges (£/year) (in Unrounded revenue analysis)"/>
    <hyperlink ref="A706" location="'G-Calc'!C399" display="x2 = 4311. Revenues from transmission exit charges (£/year) (in Unrounded revenue analysis)"/>
    <hyperlink ref="A707" location="'G-Calc'!D399" display="x3 = 4311. Revenues from other expenditure charges (£/year) (in Unrounded revenue analysis)"/>
    <hyperlink ref="A708" location="'G-Calc'!E399" display="x4 = 4311. Revenues from matching charges (£/year) (in Unrounded revenue analysis)"/>
    <hyperlink ref="A709" location="'Input'!B190" display="x5 = 1053. Rate 1 units (MWh) by tariff (in Volume forecasts for the charging year)"/>
    <hyperlink ref="A710" location="'Input'!C190" display="x6 = 1053. Rate 2 units (MWh) by tariff (in Volume forecasts for the charging year)"/>
    <hyperlink ref="A711" location="'Input'!D190" display="x7 = 1053. Rate 3 units (MWh) by tariff (in Volume forecasts for the charging year)"/>
    <hyperlink ref="A814" location="'G-Calc'!B715" display="x1 = 4314. Revenues from asset charges (£/year) (in Unrounded revenue analysis) (in Unrounded revenue analysis (with reordered tariff list))"/>
    <hyperlink ref="A815" location="'G-Calc'!C715" display="x2 = 4314. Revenues from transmission exit charges (£/year) (in Unrounded revenue analysis) (in Unrounded revenue analysis (with reordered tariff list))"/>
    <hyperlink ref="A816" location="'G-Calc'!D715" display="x3 = 4314. Revenues from other expenditure charges (£/year) (in Unrounded revenue analysis) (in Unrounded revenue analysis (with reordered tariff list))"/>
    <hyperlink ref="A817" location="'G-Calc'!E715" display="x4 = 4314. Revenues from matching charges (£/year) (in Unrounded revenue analysis) (in Unrounded revenue analysis (with reordered tariff list))"/>
    <hyperlink ref="A818" location="'G-Calc'!F715" display="x5 = 4314. Total MWh (in Unrounded revenue analysis (with reordered tariff list))"/>
    <hyperlink ref="A856" location="'G-Calc'!F822" display="x1 = 4315. Grouped units (MWh) (in Unrounded revenue analysis (by tariff group))"/>
    <hyperlink ref="A857" location="'G-Calc'!B822" display="x2 = 4315. Grouped revenues from asset charges (£/year) (in Unrounded revenue analysis (by tariff group))"/>
    <hyperlink ref="A858" location="'G-Calc'!C822" display="x3 = 4315. Grouped revenues from transmission exit charges (£/year) (in Unrounded revenue analysis (by tariff group))"/>
    <hyperlink ref="A859" location="'G-Calc'!B851" display="x4 = 4316. Scaling factor for revenues from transmission exit charges (£/year) (in Scaling factors for run 1)"/>
    <hyperlink ref="A860" location="'G-Calc'!D822" display="x5 = 4315. Grouped revenues from other expenditure charges (£/year) (in Unrounded revenue analysis (by tariff group))"/>
    <hyperlink ref="A861" location="'G-Calc'!C851" display="x6 = 4316. Scaling factor for revenues from other expenditure charges (£/year) (in Scaling factors for run 1)"/>
    <hyperlink ref="A862" location="'G-Calc'!E822" display="x7 = 4315. Grouped revenues from matching charges (£/year) (in Unrounded revenue analysis (by tariff group))"/>
    <hyperlink ref="A863" location="'G-Calc'!D851" display="x8 = 4316. Scaling factor for revenues from matching charges (£/year) (in Scaling factors for run 1)"/>
    <hyperlink ref="A895" location="'G-Calc'!B866" display="x1 = 4317. Average p/kWh"/>
    <hyperlink ref="A896" location="'G-Calc'!B606" display="x2 = 4313. Discount for each tariff (except for fixed charges)"/>
    <hyperlink ref="A998" location="'G-Calc'!B899" display="x1 = 4318. Chargeable percentage"/>
    <hyperlink ref="A999" location="'G-Calc'!B715" display="x2 = 4314. Revenues from asset charges (£/year) (in Unrounded revenue analysis) (in Unrounded revenue analysis (with reordered tariff list))"/>
    <hyperlink ref="A1000" location="'G-Calc'!C715" display="x3 = 4314. Revenues from transmission exit charges (£/year) (in Unrounded revenue analysis) (in Unrounded revenue analysis (with reordered tariff list))"/>
    <hyperlink ref="A1001" location="'G-Calc'!D715" display="x4 = 4314. Revenues from other expenditure charges (£/year) (in Unrounded revenue analysis) (in Unrounded revenue analysis (with reordered tariff list))"/>
    <hyperlink ref="A1002" location="'G-Calc'!E715" display="x5 = 4314. Revenues from matching charges (£/year) (in Unrounded revenue analysis) (in Unrounded revenue analysis (with reordered tariff list))"/>
    <hyperlink ref="A1011" location="'G-Calc'!C1006" display="x1 = 4319. Revenues from transmission exit charges (£/year) (in Total discounted revenue by charge category)"/>
    <hyperlink ref="A1012" location="'G-Calc'!B851" display="x2 = 4316. Scaling factor for revenues from transmission exit charges (£/year) (in Scaling factors for run 1)"/>
    <hyperlink ref="A1013" location="'G-Calc'!C255" display="x3 = 4309. Baseline revenues from transmission exit charges (£/year) (in Unrounded revenue analysis (baseline totals))"/>
    <hyperlink ref="A1014" location="'G-Calc'!D1006" display="x4 = 4319. Revenues from other expenditure charges (£/year) (in Total discounted revenue by charge category)"/>
    <hyperlink ref="A1015" location="'G-Calc'!C851" display="x5 = 4316. Scaling factor for revenues from other expenditure charges (£/year) (in Scaling factors for run 1)"/>
    <hyperlink ref="A1016" location="'G-Calc'!D255" display="x6 = 4309. Baseline revenues from other expenditure charges (£/year) (in Unrounded revenue analysis (baseline totals))"/>
    <hyperlink ref="A1017" location="'G-Calc'!E1006" display="x7 = 4319. Revenues from matching charges (£/year) (in Total discounted revenue by charge category)"/>
    <hyperlink ref="A1018" location="'G-Calc'!D851" display="x8 = 4316. Scaling factor for revenues from matching charges (£/year) (in Scaling factors for run 1)"/>
    <hyperlink ref="A1019" location="'G-Calc'!E255" display="x9 = 4309. Baseline revenues from matching charges (£/year) (in Unrounded revenue analysis (baseline totals))"/>
    <hyperlink ref="A1020" location="'G-Calc'!B1006" display="x10 = 4319. Revenues from asset charges (£/year) (in Total discounted revenue by charge category)"/>
    <hyperlink ref="A1021" location="'G-Calc'!B255" display="x11 = 4309. Baseline revenues from asset charges (£/year) (in Unrounded revenue analysis (baseline totals))"/>
    <hyperlink ref="A1022" location="'G-Calc'!B1027" display="x12 = Error 1 (in Error values from run 1)"/>
    <hyperlink ref="A1023" location="'G-Calc'!C1027" display="x13 = Error 2 (in Error values from run 1)"/>
    <hyperlink ref="A1037" location="'G-Calc'!F822" display="x1 = 4315. Grouped units (MWh) (in Unrounded revenue analysis (by tariff group))"/>
    <hyperlink ref="A1038" location="'G-Calc'!B822" display="x2 = 4315. Grouped revenues from asset charges (£/year) (in Unrounded revenue analysis (by tariff group))"/>
    <hyperlink ref="A1039" location="'G-Calc'!C822" display="x3 = 4315. Grouped revenues from transmission exit charges (£/year) (in Unrounded revenue analysis (by tariff group))"/>
    <hyperlink ref="A1040" location="'G-Calc'!B1032" display="x4 = 4321. Scaling factor for revenues from transmission exit charges (£/year) (in Scaling factors for run 2)"/>
    <hyperlink ref="A1041" location="'G-Calc'!D822" display="x5 = 4315. Grouped revenues from other expenditure charges (£/year) (in Unrounded revenue analysis (by tariff group))"/>
    <hyperlink ref="A1042" location="'G-Calc'!C1032" display="x6 = 4321. Scaling factor for revenues from other expenditure charges (£/year) (in Scaling factors for run 2)"/>
    <hyperlink ref="A1043" location="'G-Calc'!E822" display="x7 = 4315. Grouped revenues from matching charges (£/year) (in Unrounded revenue analysis (by tariff group))"/>
    <hyperlink ref="A1044" location="'G-Calc'!D1032" display="x8 = 4321. Scaling factor for revenues from matching charges (£/year) (in Scaling factors for run 2)"/>
    <hyperlink ref="A1076" location="'G-Calc'!B1047" display="x1 = 4322. Average p/kWh"/>
    <hyperlink ref="A1077" location="'G-Calc'!B606" display="x2 = 4313. Discount for each tariff (except for fixed charges)"/>
    <hyperlink ref="A1179" location="'G-Calc'!B1080" display="x1 = 4323. Chargeable percentage"/>
    <hyperlink ref="A1180" location="'G-Calc'!B715" display="x2 = 4314. Revenues from asset charges (£/year) (in Unrounded revenue analysis) (in Unrounded revenue analysis (with reordered tariff list))"/>
    <hyperlink ref="A1181" location="'G-Calc'!C715" display="x3 = 4314. Revenues from transmission exit charges (£/year) (in Unrounded revenue analysis) (in Unrounded revenue analysis (with reordered tariff list))"/>
    <hyperlink ref="A1182" location="'G-Calc'!D715" display="x4 = 4314. Revenues from other expenditure charges (£/year) (in Unrounded revenue analysis) (in Unrounded revenue analysis (with reordered tariff list))"/>
    <hyperlink ref="A1183" location="'G-Calc'!E715" display="x5 = 4314. Revenues from matching charges (£/year) (in Unrounded revenue analysis) (in Unrounded revenue analysis (with reordered tariff list))"/>
    <hyperlink ref="A1192" location="'G-Calc'!C1187" display="x1 = 4324. Revenues from transmission exit charges (£/year) (in Total discounted revenue by charge category)"/>
    <hyperlink ref="A1193" location="'G-Calc'!B1032" display="x2 = 4321. Scaling factor for revenues from transmission exit charges (£/year) (in Scaling factors for run 2)"/>
    <hyperlink ref="A1194" location="'G-Calc'!C255" display="x3 = 4309. Baseline revenues from transmission exit charges (£/year) (in Unrounded revenue analysis (baseline totals))"/>
    <hyperlink ref="A1195" location="'G-Calc'!D1187" display="x4 = 4324. Revenues from other expenditure charges (£/year) (in Total discounted revenue by charge category)"/>
    <hyperlink ref="A1196" location="'G-Calc'!C1032" display="x5 = 4321. Scaling factor for revenues from other expenditure charges (£/year) (in Scaling factors for run 2)"/>
    <hyperlink ref="A1197" location="'G-Calc'!D255" display="x6 = 4309. Baseline revenues from other expenditure charges (£/year) (in Unrounded revenue analysis (baseline totals))"/>
    <hyperlink ref="A1198" location="'G-Calc'!E1187" display="x7 = 4324. Revenues from matching charges (£/year) (in Total discounted revenue by charge category)"/>
    <hyperlink ref="A1199" location="'G-Calc'!D1032" display="x8 = 4321. Scaling factor for revenues from matching charges (£/year) (in Scaling factors for run 2)"/>
    <hyperlink ref="A1200" location="'G-Calc'!E255" display="x9 = 4309. Baseline revenues from matching charges (£/year) (in Unrounded revenue analysis (baseline totals))"/>
    <hyperlink ref="A1201" location="'G-Calc'!B1187" display="x10 = 4324. Revenues from asset charges (£/year) (in Total discounted revenue by charge category)"/>
    <hyperlink ref="A1202" location="'G-Calc'!B255" display="x11 = 4309. Baseline revenues from asset charges (£/year) (in Unrounded revenue analysis (baseline totals))"/>
    <hyperlink ref="A1203" location="'G-Calc'!B1208" display="x12 = Error 1 (in Error values from run 2)"/>
    <hyperlink ref="A1204" location="'G-Calc'!C1208" display="x13 = Error 2 (in Error values from run 2)"/>
    <hyperlink ref="A1218" location="'G-Calc'!F822" display="x1 = 4315. Grouped units (MWh) (in Unrounded revenue analysis (by tariff group))"/>
    <hyperlink ref="A1219" location="'G-Calc'!B822" display="x2 = 4315. Grouped revenues from asset charges (£/year) (in Unrounded revenue analysis (by tariff group))"/>
    <hyperlink ref="A1220" location="'G-Calc'!C822" display="x3 = 4315. Grouped revenues from transmission exit charges (£/year) (in Unrounded revenue analysis (by tariff group))"/>
    <hyperlink ref="A1221" location="'G-Calc'!B1213" display="x4 = 4326. Scaling factor for revenues from transmission exit charges (£/year) (in Scaling factors for run 3)"/>
    <hyperlink ref="A1222" location="'G-Calc'!D822" display="x5 = 4315. Grouped revenues from other expenditure charges (£/year) (in Unrounded revenue analysis (by tariff group))"/>
    <hyperlink ref="A1223" location="'G-Calc'!C1213" display="x6 = 4326. Scaling factor for revenues from other expenditure charges (£/year) (in Scaling factors for run 3)"/>
    <hyperlink ref="A1224" location="'G-Calc'!E822" display="x7 = 4315. Grouped revenues from matching charges (£/year) (in Unrounded revenue analysis (by tariff group))"/>
    <hyperlink ref="A1225" location="'G-Calc'!D1213" display="x8 = 4326. Scaling factor for revenues from matching charges (£/year) (in Scaling factors for run 3)"/>
    <hyperlink ref="A1257" location="'G-Calc'!B1228" display="x1 = 4327. Average p/kWh"/>
    <hyperlink ref="A1258" location="'G-Calc'!B606" display="x2 = 4313. Discount for each tariff (except for fixed charges)"/>
    <hyperlink ref="A1360" location="'G-Calc'!B1261" display="x1 = 4328. Chargeable percentage"/>
    <hyperlink ref="A1361" location="'G-Calc'!B715" display="x2 = 4314. Revenues from asset charges (£/year) (in Unrounded revenue analysis) (in Unrounded revenue analysis (with reordered tariff list))"/>
    <hyperlink ref="A1362" location="'G-Calc'!C715" display="x3 = 4314. Revenues from transmission exit charges (£/year) (in Unrounded revenue analysis) (in Unrounded revenue analysis (with reordered tariff list))"/>
    <hyperlink ref="A1363" location="'G-Calc'!D715" display="x4 = 4314. Revenues from other expenditure charges (£/year) (in Unrounded revenue analysis) (in Unrounded revenue analysis (with reordered tariff list))"/>
    <hyperlink ref="A1364" location="'G-Calc'!E715" display="x5 = 4314. Revenues from matching charges (£/year) (in Unrounded revenue analysis) (in Unrounded revenue analysis (with reordered tariff list))"/>
    <hyperlink ref="A1373" location="'G-Calc'!C1368" display="x1 = 4329. Revenues from transmission exit charges (£/year) (in Total discounted revenue by charge category)"/>
    <hyperlink ref="A1374" location="'G-Calc'!B1213" display="x2 = 4326. Scaling factor for revenues from transmission exit charges (£/year) (in Scaling factors for run 3)"/>
    <hyperlink ref="A1375" location="'G-Calc'!C255" display="x3 = 4309. Baseline revenues from transmission exit charges (£/year) (in Unrounded revenue analysis (baseline totals))"/>
    <hyperlink ref="A1376" location="'G-Calc'!D1368" display="x4 = 4329. Revenues from other expenditure charges (£/year) (in Total discounted revenue by charge category)"/>
    <hyperlink ref="A1377" location="'G-Calc'!C1213" display="x5 = 4326. Scaling factor for revenues from other expenditure charges (£/year) (in Scaling factors for run 3)"/>
    <hyperlink ref="A1378" location="'G-Calc'!D255" display="x6 = 4309. Baseline revenues from other expenditure charges (£/year) (in Unrounded revenue analysis (baseline totals))"/>
    <hyperlink ref="A1379" location="'G-Calc'!E1368" display="x7 = 4329. Revenues from matching charges (£/year) (in Total discounted revenue by charge category)"/>
    <hyperlink ref="A1380" location="'G-Calc'!D1213" display="x8 = 4326. Scaling factor for revenues from matching charges (£/year) (in Scaling factors for run 3)"/>
    <hyperlink ref="A1381" location="'G-Calc'!E255" display="x9 = 4309. Baseline revenues from matching charges (£/year) (in Unrounded revenue analysis (baseline totals))"/>
    <hyperlink ref="A1382" location="'G-Calc'!B1368" display="x10 = 4329. Revenues from asset charges (£/year) (in Total discounted revenue by charge category)"/>
    <hyperlink ref="A1383" location="'G-Calc'!B255" display="x11 = 4309. Baseline revenues from asset charges (£/year) (in Unrounded revenue analysis (baseline totals))"/>
    <hyperlink ref="A1384" location="'G-Calc'!B1389" display="x12 = Error 1 (in Error values from run 3)"/>
    <hyperlink ref="A1385" location="'G-Calc'!C1389" display="x13 = Error 2 (in Error values from run 3)"/>
    <hyperlink ref="A1399" location="'G-Calc'!F822" display="x1 = 4315. Grouped units (MWh) (in Unrounded revenue analysis (by tariff group))"/>
    <hyperlink ref="A1400" location="'G-Calc'!B822" display="x2 = 4315. Grouped revenues from asset charges (£/year) (in Unrounded revenue analysis (by tariff group))"/>
    <hyperlink ref="A1401" location="'G-Calc'!C822" display="x3 = 4315. Grouped revenues from transmission exit charges (£/year) (in Unrounded revenue analysis (by tariff group))"/>
    <hyperlink ref="A1402" location="'G-Calc'!B1394" display="x4 = 4331. Scaling factor for revenues from transmission exit charges (£/year) (in Scaling factors for run 4)"/>
    <hyperlink ref="A1403" location="'G-Calc'!D822" display="x5 = 4315. Grouped revenues from other expenditure charges (£/year) (in Unrounded revenue analysis (by tariff group))"/>
    <hyperlink ref="A1404" location="'G-Calc'!C1394" display="x6 = 4331. Scaling factor for revenues from other expenditure charges (£/year) (in Scaling factors for run 4)"/>
    <hyperlink ref="A1405" location="'G-Calc'!E822" display="x7 = 4315. Grouped revenues from matching charges (£/year) (in Unrounded revenue analysis (by tariff group))"/>
    <hyperlink ref="A1406" location="'G-Calc'!D1394" display="x8 = 4331. Scaling factor for revenues from matching charges (£/year) (in Scaling factors for run 4)"/>
    <hyperlink ref="A1438" location="'G-Calc'!B1409" display="x1 = 4332. Average p/kWh"/>
    <hyperlink ref="A1439" location="'G-Calc'!B606" display="x2 = 4313. Discount for each tariff (except for fixed charges)"/>
    <hyperlink ref="A1541" location="'G-Calc'!B1442" display="x1 = 4333. Chargeable percentage"/>
    <hyperlink ref="A1542" location="'G-Calc'!B715" display="x2 = 4314. Revenues from asset charges (£/year) (in Unrounded revenue analysis) (in Unrounded revenue analysis (with reordered tariff list))"/>
    <hyperlink ref="A1543" location="'G-Calc'!C715" display="x3 = 4314. Revenues from transmission exit charges (£/year) (in Unrounded revenue analysis) (in Unrounded revenue analysis (with reordered tariff list))"/>
    <hyperlink ref="A1544" location="'G-Calc'!D715" display="x4 = 4314. Revenues from other expenditure charges (£/year) (in Unrounded revenue analysis) (in Unrounded revenue analysis (with reordered tariff list))"/>
    <hyperlink ref="A1545" location="'G-Calc'!E715" display="x5 = 4314. Revenues from matching charges (£/year) (in Unrounded revenue analysis) (in Unrounded revenue analysis (with reordered tariff list))"/>
    <hyperlink ref="A1554" location="'G-Calc'!C1549" display="x1 = 4334. Revenues from transmission exit charges (£/year) (in Total discounted revenue by charge category)"/>
    <hyperlink ref="A1555" location="'G-Calc'!B1394" display="x2 = 4331. Scaling factor for revenues from transmission exit charges (£/year) (in Scaling factors for run 4)"/>
    <hyperlink ref="A1556" location="'G-Calc'!C255" display="x3 = 4309. Baseline revenues from transmission exit charges (£/year) (in Unrounded revenue analysis (baseline totals))"/>
    <hyperlink ref="A1557" location="'G-Calc'!D1549" display="x4 = 4334. Revenues from other expenditure charges (£/year) (in Total discounted revenue by charge category)"/>
    <hyperlink ref="A1558" location="'G-Calc'!C1394" display="x5 = 4331. Scaling factor for revenues from other expenditure charges (£/year) (in Scaling factors for run 4)"/>
    <hyperlink ref="A1559" location="'G-Calc'!D255" display="x6 = 4309. Baseline revenues from other expenditure charges (£/year) (in Unrounded revenue analysis (baseline totals))"/>
    <hyperlink ref="A1560" location="'G-Calc'!E1549" display="x7 = 4334. Revenues from matching charges (£/year) (in Total discounted revenue by charge category)"/>
    <hyperlink ref="A1561" location="'G-Calc'!D1394" display="x8 = 4331. Scaling factor for revenues from matching charges (£/year) (in Scaling factors for run 4)"/>
    <hyperlink ref="A1562" location="'G-Calc'!E255" display="x9 = 4309. Baseline revenues from matching charges (£/year) (in Unrounded revenue analysis (baseline totals))"/>
    <hyperlink ref="A1563" location="'G-Calc'!B1549" display="x10 = 4334. Revenues from asset charges (£/year) (in Total discounted revenue by charge category)"/>
    <hyperlink ref="A1564" location="'G-Calc'!B255" display="x11 = 4309. Baseline revenues from asset charges (£/year) (in Unrounded revenue analysis (baseline totals))"/>
    <hyperlink ref="A1565" location="'G-Calc'!B1570" display="x12 = Error 1 (in Error values from run 4)"/>
    <hyperlink ref="A1566" location="'G-Calc'!C1570" display="x13 = Error 2 (in Error values from run 4)"/>
    <hyperlink ref="A1575" location="'G-Calc'!B1389" display="x1 = 4330. Error 1 (in Error values from run 3)"/>
    <hyperlink ref="A1576" location="'G-Calc'!B1570" display="x2 = 4335. Error 1 (in Error values from run 4)"/>
    <hyperlink ref="A1577" location="'G-Calc'!B851" display="x3 = 4316. Scaling factor for revenues from transmission exit charges (£/year) (in Scaling factors for run 1)"/>
    <hyperlink ref="A1578" location="'G-Calc'!B1032" display="x4 = 4321. Scaling factor for revenues from transmission exit charges (£/year) (in Scaling factors for run 2)"/>
    <hyperlink ref="A1579" location="'G-Calc'!B1213" display="x5 = 4326. Scaling factor for revenues from transmission exit charges (£/year) (in Scaling factors for run 3)"/>
    <hyperlink ref="A1580" location="'G-Calc'!B1394" display="x6 = 4331. Scaling factor for revenues from transmission exit charges (£/year) (in Scaling factors for run 4)"/>
    <hyperlink ref="A1581" location="'G-Calc'!B1027" display="x7 = 4320. Error 1 (in Error values from run 1)"/>
    <hyperlink ref="A1582" location="'G-Calc'!B1208" display="x8 = 4325. Error 1 (in Error values from run 2)"/>
    <hyperlink ref="A1583" location="'G-Calc'!C1389" display="x9 = 4330. Error 2 (in Error values from run 3)"/>
    <hyperlink ref="A1584" location="'G-Calc'!C1570" display="x10 = 4335. Error 2 (in Error values from run 4)"/>
    <hyperlink ref="A1585" location="'G-Calc'!C851" display="x11 = 4316. Scaling factor for revenues from other expenditure charges (£/year) (in Scaling factors for run 1)"/>
    <hyperlink ref="A1586" location="'G-Calc'!C1032" display="x12 = 4321. Scaling factor for revenues from other expenditure charges (£/year) (in Scaling factors for run 2)"/>
    <hyperlink ref="A1587" location="'G-Calc'!C1213" display="x13 = 4326. Scaling factor for revenues from other expenditure charges (£/year) (in Scaling factors for run 3)"/>
    <hyperlink ref="A1588" location="'G-Calc'!C1394" display="x14 = 4331. Scaling factor for revenues from other expenditure charges (£/year) (in Scaling factors for run 4)"/>
    <hyperlink ref="A1589" location="'G-Calc'!C1027" display="x15 = 4320. Error 2 (in Error values from run 1)"/>
    <hyperlink ref="A1590" location="'G-Calc'!C1208" display="x16 = 4325. Error 2 (in Error values from run 2)"/>
    <hyperlink ref="A1591" location="'G-Calc'!D1389" display="x17 = 4330. Error 3 (in Error values from run 3)"/>
    <hyperlink ref="A1592" location="'G-Calc'!D1570" display="x18 = 4335. Error 3 (in Error values from run 4)"/>
    <hyperlink ref="A1593" location="'G-Calc'!D851" display="x19 = 4316. Scaling factor for revenues from matching charges (£/year) (in Scaling factors for run 1)"/>
    <hyperlink ref="A1594" location="'G-Calc'!D1032" display="x20 = 4321. Scaling factor for revenues from matching charges (£/year) (in Scaling factors for run 2)"/>
    <hyperlink ref="A1595" location="'G-Calc'!D1213" display="x21 = 4326. Scaling factor for revenues from matching charges (£/year) (in Scaling factors for run 3)"/>
    <hyperlink ref="A1596" location="'G-Calc'!D1394" display="x22 = 4331. Scaling factor for revenues from matching charges (£/year) (in Scaling factors for run 4)"/>
    <hyperlink ref="A1597" location="'G-Calc'!D1027" display="x23 = 4320. Error 3 (in Error values from run 1)"/>
    <hyperlink ref="A1598" location="'G-Calc'!D1208" display="x24 = 4325. Error 3 (in Error values from run 2)"/>
    <hyperlink ref="A1608" location="'G-Calc'!B1601" display="x1 = 4336. First derivatives (£ million)"/>
    <hyperlink ref="A1624" location="'G-Calc'!B1394" display="x1 = 4331. Scaling factor for revenues from transmission exit charges (£/year) (in Scaling factors for run 4)"/>
    <hyperlink ref="A1625" location="'G-Calc'!B1570" display="x2 = 4335. Error 1 (in Error values from run 4)"/>
    <hyperlink ref="A1626" location="'G-Calc'!B1611" display="x3 = 4337. Co-determinants"/>
    <hyperlink ref="A1627" location="'G-Calc'!C1570" display="x4 = 4335. Error 2 (in Error values from run 4)"/>
    <hyperlink ref="A1628" location="'G-Calc'!D1570" display="x5 = 4335. Error 3 (in Error values from run 4)"/>
    <hyperlink ref="A1629" location="'G-Calc'!B1619" display="x6 = 4338. Determinant"/>
    <hyperlink ref="A1630" location="'G-Calc'!C1394" display="x7 = 4331. Scaling factor for revenues from other expenditure charges (£/year) (in Scaling factors for run 4)"/>
    <hyperlink ref="A1631" location="'G-Calc'!D1394" display="x8 = 4331. Scaling factor for revenues from matching charges (£/year) (in Scaling factors for run 4)"/>
    <hyperlink ref="A1640" location="'G-Calc'!B1635" display="x1 = 4339. New scaling factor 1 (in Scaling factors for run 7)"/>
    <hyperlink ref="A1641" location="'G-Calc'!C1394" display="x2 = 4331. Scaling factor for revenues from other expenditure charges (£/year) (in Scaling factors for run 4)"/>
    <hyperlink ref="A1642" location="'G-Calc'!D1394" display="x3 = 4331. Scaling factor for revenues from matching charges (£/year) (in Scaling factors for run 4)"/>
    <hyperlink ref="A1651" location="'G-Calc'!F822" display="x1 = 4315. Grouped units (MWh) (in Unrounded revenue analysis (by tariff group))"/>
    <hyperlink ref="A1652" location="'G-Calc'!B822" display="x2 = 4315. Grouped revenues from asset charges (£/year) (in Unrounded revenue analysis (by tariff group))"/>
    <hyperlink ref="A1653" location="'G-Calc'!C822" display="x3 = 4315. Grouped revenues from transmission exit charges (£/year) (in Unrounded revenue analysis (by tariff group))"/>
    <hyperlink ref="A1654" location="'G-Calc'!B1646" display="x4 = 4340. New scaling factor 1 (copy) (in Scaling factors for run 5)"/>
    <hyperlink ref="A1655" location="'G-Calc'!D822" display="x5 = 4315. Grouped revenues from other expenditure charges (£/year) (in Unrounded revenue analysis (by tariff group))"/>
    <hyperlink ref="A1656" location="'G-Calc'!C1646" display="x6 = 4340. Scaling factor for revenues from other expenditure charges (£/year) (in Scaling factors for run 4) (copy) (in Scaling factors for run 5)"/>
    <hyperlink ref="A1657" location="'G-Calc'!E822" display="x7 = 4315. Grouped revenues from matching charges (£/year) (in Unrounded revenue analysis (by tariff group))"/>
    <hyperlink ref="A1658" location="'G-Calc'!D1646" display="x8 = 4340. Scaling factor for revenues from matching charges (£/year) (in Scaling factors for run 4) (copy) (in Scaling factors for run 5)"/>
    <hyperlink ref="A1690" location="'G-Calc'!B1661" display="x1 = 4341. Average p/kWh"/>
    <hyperlink ref="A1691" location="'G-Calc'!B606" display="x2 = 4313. Discount for each tariff (except for fixed charges)"/>
    <hyperlink ref="A1793" location="'G-Calc'!B1694" display="x1 = 4342. Chargeable percentage"/>
    <hyperlink ref="A1794" location="'G-Calc'!B715" display="x2 = 4314. Revenues from asset charges (£/year) (in Unrounded revenue analysis) (in Unrounded revenue analysis (with reordered tariff list))"/>
    <hyperlink ref="A1795" location="'G-Calc'!C715" display="x3 = 4314. Revenues from transmission exit charges (£/year) (in Unrounded revenue analysis) (in Unrounded revenue analysis (with reordered tariff list))"/>
    <hyperlink ref="A1796" location="'G-Calc'!D715" display="x4 = 4314. Revenues from other expenditure charges (£/year) (in Unrounded revenue analysis) (in Unrounded revenue analysis (with reordered tariff list))"/>
    <hyperlink ref="A1797" location="'G-Calc'!E715" display="x5 = 4314. Revenues from matching charges (£/year) (in Unrounded revenue analysis) (in Unrounded revenue analysis (with reordered tariff list))"/>
    <hyperlink ref="A1806" location="'G-Calc'!C1801" display="x1 = 4343. Revenues from transmission exit charges (£/year) (in Total discounted revenue by charge category)"/>
    <hyperlink ref="A1807" location="'G-Calc'!B1646" display="x2 = 4340. New scaling factor 1 (copy) (in Scaling factors for run 5)"/>
    <hyperlink ref="A1808" location="'G-Calc'!C255" display="x3 = 4309. Baseline revenues from transmission exit charges (£/year) (in Unrounded revenue analysis (baseline totals))"/>
    <hyperlink ref="A1809" location="'G-Calc'!D1801" display="x4 = 4343. Revenues from other expenditure charges (£/year) (in Total discounted revenue by charge category)"/>
    <hyperlink ref="A1810" location="'G-Calc'!C1646" display="x5 = 4340. Scaling factor for revenues from other expenditure charges (£/year) (in Scaling factors for run 4) (copy) (in Scaling factors for run 5)"/>
    <hyperlink ref="A1811" location="'G-Calc'!D255" display="x6 = 4309. Baseline revenues from other expenditure charges (£/year) (in Unrounded revenue analysis (baseline totals))"/>
    <hyperlink ref="A1812" location="'G-Calc'!E1801" display="x7 = 4343. Revenues from matching charges (£/year) (in Total discounted revenue by charge category)"/>
    <hyperlink ref="A1813" location="'G-Calc'!D1646" display="x8 = 4340. Scaling factor for revenues from matching charges (£/year) (in Scaling factors for run 4) (copy) (in Scaling factors for run 5)"/>
    <hyperlink ref="A1814" location="'G-Calc'!E255" display="x9 = 4309. Baseline revenues from matching charges (£/year) (in Unrounded revenue analysis (baseline totals))"/>
    <hyperlink ref="A1815" location="'G-Calc'!B1801" display="x10 = 4343. Revenues from asset charges (£/year) (in Total discounted revenue by charge category)"/>
    <hyperlink ref="A1816" location="'G-Calc'!B255" display="x11 = 4309. Baseline revenues from asset charges (£/year) (in Unrounded revenue analysis (baseline totals))"/>
    <hyperlink ref="A1817" location="'G-Calc'!B1822" display="x12 = Error 1 (in Error values from run 5)"/>
    <hyperlink ref="A1818" location="'G-Calc'!C1822" display="x13 = Error 2 (in Error values from run 5)"/>
    <hyperlink ref="A1827" location="'G-Calc'!B1635" display="x1 = 4339. New scaling factor 1 (in Scaling factors for run 7)"/>
    <hyperlink ref="A1828" location="'G-Calc'!C1635" display="x2 = 4339. New scaling factor 2 (in Scaling factors for run 7)"/>
    <hyperlink ref="A1829" location="'G-Calc'!D1394" display="x3 = 4331. Scaling factor for revenues from matching charges (£/year) (in Scaling factors for run 4)"/>
    <hyperlink ref="A1838" location="'G-Calc'!F822" display="x1 = 4315. Grouped units (MWh) (in Unrounded revenue analysis (by tariff group))"/>
    <hyperlink ref="A1839" location="'G-Calc'!B822" display="x2 = 4315. Grouped revenues from asset charges (£/year) (in Unrounded revenue analysis (by tariff group))"/>
    <hyperlink ref="A1840" location="'G-Calc'!C822" display="x3 = 4315. Grouped revenues from transmission exit charges (£/year) (in Unrounded revenue analysis (by tariff group))"/>
    <hyperlink ref="A1841" location="'G-Calc'!B1833" display="x4 = 4345. New scaling factor 1 (copy) (in Scaling factors for run 6)"/>
    <hyperlink ref="A1842" location="'G-Calc'!D822" display="x5 = 4315. Grouped revenues from other expenditure charges (£/year) (in Unrounded revenue analysis (by tariff group))"/>
    <hyperlink ref="A1843" location="'G-Calc'!C1833" display="x6 = 4345. New scaling factor 2 (copy) (in Scaling factors for run 6)"/>
    <hyperlink ref="A1844" location="'G-Calc'!E822" display="x7 = 4315. Grouped revenues from matching charges (£/year) (in Unrounded revenue analysis (by tariff group))"/>
    <hyperlink ref="A1845" location="'G-Calc'!D1833" display="x8 = 4345. Scaling factor for revenues from matching charges (£/year) (in Scaling factors for run 4) (copy) (in Scaling factors for run 6)"/>
    <hyperlink ref="A1877" location="'G-Calc'!B1848" display="x1 = 4346. Average p/kWh"/>
    <hyperlink ref="A1878" location="'G-Calc'!B606" display="x2 = 4313. Discount for each tariff (except for fixed charges)"/>
    <hyperlink ref="A1980" location="'G-Calc'!B1881" display="x1 = 4347. Chargeable percentage"/>
    <hyperlink ref="A1981" location="'G-Calc'!B715" display="x2 = 4314. Revenues from asset charges (£/year) (in Unrounded revenue analysis) (in Unrounded revenue analysis (with reordered tariff list))"/>
    <hyperlink ref="A1982" location="'G-Calc'!C715" display="x3 = 4314. Revenues from transmission exit charges (£/year) (in Unrounded revenue analysis) (in Unrounded revenue analysis (with reordered tariff list))"/>
    <hyperlink ref="A1983" location="'G-Calc'!D715" display="x4 = 4314. Revenues from other expenditure charges (£/year) (in Unrounded revenue analysis) (in Unrounded revenue analysis (with reordered tariff list))"/>
    <hyperlink ref="A1984" location="'G-Calc'!E715" display="x5 = 4314. Revenues from matching charges (£/year) (in Unrounded revenue analysis) (in Unrounded revenue analysis (with reordered tariff list))"/>
    <hyperlink ref="A1993" location="'G-Calc'!C1988" display="x1 = 4348. Revenues from transmission exit charges (£/year) (in Total discounted revenue by charge category)"/>
    <hyperlink ref="A1994" location="'G-Calc'!B1833" display="x2 = 4345. New scaling factor 1 (copy) (in Scaling factors for run 6)"/>
    <hyperlink ref="A1995" location="'G-Calc'!C255" display="x3 = 4309. Baseline revenues from transmission exit charges (£/year) (in Unrounded revenue analysis (baseline totals))"/>
    <hyperlink ref="A1996" location="'G-Calc'!D1988" display="x4 = 4348. Revenues from other expenditure charges (£/year) (in Total discounted revenue by charge category)"/>
    <hyperlink ref="A1997" location="'G-Calc'!C1833" display="x5 = 4345. New scaling factor 2 (copy) (in Scaling factors for run 6)"/>
    <hyperlink ref="A1998" location="'G-Calc'!D255" display="x6 = 4309. Baseline revenues from other expenditure charges (£/year) (in Unrounded revenue analysis (baseline totals))"/>
    <hyperlink ref="A1999" location="'G-Calc'!E1988" display="x7 = 4348. Revenues from matching charges (£/year) (in Total discounted revenue by charge category)"/>
    <hyperlink ref="A2000" location="'G-Calc'!D1833" display="x8 = 4345. Scaling factor for revenues from matching charges (£/year) (in Scaling factors for run 4) (copy) (in Scaling factors for run 6)"/>
    <hyperlink ref="A2001" location="'G-Calc'!E255" display="x9 = 4309. Baseline revenues from matching charges (£/year) (in Unrounded revenue analysis (baseline totals))"/>
    <hyperlink ref="A2002" location="'G-Calc'!B1988" display="x10 = 4348. Revenues from asset charges (£/year) (in Total discounted revenue by charge category)"/>
    <hyperlink ref="A2003" location="'G-Calc'!B255" display="x11 = 4309. Baseline revenues from asset charges (£/year) (in Unrounded revenue analysis (baseline totals))"/>
    <hyperlink ref="A2004" location="'G-Calc'!B2009" display="x12 = Error 1 (in Error values from run 6)"/>
    <hyperlink ref="A2005" location="'G-Calc'!C2009" display="x13 = Error 2 (in Error values from run 6)"/>
    <hyperlink ref="A2014" location="'G-Calc'!F822" display="x1 = 4315. Grouped units (MWh) (in Unrounded revenue analysis (by tariff group))"/>
    <hyperlink ref="A2015" location="'G-Calc'!B822" display="x2 = 4315. Grouped revenues from asset charges (£/year) (in Unrounded revenue analysis (by tariff group))"/>
    <hyperlink ref="A2016" location="'G-Calc'!C822" display="x3 = 4315. Grouped revenues from transmission exit charges (£/year) (in Unrounded revenue analysis (by tariff group))"/>
    <hyperlink ref="A2017" location="'G-Calc'!B1635" display="x4 = 4339. New scaling factor 1 (in Scaling factors for run 7)"/>
    <hyperlink ref="A2018" location="'G-Calc'!D822" display="x5 = 4315. Grouped revenues from other expenditure charges (£/year) (in Unrounded revenue analysis (by tariff group))"/>
    <hyperlink ref="A2019" location="'G-Calc'!C1635" display="x6 = 4339. New scaling factor 2 (in Scaling factors for run 7)"/>
    <hyperlink ref="A2020" location="'G-Calc'!E822" display="x7 = 4315. Grouped revenues from matching charges (£/year) (in Unrounded revenue analysis (by tariff group))"/>
    <hyperlink ref="A2021" location="'G-Calc'!D1635" display="x8 = 4339. New scaling factor 3 (in Scaling factors for run 7)"/>
    <hyperlink ref="A2053" location="'G-Calc'!B2024" display="x1 = 4350. Average p/kWh"/>
    <hyperlink ref="A2054" location="'G-Calc'!B606" display="x2 = 4313. Discount for each tariff (except for fixed charges)"/>
    <hyperlink ref="A2156" location="'G-Calc'!B2057" display="x1 = 4351. Chargeable percentage"/>
    <hyperlink ref="A2157" location="'G-Calc'!B715" display="x2 = 4314. Revenues from asset charges (£/year) (in Unrounded revenue analysis) (in Unrounded revenue analysis (with reordered tariff list))"/>
    <hyperlink ref="A2158" location="'G-Calc'!C715" display="x3 = 4314. Revenues from transmission exit charges (£/year) (in Unrounded revenue analysis) (in Unrounded revenue analysis (with reordered tariff list))"/>
    <hyperlink ref="A2159" location="'G-Calc'!D715" display="x4 = 4314. Revenues from other expenditure charges (£/year) (in Unrounded revenue analysis) (in Unrounded revenue analysis (with reordered tariff list))"/>
    <hyperlink ref="A2160" location="'G-Calc'!E715" display="x5 = 4314. Revenues from matching charges (£/year) (in Unrounded revenue analysis) (in Unrounded revenue analysis (with reordered tariff list))"/>
    <hyperlink ref="A2169" location="'G-Calc'!C2164" display="x1 = 4352. Revenues from transmission exit charges (£/year) (in Total discounted revenue by charge category)"/>
    <hyperlink ref="A2170" location="'G-Calc'!B1635" display="x2 = 4339. New scaling factor 1 (in Scaling factors for run 7)"/>
    <hyperlink ref="A2171" location="'G-Calc'!C255" display="x3 = 4309. Baseline revenues from transmission exit charges (£/year) (in Unrounded revenue analysis (baseline totals))"/>
    <hyperlink ref="A2172" location="'G-Calc'!D2164" display="x4 = 4352. Revenues from other expenditure charges (£/year) (in Total discounted revenue by charge category)"/>
    <hyperlink ref="A2173" location="'G-Calc'!C1635" display="x5 = 4339. New scaling factor 2 (in Scaling factors for run 7)"/>
    <hyperlink ref="A2174" location="'G-Calc'!D255" display="x6 = 4309. Baseline revenues from other expenditure charges (£/year) (in Unrounded revenue analysis (baseline totals))"/>
    <hyperlink ref="A2175" location="'G-Calc'!E2164" display="x7 = 4352. Revenues from matching charges (£/year) (in Total discounted revenue by charge category)"/>
    <hyperlink ref="A2176" location="'G-Calc'!D1635" display="x8 = 4339. New scaling factor 3 (in Scaling factors for run 7)"/>
    <hyperlink ref="A2177" location="'G-Calc'!E255" display="x9 = 4309. Baseline revenues from matching charges (£/year) (in Unrounded revenue analysis (baseline totals))"/>
    <hyperlink ref="A2178" location="'G-Calc'!B2164" display="x10 = 4352. Revenues from asset charges (£/year) (in Total discounted revenue by charge category)"/>
    <hyperlink ref="A2179" location="'G-Calc'!B255" display="x11 = 4309. Baseline revenues from asset charges (£/year) (in Unrounded revenue analysis (baseline totals))"/>
    <hyperlink ref="A2180" location="'G-Calc'!B2185" display="x12 = Error 1 (in Error values from run 7)"/>
    <hyperlink ref="A2181" location="'G-Calc'!C2185" display="x13 = Error 2 (in Error values from run 7)"/>
    <hyperlink ref="A2190" location="'G-Calc'!B2009" display="x1 = 4349. Error 1 (in Error values from run 6)"/>
    <hyperlink ref="A2191" location="'G-Calc'!B2185" display="x2 = 4353. Error 1 (in Error values from run 7)"/>
    <hyperlink ref="A2192" location="'G-Calc'!B1394" display="x3 = 4331. Scaling factor for revenues from transmission exit charges (£/year) (in Scaling factors for run 4)"/>
    <hyperlink ref="A2193" location="'G-Calc'!B1646" display="x4 = 4340. New scaling factor 1 (copy) (in Scaling factors for run 5)"/>
    <hyperlink ref="A2194" location="'G-Calc'!B1833" display="x5 = 4345. New scaling factor 1 (copy) (in Scaling factors for run 6)"/>
    <hyperlink ref="A2195" location="'G-Calc'!B1635" display="x6 = 4339. New scaling factor 1 (in Scaling factors for run 7)"/>
    <hyperlink ref="A2196" location="'G-Calc'!B1570" display="x7 = 4335. Error 1 (in Error values from run 4)"/>
    <hyperlink ref="A2197" location="'G-Calc'!B1822" display="x8 = 4344. Error 1 (in Error values from run 5)"/>
    <hyperlink ref="A2198" location="'G-Calc'!C2009" display="x9 = 4349. Error 2 (in Error values from run 6)"/>
    <hyperlink ref="A2199" location="'G-Calc'!C2185" display="x10 = 4353. Error 2 (in Error values from run 7)"/>
    <hyperlink ref="A2200" location="'G-Calc'!C1394" display="x11 = 4331. Scaling factor for revenues from other expenditure charges (£/year) (in Scaling factors for run 4)"/>
    <hyperlink ref="A2201" location="'G-Calc'!C1646" display="x12 = 4340. Scaling factor for revenues from other expenditure charges (£/year) (in Scaling factors for run 4) (copy) (in Scaling factors for run 5)"/>
    <hyperlink ref="A2202" location="'G-Calc'!C1833" display="x13 = 4345. New scaling factor 2 (copy) (in Scaling factors for run 6)"/>
    <hyperlink ref="A2203" location="'G-Calc'!C1635" display="x14 = 4339. New scaling factor 2 (in Scaling factors for run 7)"/>
    <hyperlink ref="A2204" location="'G-Calc'!C1570" display="x15 = 4335. Error 2 (in Error values from run 4)"/>
    <hyperlink ref="A2205" location="'G-Calc'!C1822" display="x16 = 4344. Error 2 (in Error values from run 5)"/>
    <hyperlink ref="A2206" location="'G-Calc'!D2009" display="x17 = 4349. Error 3 (in Error values from run 6)"/>
    <hyperlink ref="A2207" location="'G-Calc'!D2185" display="x18 = 4353. Error 3 (in Error values from run 7)"/>
    <hyperlink ref="A2208" location="'G-Calc'!D1394" display="x19 = 4331. Scaling factor for revenues from matching charges (£/year) (in Scaling factors for run 4)"/>
    <hyperlink ref="A2209" location="'G-Calc'!D1646" display="x20 = 4340. Scaling factor for revenues from matching charges (£/year) (in Scaling factors for run 4) (copy) (in Scaling factors for run 5)"/>
    <hyperlink ref="A2210" location="'G-Calc'!D1833" display="x21 = 4345. Scaling factor for revenues from matching charges (£/year) (in Scaling factors for run 4) (copy) (in Scaling factors for run 6)"/>
    <hyperlink ref="A2211" location="'G-Calc'!D1635" display="x22 = 4339. New scaling factor 3 (in Scaling factors for run 7)"/>
    <hyperlink ref="A2212" location="'G-Calc'!D1570" display="x23 = 4335. Error 3 (in Error values from run 4)"/>
    <hyperlink ref="A2213" location="'G-Calc'!D1822" display="x24 = 4344. Error 3 (in Error values from run 5)"/>
    <hyperlink ref="A2223" location="'G-Calc'!B2216" display="x1 = 4354. First derivatives (£ million)"/>
    <hyperlink ref="A2239" location="'G-Calc'!B1635" display="x1 = 4339. New scaling factor 1 (in Scaling factors for run 7)"/>
    <hyperlink ref="A2240" location="'G-Calc'!B2185" display="x2 = 4353. Error 1 (in Error values from run 7)"/>
    <hyperlink ref="A2241" location="'G-Calc'!B2226" display="x3 = 4355. Co-determinants"/>
    <hyperlink ref="A2242" location="'G-Calc'!C2185" display="x4 = 4353. Error 2 (in Error values from run 7)"/>
    <hyperlink ref="A2243" location="'G-Calc'!D2185" display="x5 = 4353. Error 3 (in Error values from run 7)"/>
    <hyperlink ref="A2244" location="'G-Calc'!B2234" display="x6 = 4356. Determinant"/>
    <hyperlink ref="A2245" location="'G-Calc'!C1635" display="x7 = 4339. New scaling factor 2 (in Scaling factors for run 7)"/>
    <hyperlink ref="A2246" location="'G-Calc'!D1635" display="x8 = 4339. New scaling factor 3 (in Scaling factors for run 7)"/>
    <hyperlink ref="A2255" location="'G-Calc'!F822" display="x1 = 4315. Grouped units (MWh) (in Unrounded revenue analysis (by tariff group))"/>
    <hyperlink ref="A2256" location="'G-Calc'!B822" display="x2 = 4315. Grouped revenues from asset charges (£/year) (in Unrounded revenue analysis (by tariff group))"/>
    <hyperlink ref="A2257" location="'G-Calc'!C822" display="x3 = 4315. Grouped revenues from transmission exit charges (£/year) (in Unrounded revenue analysis (by tariff group))"/>
    <hyperlink ref="A2258" location="'G-Calc'!B2250" display="x4 = 4357. New scaling factor 1 (in Final scaling factors)"/>
    <hyperlink ref="A2259" location="'G-Calc'!D822" display="x5 = 4315. Grouped revenues from other expenditure charges (£/year) (in Unrounded revenue analysis (by tariff group))"/>
    <hyperlink ref="A2260" location="'G-Calc'!C2250" display="x6 = 4357. New scaling factor 2 (in Final scaling factors)"/>
    <hyperlink ref="A2261" location="'G-Calc'!E822" display="x7 = 4315. Grouped revenues from matching charges (£/year) (in Unrounded revenue analysis (by tariff group))"/>
    <hyperlink ref="A2262" location="'G-Calc'!D2250" display="x8 = 4357. New scaling factor 3 (in Final scaling factors)"/>
  </hyperlinks>
  <pageMargins left="0.7" right="0.7" top="0.75" bottom="0.75" header="0.3" footer="0.3"/>
  <pageSetup paperSize="9" fitToHeight="0" orientation="portrait"/>
  <headerFooter>
    <oddHeader>&amp;L&amp;A&amp;C&amp;R&amp;P of &amp;N</oddHeader>
    <oddFooter>&amp;F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75"/>
  <sheetViews>
    <sheetView showGridLines="0" workbookViewId="0">
      <pane xSplit="1" ySplit="1" topLeftCell="B338" activePane="bottomRight" state="frozen"/>
      <selection pane="topRight" activeCell="B1" sqref="B1"/>
      <selection pane="bottomLeft" activeCell="A2" sqref="A2"/>
      <selection pane="bottomRight" activeCell="B375" sqref="B375:J375"/>
    </sheetView>
  </sheetViews>
  <sheetFormatPr defaultRowHeight="15" x14ac:dyDescent="0.25"/>
  <cols>
    <col min="1" max="1" width="64.7109375" customWidth="1"/>
    <col min="2" max="251" width="24.7109375" customWidth="1"/>
  </cols>
  <sheetData>
    <row r="1" spans="1:7" ht="21" customHeight="1" x14ac:dyDescent="0.3">
      <c r="A1" s="1" t="str">
        <f>"Input data for "&amp;Input!B7&amp;" in "&amp;Input!C7&amp;" ("&amp;Input!D7&amp;")"</f>
        <v>Input data for Electricity North West in 2017/2018 (December 2015)</v>
      </c>
    </row>
    <row r="2" spans="1:7" x14ac:dyDescent="0.25">
      <c r="A2" s="2" t="s">
        <v>346</v>
      </c>
    </row>
    <row r="4" spans="1:7" ht="21" customHeight="1" x14ac:dyDescent="0.3">
      <c r="A4" s="1" t="s">
        <v>0</v>
      </c>
    </row>
    <row r="6" spans="1:7" x14ac:dyDescent="0.25">
      <c r="B6" s="15" t="s">
        <v>1</v>
      </c>
      <c r="C6" s="15" t="s">
        <v>2</v>
      </c>
      <c r="D6" s="15" t="s">
        <v>3</v>
      </c>
    </row>
    <row r="7" spans="1:7" x14ac:dyDescent="0.25">
      <c r="A7" s="4" t="s">
        <v>4</v>
      </c>
      <c r="B7" s="16" t="s">
        <v>1985</v>
      </c>
      <c r="C7" s="16" t="s">
        <v>1986</v>
      </c>
      <c r="D7" s="16" t="s">
        <v>1987</v>
      </c>
      <c r="E7" s="17"/>
    </row>
    <row r="9" spans="1:7" ht="21" customHeight="1" x14ac:dyDescent="0.3">
      <c r="A9" s="1" t="s">
        <v>5</v>
      </c>
    </row>
    <row r="11" spans="1:7" ht="30" x14ac:dyDescent="0.25">
      <c r="B11" s="15" t="s">
        <v>6</v>
      </c>
      <c r="C11" s="15" t="s">
        <v>7</v>
      </c>
      <c r="D11" s="15" t="s">
        <v>8</v>
      </c>
      <c r="E11" s="15" t="s">
        <v>9</v>
      </c>
      <c r="F11" s="15" t="s">
        <v>10</v>
      </c>
    </row>
    <row r="12" spans="1:7" x14ac:dyDescent="0.25">
      <c r="A12" s="4" t="s">
        <v>11</v>
      </c>
      <c r="B12" s="18" t="s">
        <v>50</v>
      </c>
      <c r="C12" s="19" t="s">
        <v>84</v>
      </c>
      <c r="D12" s="19" t="s">
        <v>112</v>
      </c>
      <c r="E12" s="20">
        <v>353523506.78122997</v>
      </c>
      <c r="F12" s="21">
        <f>E12</f>
        <v>353523506.78122997</v>
      </c>
      <c r="G12" s="17"/>
    </row>
    <row r="13" spans="1:7" x14ac:dyDescent="0.25">
      <c r="A13" s="4" t="s">
        <v>12</v>
      </c>
      <c r="B13" s="18" t="s">
        <v>51</v>
      </c>
      <c r="C13" s="19" t="s">
        <v>85</v>
      </c>
      <c r="D13" s="19" t="s">
        <v>112</v>
      </c>
      <c r="E13" s="22">
        <v>1.121</v>
      </c>
      <c r="F13" s="21">
        <f>E12*(E13-1)</f>
        <v>42776344.320528828</v>
      </c>
      <c r="G13" s="17"/>
    </row>
    <row r="14" spans="1:7" x14ac:dyDescent="0.25">
      <c r="A14" s="4" t="s">
        <v>13</v>
      </c>
      <c r="B14" s="18" t="s">
        <v>52</v>
      </c>
      <c r="C14" s="19" t="s">
        <v>86</v>
      </c>
      <c r="D14" s="19" t="s">
        <v>112</v>
      </c>
      <c r="E14" s="20"/>
      <c r="F14" s="21">
        <f>0-E14</f>
        <v>0</v>
      </c>
      <c r="G14" s="17"/>
    </row>
    <row r="15" spans="1:7" x14ac:dyDescent="0.25">
      <c r="A15" s="4" t="s">
        <v>14</v>
      </c>
      <c r="B15" s="23" t="s">
        <v>53</v>
      </c>
      <c r="C15" s="24" t="s">
        <v>87</v>
      </c>
      <c r="D15" s="24" t="s">
        <v>112</v>
      </c>
      <c r="E15" s="25"/>
      <c r="F15" s="26">
        <f>F12+F13+F14</f>
        <v>396299851.10175878</v>
      </c>
      <c r="G15" s="17"/>
    </row>
    <row r="16" spans="1:7" x14ac:dyDescent="0.25">
      <c r="A16" s="4" t="s">
        <v>15</v>
      </c>
      <c r="B16" s="18" t="s">
        <v>54</v>
      </c>
      <c r="C16" s="19" t="s">
        <v>88</v>
      </c>
      <c r="D16" s="19" t="s">
        <v>113</v>
      </c>
      <c r="E16" s="20"/>
      <c r="F16" s="21">
        <f>E16</f>
        <v>0</v>
      </c>
      <c r="G16" s="17"/>
    </row>
    <row r="17" spans="1:7" x14ac:dyDescent="0.25">
      <c r="A17" s="4" t="s">
        <v>16</v>
      </c>
      <c r="B17" s="18" t="s">
        <v>55</v>
      </c>
      <c r="C17" s="19" t="s">
        <v>89</v>
      </c>
      <c r="D17" s="19" t="s">
        <v>113</v>
      </c>
      <c r="E17" s="20"/>
      <c r="F17" s="21">
        <f>E17</f>
        <v>0</v>
      </c>
      <c r="G17" s="17"/>
    </row>
    <row r="18" spans="1:7" x14ac:dyDescent="0.25">
      <c r="A18" s="4" t="s">
        <v>17</v>
      </c>
      <c r="B18" s="18" t="s">
        <v>56</v>
      </c>
      <c r="C18" s="19" t="s">
        <v>90</v>
      </c>
      <c r="D18" s="19" t="s">
        <v>113</v>
      </c>
      <c r="E18" s="20"/>
      <c r="F18" s="21">
        <f>E18</f>
        <v>0</v>
      </c>
      <c r="G18" s="17"/>
    </row>
    <row r="19" spans="1:7" x14ac:dyDescent="0.25">
      <c r="A19" s="4" t="s">
        <v>18</v>
      </c>
      <c r="B19" s="18" t="s">
        <v>57</v>
      </c>
      <c r="C19" s="19" t="s">
        <v>91</v>
      </c>
      <c r="D19" s="19" t="s">
        <v>113</v>
      </c>
      <c r="E19" s="20"/>
      <c r="F19" s="21">
        <f>E19</f>
        <v>0</v>
      </c>
      <c r="G19" s="17"/>
    </row>
    <row r="20" spans="1:7" x14ac:dyDescent="0.25">
      <c r="A20" s="4" t="s">
        <v>19</v>
      </c>
      <c r="B20" s="18" t="s">
        <v>58</v>
      </c>
      <c r="C20" s="19" t="s">
        <v>92</v>
      </c>
      <c r="D20" s="19" t="s">
        <v>113</v>
      </c>
      <c r="E20" s="20"/>
      <c r="F20" s="21">
        <f>E20</f>
        <v>0</v>
      </c>
      <c r="G20" s="17"/>
    </row>
    <row r="21" spans="1:7" x14ac:dyDescent="0.25">
      <c r="A21" s="4" t="s">
        <v>20</v>
      </c>
      <c r="B21" s="23" t="s">
        <v>59</v>
      </c>
      <c r="C21" s="24" t="s">
        <v>93</v>
      </c>
      <c r="D21" s="24" t="s">
        <v>112</v>
      </c>
      <c r="E21" s="25"/>
      <c r="F21" s="26">
        <f>F16+F17+F18+F19+F20</f>
        <v>0</v>
      </c>
      <c r="G21" s="17"/>
    </row>
    <row r="22" spans="1:7" x14ac:dyDescent="0.25">
      <c r="A22" s="4" t="s">
        <v>21</v>
      </c>
      <c r="B22" s="18" t="s">
        <v>60</v>
      </c>
      <c r="C22" s="19" t="s">
        <v>94</v>
      </c>
      <c r="D22" s="19" t="s">
        <v>114</v>
      </c>
      <c r="E22" s="20">
        <v>0</v>
      </c>
      <c r="F22" s="21">
        <f t="shared" ref="F22:F33" si="0">E22</f>
        <v>0</v>
      </c>
      <c r="G22" s="17"/>
    </row>
    <row r="23" spans="1:7" x14ac:dyDescent="0.25">
      <c r="A23" s="4" t="s">
        <v>22</v>
      </c>
      <c r="B23" s="18" t="s">
        <v>60</v>
      </c>
      <c r="C23" s="19" t="s">
        <v>95</v>
      </c>
      <c r="D23" s="19" t="s">
        <v>114</v>
      </c>
      <c r="E23" s="20">
        <v>0</v>
      </c>
      <c r="F23" s="21">
        <f t="shared" si="0"/>
        <v>0</v>
      </c>
      <c r="G23" s="17"/>
    </row>
    <row r="24" spans="1:7" x14ac:dyDescent="0.25">
      <c r="A24" s="4" t="s">
        <v>23</v>
      </c>
      <c r="B24" s="18" t="s">
        <v>60</v>
      </c>
      <c r="C24" s="19" t="s">
        <v>96</v>
      </c>
      <c r="D24" s="19" t="s">
        <v>114</v>
      </c>
      <c r="E24" s="20">
        <v>0</v>
      </c>
      <c r="F24" s="21">
        <f t="shared" si="0"/>
        <v>0</v>
      </c>
      <c r="G24" s="17"/>
    </row>
    <row r="25" spans="1:7" x14ac:dyDescent="0.25">
      <c r="A25" s="4" t="s">
        <v>24</v>
      </c>
      <c r="B25" s="18" t="s">
        <v>60</v>
      </c>
      <c r="C25" s="19" t="s">
        <v>97</v>
      </c>
      <c r="D25" s="19" t="s">
        <v>114</v>
      </c>
      <c r="E25" s="20">
        <v>0</v>
      </c>
      <c r="F25" s="21">
        <f t="shared" si="0"/>
        <v>0</v>
      </c>
      <c r="G25" s="17"/>
    </row>
    <row r="26" spans="1:7" x14ac:dyDescent="0.25">
      <c r="A26" s="4" t="s">
        <v>25</v>
      </c>
      <c r="B26" s="18" t="s">
        <v>61</v>
      </c>
      <c r="C26" s="19" t="s">
        <v>98</v>
      </c>
      <c r="D26" s="19" t="s">
        <v>115</v>
      </c>
      <c r="E26" s="20">
        <v>12300000</v>
      </c>
      <c r="F26" s="21">
        <f t="shared" si="0"/>
        <v>12300000</v>
      </c>
      <c r="G26" s="17"/>
    </row>
    <row r="27" spans="1:7" x14ac:dyDescent="0.25">
      <c r="A27" s="4" t="s">
        <v>26</v>
      </c>
      <c r="B27" s="18" t="s">
        <v>62</v>
      </c>
      <c r="C27" s="19" t="s">
        <v>99</v>
      </c>
      <c r="D27" s="19" t="s">
        <v>116</v>
      </c>
      <c r="E27" s="20"/>
      <c r="F27" s="21">
        <f t="shared" si="0"/>
        <v>0</v>
      </c>
      <c r="G27" s="17"/>
    </row>
    <row r="28" spans="1:7" x14ac:dyDescent="0.25">
      <c r="A28" s="4" t="s">
        <v>27</v>
      </c>
      <c r="B28" s="18" t="s">
        <v>63</v>
      </c>
      <c r="C28" s="19" t="s">
        <v>100</v>
      </c>
      <c r="D28" s="19" t="s">
        <v>117</v>
      </c>
      <c r="E28" s="20"/>
      <c r="F28" s="21">
        <f t="shared" si="0"/>
        <v>0</v>
      </c>
      <c r="G28" s="17"/>
    </row>
    <row r="29" spans="1:7" x14ac:dyDescent="0.25">
      <c r="A29" s="4" t="s">
        <v>28</v>
      </c>
      <c r="B29" s="18" t="s">
        <v>64</v>
      </c>
      <c r="C29" s="19" t="s">
        <v>101</v>
      </c>
      <c r="D29" s="19" t="s">
        <v>118</v>
      </c>
      <c r="E29" s="20"/>
      <c r="F29" s="21">
        <f t="shared" si="0"/>
        <v>0</v>
      </c>
      <c r="G29" s="17"/>
    </row>
    <row r="30" spans="1:7" x14ac:dyDescent="0.25">
      <c r="A30" s="4" t="s">
        <v>29</v>
      </c>
      <c r="B30" s="18" t="s">
        <v>65</v>
      </c>
      <c r="C30" s="19" t="s">
        <v>102</v>
      </c>
      <c r="D30" s="19" t="s">
        <v>119</v>
      </c>
      <c r="E30" s="20"/>
      <c r="F30" s="21">
        <f t="shared" si="0"/>
        <v>0</v>
      </c>
      <c r="G30" s="17"/>
    </row>
    <row r="31" spans="1:7" x14ac:dyDescent="0.25">
      <c r="A31" s="4" t="s">
        <v>30</v>
      </c>
      <c r="B31" s="18" t="s">
        <v>66</v>
      </c>
      <c r="C31" s="19" t="s">
        <v>103</v>
      </c>
      <c r="D31" s="19" t="s">
        <v>120</v>
      </c>
      <c r="E31" s="20"/>
      <c r="F31" s="21">
        <f t="shared" si="0"/>
        <v>0</v>
      </c>
      <c r="G31" s="17"/>
    </row>
    <row r="32" spans="1:7" x14ac:dyDescent="0.25">
      <c r="A32" s="4" t="s">
        <v>31</v>
      </c>
      <c r="B32" s="18" t="s">
        <v>66</v>
      </c>
      <c r="C32" s="19" t="s">
        <v>104</v>
      </c>
      <c r="D32" s="19" t="s">
        <v>120</v>
      </c>
      <c r="E32" s="20"/>
      <c r="F32" s="21">
        <f t="shared" si="0"/>
        <v>0</v>
      </c>
      <c r="G32" s="17"/>
    </row>
    <row r="33" spans="1:7" x14ac:dyDescent="0.25">
      <c r="A33" s="4" t="s">
        <v>32</v>
      </c>
      <c r="B33" s="18" t="s">
        <v>66</v>
      </c>
      <c r="C33" s="19" t="s">
        <v>105</v>
      </c>
      <c r="D33" s="19" t="s">
        <v>120</v>
      </c>
      <c r="E33" s="20">
        <v>2821292.5751948599</v>
      </c>
      <c r="F33" s="21">
        <f t="shared" si="0"/>
        <v>2821292.5751948599</v>
      </c>
      <c r="G33" s="17"/>
    </row>
    <row r="34" spans="1:7" x14ac:dyDescent="0.25">
      <c r="A34" s="4" t="s">
        <v>33</v>
      </c>
      <c r="B34" s="23" t="s">
        <v>67</v>
      </c>
      <c r="C34" s="24"/>
      <c r="D34" s="24"/>
      <c r="E34" s="25"/>
      <c r="F34" s="26">
        <f>F22+F23+F24+F25+F26+F27+F28+F29+F30+F31+F32+F33</f>
        <v>15121292.57519486</v>
      </c>
      <c r="G34" s="17"/>
    </row>
    <row r="35" spans="1:7" x14ac:dyDescent="0.25">
      <c r="A35" s="4" t="s">
        <v>34</v>
      </c>
      <c r="B35" s="18" t="s">
        <v>68</v>
      </c>
      <c r="C35" s="19" t="s">
        <v>106</v>
      </c>
      <c r="D35" s="19" t="s">
        <v>112</v>
      </c>
      <c r="E35" s="20">
        <v>-13730000</v>
      </c>
      <c r="F35" s="21">
        <f>E35</f>
        <v>-13730000</v>
      </c>
      <c r="G35" s="17"/>
    </row>
    <row r="36" spans="1:7" x14ac:dyDescent="0.25">
      <c r="A36" s="4" t="s">
        <v>35</v>
      </c>
      <c r="B36" s="18" t="s">
        <v>69</v>
      </c>
      <c r="C36" s="19" t="s">
        <v>107</v>
      </c>
      <c r="D36" s="19" t="s">
        <v>112</v>
      </c>
      <c r="E36" s="20">
        <v>-133298.97998809401</v>
      </c>
      <c r="F36" s="21">
        <f>E36</f>
        <v>-133298.97998809401</v>
      </c>
      <c r="G36" s="17"/>
    </row>
    <row r="37" spans="1:7" x14ac:dyDescent="0.25">
      <c r="A37" s="4" t="s">
        <v>36</v>
      </c>
      <c r="B37" s="23" t="s">
        <v>70</v>
      </c>
      <c r="C37" s="24" t="s">
        <v>108</v>
      </c>
      <c r="D37" s="24"/>
      <c r="E37" s="25"/>
      <c r="F37" s="26">
        <f>F12+F13+F14+F16+F17+F18+F19+F20+F22+F23+F24+F25+F26+F27+F28+F29+F30+F31+F32+F33+F35+F36</f>
        <v>397557844.69696552</v>
      </c>
      <c r="G37" s="17"/>
    </row>
    <row r="38" spans="1:7" ht="30" x14ac:dyDescent="0.25">
      <c r="A38" s="4" t="s">
        <v>37</v>
      </c>
      <c r="B38" s="18" t="s">
        <v>71</v>
      </c>
      <c r="C38" s="19" t="s">
        <v>109</v>
      </c>
      <c r="D38" s="19" t="s">
        <v>121</v>
      </c>
      <c r="E38" s="20"/>
      <c r="F38" s="21">
        <f>E38</f>
        <v>0</v>
      </c>
      <c r="G38" s="17"/>
    </row>
    <row r="39" spans="1:7" x14ac:dyDescent="0.25">
      <c r="A39" s="4" t="s">
        <v>38</v>
      </c>
      <c r="B39" s="18" t="s">
        <v>72</v>
      </c>
      <c r="C39" s="19" t="s">
        <v>110</v>
      </c>
      <c r="D39" s="19" t="s">
        <v>121</v>
      </c>
      <c r="E39" s="20">
        <v>0</v>
      </c>
      <c r="F39" s="21">
        <f>E39</f>
        <v>0</v>
      </c>
      <c r="G39" s="17"/>
    </row>
    <row r="40" spans="1:7" x14ac:dyDescent="0.25">
      <c r="A40" s="4" t="s">
        <v>39</v>
      </c>
      <c r="B40" s="18" t="s">
        <v>73</v>
      </c>
      <c r="C40" s="19" t="s">
        <v>111</v>
      </c>
      <c r="D40" s="19" t="s">
        <v>121</v>
      </c>
      <c r="E40" s="20">
        <v>0</v>
      </c>
      <c r="F40" s="21">
        <f>E40</f>
        <v>0</v>
      </c>
      <c r="G40" s="17"/>
    </row>
    <row r="41" spans="1:7" x14ac:dyDescent="0.25">
      <c r="A41" s="4" t="s">
        <v>40</v>
      </c>
      <c r="B41" s="18" t="s">
        <v>74</v>
      </c>
      <c r="C41" s="19"/>
      <c r="D41" s="19"/>
      <c r="E41" s="20">
        <v>0</v>
      </c>
      <c r="F41" s="21">
        <f>E41</f>
        <v>0</v>
      </c>
      <c r="G41" s="17"/>
    </row>
    <row r="42" spans="1:7" x14ac:dyDescent="0.25">
      <c r="A42" s="4" t="s">
        <v>41</v>
      </c>
      <c r="B42" s="18" t="s">
        <v>75</v>
      </c>
      <c r="C42" s="19"/>
      <c r="D42" s="19"/>
      <c r="E42" s="20">
        <v>0</v>
      </c>
      <c r="F42" s="21">
        <f>E42</f>
        <v>0</v>
      </c>
      <c r="G42" s="17"/>
    </row>
    <row r="43" spans="1:7" x14ac:dyDescent="0.25">
      <c r="A43" s="4" t="s">
        <v>42</v>
      </c>
      <c r="B43" s="23" t="s">
        <v>76</v>
      </c>
      <c r="C43" s="24"/>
      <c r="D43" s="24"/>
      <c r="E43" s="25"/>
      <c r="F43" s="26">
        <f>F38+F39+F40+F41+F42</f>
        <v>0</v>
      </c>
      <c r="G43" s="17"/>
    </row>
    <row r="44" spans="1:7" x14ac:dyDescent="0.25">
      <c r="A44" s="4" t="s">
        <v>43</v>
      </c>
      <c r="B44" s="23" t="s">
        <v>77</v>
      </c>
      <c r="C44" s="24"/>
      <c r="D44" s="24"/>
      <c r="E44" s="25"/>
      <c r="F44" s="26">
        <f>F12+F13+F14+F16+F17+F18+F19+F20+F22+F23+F24+F25+F26+F27+F28+F29+F30+F31+F32+F33+F35+F36+F38+F39+F40+F41+F42</f>
        <v>397557844.69696552</v>
      </c>
      <c r="G44" s="17"/>
    </row>
    <row r="45" spans="1:7" ht="30" x14ac:dyDescent="0.25">
      <c r="A45" s="4" t="s">
        <v>44</v>
      </c>
      <c r="B45" s="18" t="s">
        <v>78</v>
      </c>
      <c r="C45" s="19"/>
      <c r="D45" s="19"/>
      <c r="E45" s="20">
        <v>14572899.8796502</v>
      </c>
      <c r="F45" s="21">
        <f>0-E45</f>
        <v>-14572899.8796502</v>
      </c>
      <c r="G45" s="17"/>
    </row>
    <row r="46" spans="1:7" x14ac:dyDescent="0.25">
      <c r="A46" s="4" t="s">
        <v>45</v>
      </c>
      <c r="B46" s="18" t="s">
        <v>79</v>
      </c>
      <c r="C46" s="19"/>
      <c r="D46" s="19"/>
      <c r="E46" s="20"/>
      <c r="F46" s="21">
        <f>0-E46</f>
        <v>0</v>
      </c>
      <c r="G46" s="17"/>
    </row>
    <row r="47" spans="1:7" x14ac:dyDescent="0.25">
      <c r="A47" s="4" t="s">
        <v>46</v>
      </c>
      <c r="B47" s="18" t="s">
        <v>80</v>
      </c>
      <c r="C47" s="19"/>
      <c r="D47" s="19"/>
      <c r="E47" s="20">
        <v>0</v>
      </c>
      <c r="F47" s="21">
        <f>0-E47</f>
        <v>0</v>
      </c>
      <c r="G47" s="17"/>
    </row>
    <row r="48" spans="1:7" x14ac:dyDescent="0.25">
      <c r="A48" s="4" t="s">
        <v>47</v>
      </c>
      <c r="B48" s="18" t="s">
        <v>81</v>
      </c>
      <c r="C48" s="19"/>
      <c r="D48" s="19"/>
      <c r="E48" s="20">
        <v>0</v>
      </c>
      <c r="F48" s="21">
        <f>0-E48</f>
        <v>0</v>
      </c>
      <c r="G48" s="17"/>
    </row>
    <row r="49" spans="1:7" x14ac:dyDescent="0.25">
      <c r="A49" s="4" t="s">
        <v>48</v>
      </c>
      <c r="B49" s="23" t="s">
        <v>82</v>
      </c>
      <c r="C49" s="24"/>
      <c r="D49" s="24"/>
      <c r="E49" s="25"/>
      <c r="F49" s="26">
        <f>F45+F46+F47+F48</f>
        <v>-14572899.8796502</v>
      </c>
      <c r="G49" s="17"/>
    </row>
    <row r="50" spans="1:7" x14ac:dyDescent="0.25">
      <c r="A50" s="4" t="s">
        <v>49</v>
      </c>
      <c r="B50" s="23" t="s">
        <v>83</v>
      </c>
      <c r="C50" s="24"/>
      <c r="D50" s="24"/>
      <c r="E50" s="25"/>
      <c r="F50" s="26">
        <f>F12+F13+F14+F16+F17+F18+F19+F20+F22+F23+F24+F25+F26+F27+F28+F29+F30+F31+F32+F33+F35+F36+F38+F39+F40+F41+F42+F45+F46+F47+F48</f>
        <v>382984944.81731534</v>
      </c>
      <c r="G50" s="17"/>
    </row>
    <row r="51" spans="1:7" x14ac:dyDescent="0.25">
      <c r="A51" s="2" t="s">
        <v>122</v>
      </c>
    </row>
    <row r="53" spans="1:7" ht="21" customHeight="1" x14ac:dyDescent="0.3">
      <c r="A53" s="1" t="s">
        <v>123</v>
      </c>
    </row>
    <row r="54" spans="1:7" x14ac:dyDescent="0.25">
      <c r="A54" s="2" t="s">
        <v>124</v>
      </c>
    </row>
    <row r="55" spans="1:7" x14ac:dyDescent="0.25">
      <c r="A55" s="2" t="s">
        <v>125</v>
      </c>
    </row>
    <row r="57" spans="1:7" ht="45" x14ac:dyDescent="0.25">
      <c r="B57" s="15" t="s">
        <v>126</v>
      </c>
      <c r="C57" s="15" t="s">
        <v>127</v>
      </c>
      <c r="D57" s="15" t="s">
        <v>128</v>
      </c>
      <c r="E57" s="15" t="s">
        <v>129</v>
      </c>
      <c r="F57" s="15" t="s">
        <v>130</v>
      </c>
    </row>
    <row r="58" spans="1:7" x14ac:dyDescent="0.25">
      <c r="A58" s="4" t="s">
        <v>131</v>
      </c>
      <c r="B58" s="27">
        <v>4.1700000000000001E-2</v>
      </c>
      <c r="C58" s="20">
        <v>40</v>
      </c>
      <c r="D58" s="28">
        <v>0</v>
      </c>
      <c r="E58" s="22">
        <v>0.95</v>
      </c>
      <c r="F58" s="20">
        <v>365</v>
      </c>
      <c r="G58" s="17"/>
    </row>
    <row r="60" spans="1:7" ht="21" customHeight="1" x14ac:dyDescent="0.3">
      <c r="A60" s="1" t="s">
        <v>132</v>
      </c>
    </row>
    <row r="61" spans="1:7" x14ac:dyDescent="0.25">
      <c r="A61" s="2" t="s">
        <v>133</v>
      </c>
    </row>
    <row r="62" spans="1:7" x14ac:dyDescent="0.25">
      <c r="A62" s="2" t="s">
        <v>134</v>
      </c>
    </row>
    <row r="63" spans="1:7" x14ac:dyDescent="0.25">
      <c r="A63" s="2" t="s">
        <v>135</v>
      </c>
    </row>
    <row r="64" spans="1:7" x14ac:dyDescent="0.25">
      <c r="A64" s="2" t="s">
        <v>136</v>
      </c>
    </row>
    <row r="65" spans="1:3" x14ac:dyDescent="0.25">
      <c r="A65" s="2" t="s">
        <v>137</v>
      </c>
    </row>
    <row r="67" spans="1:3" ht="45" x14ac:dyDescent="0.25">
      <c r="B67" s="15" t="s">
        <v>138</v>
      </c>
    </row>
    <row r="68" spans="1:3" x14ac:dyDescent="0.25">
      <c r="A68" s="4" t="s">
        <v>139</v>
      </c>
      <c r="B68" s="27">
        <v>7.4201801181666902E-2</v>
      </c>
      <c r="C68" s="17"/>
    </row>
    <row r="69" spans="1:3" x14ac:dyDescent="0.25">
      <c r="A69" s="4" t="s">
        <v>140</v>
      </c>
      <c r="B69" s="27">
        <v>4.6792053925916698E-2</v>
      </c>
      <c r="C69" s="17"/>
    </row>
    <row r="70" spans="1:3" x14ac:dyDescent="0.25">
      <c r="A70" s="4" t="s">
        <v>141</v>
      </c>
      <c r="B70" s="25"/>
      <c r="C70" s="17"/>
    </row>
    <row r="71" spans="1:3" x14ac:dyDescent="0.25">
      <c r="A71" s="4" t="s">
        <v>142</v>
      </c>
      <c r="B71" s="27">
        <v>8.6888423804350898E-2</v>
      </c>
      <c r="C71" s="17"/>
    </row>
    <row r="72" spans="1:3" x14ac:dyDescent="0.25">
      <c r="A72" s="4" t="s">
        <v>143</v>
      </c>
      <c r="B72" s="25"/>
      <c r="C72" s="17"/>
    </row>
    <row r="73" spans="1:3" x14ac:dyDescent="0.25">
      <c r="A73" s="4" t="s">
        <v>144</v>
      </c>
      <c r="B73" s="27">
        <v>0.30561534548366998</v>
      </c>
      <c r="C73" s="17"/>
    </row>
    <row r="74" spans="1:3" x14ac:dyDescent="0.25">
      <c r="A74" s="4" t="s">
        <v>145</v>
      </c>
      <c r="B74" s="25"/>
      <c r="C74" s="17"/>
    </row>
    <row r="75" spans="1:3" x14ac:dyDescent="0.25">
      <c r="A75" s="4" t="s">
        <v>146</v>
      </c>
      <c r="B75" s="25"/>
      <c r="C75" s="17"/>
    </row>
    <row r="77" spans="1:3" ht="21" customHeight="1" x14ac:dyDescent="0.3">
      <c r="A77" s="1" t="s">
        <v>147</v>
      </c>
    </row>
    <row r="79" spans="1:3" x14ac:dyDescent="0.25">
      <c r="B79" s="15" t="s">
        <v>148</v>
      </c>
    </row>
    <row r="80" spans="1:3" x14ac:dyDescent="0.25">
      <c r="A80" s="4" t="s">
        <v>143</v>
      </c>
      <c r="B80" s="27"/>
      <c r="C80" s="17"/>
    </row>
    <row r="82" spans="1:3" ht="21" customHeight="1" x14ac:dyDescent="0.3">
      <c r="A82" s="1" t="s">
        <v>149</v>
      </c>
    </row>
    <row r="84" spans="1:3" ht="30" x14ac:dyDescent="0.25">
      <c r="B84" s="15" t="s">
        <v>150</v>
      </c>
    </row>
    <row r="85" spans="1:3" x14ac:dyDescent="0.25">
      <c r="A85" s="4" t="s">
        <v>150</v>
      </c>
      <c r="B85" s="20">
        <v>500</v>
      </c>
      <c r="C85" s="17"/>
    </row>
    <row r="87" spans="1:3" ht="21" customHeight="1" x14ac:dyDescent="0.3">
      <c r="A87" s="1" t="s">
        <v>151</v>
      </c>
    </row>
    <row r="89" spans="1:3" x14ac:dyDescent="0.25">
      <c r="B89" s="15" t="s">
        <v>152</v>
      </c>
    </row>
    <row r="90" spans="1:3" x14ac:dyDescent="0.25">
      <c r="A90" s="4" t="s">
        <v>140</v>
      </c>
      <c r="B90" s="20">
        <v>93700604.937056199</v>
      </c>
      <c r="C90" s="17"/>
    </row>
    <row r="91" spans="1:3" x14ac:dyDescent="0.25">
      <c r="A91" s="4" t="s">
        <v>141</v>
      </c>
      <c r="B91" s="20">
        <v>37063778.5778528</v>
      </c>
      <c r="C91" s="17"/>
    </row>
    <row r="92" spans="1:3" x14ac:dyDescent="0.25">
      <c r="A92" s="4" t="s">
        <v>142</v>
      </c>
      <c r="B92" s="20">
        <v>93588546.738528594</v>
      </c>
      <c r="C92" s="17"/>
    </row>
    <row r="93" spans="1:3" x14ac:dyDescent="0.25">
      <c r="A93" s="4" t="s">
        <v>143</v>
      </c>
      <c r="B93" s="20">
        <v>59035973.1970466</v>
      </c>
      <c r="C93" s="17"/>
    </row>
    <row r="94" spans="1:3" x14ac:dyDescent="0.25">
      <c r="A94" s="4" t="s">
        <v>148</v>
      </c>
      <c r="B94" s="20">
        <v>0</v>
      </c>
      <c r="C94" s="17"/>
    </row>
    <row r="95" spans="1:3" x14ac:dyDescent="0.25">
      <c r="A95" s="4" t="s">
        <v>144</v>
      </c>
      <c r="B95" s="20">
        <v>107178668.28656299</v>
      </c>
      <c r="C95" s="17"/>
    </row>
    <row r="96" spans="1:3" x14ac:dyDescent="0.25">
      <c r="A96" s="4" t="s">
        <v>145</v>
      </c>
      <c r="B96" s="20">
        <v>97309699.622141004</v>
      </c>
      <c r="C96" s="17"/>
    </row>
    <row r="97" spans="1:10" x14ac:dyDescent="0.25">
      <c r="A97" s="4" t="s">
        <v>146</v>
      </c>
      <c r="B97" s="20">
        <v>53944771.386190601</v>
      </c>
      <c r="C97" s="17"/>
    </row>
    <row r="99" spans="1:10" ht="21" customHeight="1" x14ac:dyDescent="0.3">
      <c r="A99" s="1" t="s">
        <v>153</v>
      </c>
    </row>
    <row r="101" spans="1:10" x14ac:dyDescent="0.25">
      <c r="B101" s="15" t="s">
        <v>154</v>
      </c>
      <c r="C101" s="15" t="s">
        <v>155</v>
      </c>
      <c r="D101" s="15" t="s">
        <v>156</v>
      </c>
      <c r="E101" s="15" t="s">
        <v>157</v>
      </c>
      <c r="F101" s="15" t="s">
        <v>158</v>
      </c>
      <c r="G101" s="15" t="s">
        <v>159</v>
      </c>
      <c r="H101" s="15" t="s">
        <v>160</v>
      </c>
      <c r="I101" s="15" t="s">
        <v>161</v>
      </c>
    </row>
    <row r="102" spans="1:10" x14ac:dyDescent="0.25">
      <c r="A102" s="4" t="s">
        <v>162</v>
      </c>
      <c r="B102" s="20">
        <v>10240.4014753883</v>
      </c>
      <c r="C102" s="20">
        <v>512.02007376941299</v>
      </c>
      <c r="D102" s="20">
        <v>2407.1562571231998</v>
      </c>
      <c r="E102" s="20">
        <v>7727.2582080883003</v>
      </c>
      <c r="F102" s="20">
        <v>281.43661458691599</v>
      </c>
      <c r="G102" s="20">
        <v>0</v>
      </c>
      <c r="H102" s="20">
        <v>0</v>
      </c>
      <c r="I102" s="20">
        <v>0</v>
      </c>
      <c r="J102" s="17"/>
    </row>
    <row r="104" spans="1:10" ht="21" customHeight="1" x14ac:dyDescent="0.3">
      <c r="A104" s="1" t="s">
        <v>163</v>
      </c>
    </row>
    <row r="106" spans="1:10" x14ac:dyDescent="0.25">
      <c r="B106" s="15" t="s">
        <v>164</v>
      </c>
      <c r="C106" s="15" t="s">
        <v>165</v>
      </c>
      <c r="D106" s="15" t="s">
        <v>166</v>
      </c>
      <c r="E106" s="15" t="s">
        <v>167</v>
      </c>
      <c r="F106" s="15" t="s">
        <v>168</v>
      </c>
    </row>
    <row r="107" spans="1:10" x14ac:dyDescent="0.25">
      <c r="A107" s="4" t="s">
        <v>169</v>
      </c>
      <c r="B107" s="20">
        <v>19221.963352754599</v>
      </c>
      <c r="C107" s="20">
        <v>16991.210502362101</v>
      </c>
      <c r="D107" s="20">
        <v>1144.1324999999999</v>
      </c>
      <c r="E107" s="20">
        <v>0</v>
      </c>
      <c r="F107" s="20">
        <v>0</v>
      </c>
      <c r="G107" s="17"/>
    </row>
    <row r="109" spans="1:10" ht="21" customHeight="1" x14ac:dyDescent="0.3">
      <c r="A109" s="1" t="s">
        <v>170</v>
      </c>
    </row>
    <row r="111" spans="1:10" x14ac:dyDescent="0.25">
      <c r="B111" s="15" t="s">
        <v>154</v>
      </c>
      <c r="C111" s="15" t="s">
        <v>155</v>
      </c>
      <c r="D111" s="15" t="s">
        <v>156</v>
      </c>
      <c r="E111" s="15" t="s">
        <v>157</v>
      </c>
      <c r="F111" s="15" t="s">
        <v>158</v>
      </c>
      <c r="G111" s="15" t="s">
        <v>159</v>
      </c>
      <c r="H111" s="15" t="s">
        <v>160</v>
      </c>
      <c r="I111" s="15" t="s">
        <v>161</v>
      </c>
    </row>
    <row r="112" spans="1:10" x14ac:dyDescent="0.25">
      <c r="A112" s="4" t="s">
        <v>171</v>
      </c>
      <c r="B112" s="27">
        <v>0.05</v>
      </c>
      <c r="C112" s="27">
        <v>0</v>
      </c>
      <c r="D112" s="27">
        <v>0</v>
      </c>
      <c r="E112" s="27">
        <v>0</v>
      </c>
      <c r="F112" s="27">
        <v>0</v>
      </c>
      <c r="G112" s="27">
        <v>0</v>
      </c>
      <c r="H112" s="27">
        <v>0</v>
      </c>
      <c r="I112" s="27">
        <v>0</v>
      </c>
      <c r="J112" s="17"/>
    </row>
    <row r="113" spans="1:10" x14ac:dyDescent="0.25">
      <c r="A113" s="4" t="s">
        <v>172</v>
      </c>
      <c r="B113" s="27">
        <v>0.05</v>
      </c>
      <c r="C113" s="27">
        <v>0</v>
      </c>
      <c r="D113" s="27">
        <v>0</v>
      </c>
      <c r="E113" s="27">
        <v>0</v>
      </c>
      <c r="F113" s="27">
        <v>0</v>
      </c>
      <c r="G113" s="27">
        <v>0</v>
      </c>
      <c r="H113" s="27">
        <v>0</v>
      </c>
      <c r="I113" s="27">
        <v>0</v>
      </c>
      <c r="J113" s="17"/>
    </row>
    <row r="114" spans="1:10" x14ac:dyDescent="0.25">
      <c r="A114" s="4" t="s">
        <v>173</v>
      </c>
      <c r="B114" s="27">
        <v>0</v>
      </c>
      <c r="C114" s="27">
        <v>1</v>
      </c>
      <c r="D114" s="27">
        <v>0</v>
      </c>
      <c r="E114" s="27">
        <v>0</v>
      </c>
      <c r="F114" s="27">
        <v>0</v>
      </c>
      <c r="G114" s="27">
        <v>0</v>
      </c>
      <c r="H114" s="27">
        <v>0</v>
      </c>
      <c r="I114" s="27">
        <v>0</v>
      </c>
      <c r="J114" s="17"/>
    </row>
    <row r="115" spans="1:10" x14ac:dyDescent="0.25">
      <c r="A115" s="4" t="s">
        <v>174</v>
      </c>
      <c r="B115" s="27">
        <v>0</v>
      </c>
      <c r="C115" s="27">
        <v>1</v>
      </c>
      <c r="D115" s="27">
        <v>0</v>
      </c>
      <c r="E115" s="27">
        <v>0</v>
      </c>
      <c r="F115" s="27">
        <v>0</v>
      </c>
      <c r="G115" s="27">
        <v>0</v>
      </c>
      <c r="H115" s="27">
        <v>0</v>
      </c>
      <c r="I115" s="27">
        <v>0</v>
      </c>
      <c r="J115" s="17"/>
    </row>
    <row r="116" spans="1:10" x14ac:dyDescent="0.25">
      <c r="A116" s="4" t="s">
        <v>175</v>
      </c>
      <c r="B116" s="27">
        <v>0</v>
      </c>
      <c r="C116" s="27">
        <v>0.19185090443997799</v>
      </c>
      <c r="D116" s="27">
        <v>0.80814909556002201</v>
      </c>
      <c r="E116" s="27">
        <v>0</v>
      </c>
      <c r="F116" s="27">
        <v>0</v>
      </c>
      <c r="G116" s="27">
        <v>0</v>
      </c>
      <c r="H116" s="27">
        <v>0</v>
      </c>
      <c r="I116" s="27">
        <v>0</v>
      </c>
      <c r="J116" s="17"/>
    </row>
    <row r="117" spans="1:10" x14ac:dyDescent="0.25">
      <c r="A117" s="4" t="s">
        <v>176</v>
      </c>
      <c r="B117" s="27">
        <v>0</v>
      </c>
      <c r="C117" s="27">
        <v>0</v>
      </c>
      <c r="D117" s="27">
        <v>0</v>
      </c>
      <c r="E117" s="27">
        <v>1</v>
      </c>
      <c r="F117" s="27">
        <v>0</v>
      </c>
      <c r="G117" s="27">
        <v>0</v>
      </c>
      <c r="H117" s="27">
        <v>0</v>
      </c>
      <c r="I117" s="27">
        <v>0</v>
      </c>
      <c r="J117" s="17"/>
    </row>
    <row r="118" spans="1:10" x14ac:dyDescent="0.25">
      <c r="A118" s="4" t="s">
        <v>177</v>
      </c>
      <c r="B118" s="27">
        <v>0.05</v>
      </c>
      <c r="C118" s="27">
        <v>0</v>
      </c>
      <c r="D118" s="27">
        <v>0</v>
      </c>
      <c r="E118" s="27">
        <v>0</v>
      </c>
      <c r="F118" s="27">
        <v>0</v>
      </c>
      <c r="G118" s="27">
        <v>0</v>
      </c>
      <c r="H118" s="27">
        <v>0</v>
      </c>
      <c r="I118" s="27">
        <v>0</v>
      </c>
      <c r="J118" s="17"/>
    </row>
    <row r="119" spans="1:10" x14ac:dyDescent="0.25">
      <c r="A119" s="4" t="s">
        <v>178</v>
      </c>
      <c r="B119" s="27">
        <v>0</v>
      </c>
      <c r="C119" s="27">
        <v>1</v>
      </c>
      <c r="D119" s="27">
        <v>0</v>
      </c>
      <c r="E119" s="27">
        <v>0</v>
      </c>
      <c r="F119" s="27">
        <v>0</v>
      </c>
      <c r="G119" s="27">
        <v>0</v>
      </c>
      <c r="H119" s="27">
        <v>0</v>
      </c>
      <c r="I119" s="27">
        <v>0</v>
      </c>
      <c r="J119" s="17"/>
    </row>
    <row r="120" spans="1:10" x14ac:dyDescent="0.25">
      <c r="A120" s="4" t="s">
        <v>179</v>
      </c>
      <c r="B120" s="27">
        <v>0</v>
      </c>
      <c r="C120" s="27">
        <v>0</v>
      </c>
      <c r="D120" s="27">
        <v>1</v>
      </c>
      <c r="E120" s="27">
        <v>0</v>
      </c>
      <c r="F120" s="27">
        <v>0</v>
      </c>
      <c r="G120" s="27">
        <v>0</v>
      </c>
      <c r="H120" s="27">
        <v>0</v>
      </c>
      <c r="I120" s="27">
        <v>0</v>
      </c>
      <c r="J120" s="17"/>
    </row>
    <row r="121" spans="1:10" x14ac:dyDescent="0.25">
      <c r="A121" s="4" t="s">
        <v>180</v>
      </c>
      <c r="B121" s="27">
        <v>0</v>
      </c>
      <c r="C121" s="27">
        <v>0</v>
      </c>
      <c r="D121" s="27">
        <v>0</v>
      </c>
      <c r="E121" s="27">
        <v>1</v>
      </c>
      <c r="F121" s="27">
        <v>0</v>
      </c>
      <c r="G121" s="27">
        <v>0</v>
      </c>
      <c r="H121" s="27">
        <v>0</v>
      </c>
      <c r="I121" s="27">
        <v>0</v>
      </c>
      <c r="J121" s="17"/>
    </row>
    <row r="122" spans="1:10" x14ac:dyDescent="0.25">
      <c r="A122" s="4" t="s">
        <v>181</v>
      </c>
      <c r="B122" s="27">
        <v>0</v>
      </c>
      <c r="C122" s="27">
        <v>0</v>
      </c>
      <c r="D122" s="27">
        <v>0</v>
      </c>
      <c r="E122" s="27">
        <v>0</v>
      </c>
      <c r="F122" s="27">
        <v>0</v>
      </c>
      <c r="G122" s="27">
        <v>0</v>
      </c>
      <c r="H122" s="27">
        <v>0</v>
      </c>
      <c r="I122" s="27">
        <v>0</v>
      </c>
      <c r="J122" s="17"/>
    </row>
    <row r="123" spans="1:10" x14ac:dyDescent="0.25">
      <c r="A123" s="4" t="s">
        <v>182</v>
      </c>
      <c r="B123" s="27">
        <v>0</v>
      </c>
      <c r="C123" s="27">
        <v>0</v>
      </c>
      <c r="D123" s="27">
        <v>0</v>
      </c>
      <c r="E123" s="27">
        <v>0</v>
      </c>
      <c r="F123" s="27">
        <v>0</v>
      </c>
      <c r="G123" s="27">
        <v>0</v>
      </c>
      <c r="H123" s="27">
        <v>0</v>
      </c>
      <c r="I123" s="27">
        <v>0</v>
      </c>
      <c r="J123" s="17"/>
    </row>
    <row r="124" spans="1:10" x14ac:dyDescent="0.25">
      <c r="A124" s="4" t="s">
        <v>183</v>
      </c>
      <c r="B124" s="27">
        <v>0</v>
      </c>
      <c r="C124" s="27">
        <v>0</v>
      </c>
      <c r="D124" s="27">
        <v>0</v>
      </c>
      <c r="E124" s="27">
        <v>0</v>
      </c>
      <c r="F124" s="27">
        <v>0</v>
      </c>
      <c r="G124" s="27">
        <v>0</v>
      </c>
      <c r="H124" s="27">
        <v>0</v>
      </c>
      <c r="I124" s="27">
        <v>0</v>
      </c>
      <c r="J124" s="17"/>
    </row>
    <row r="125" spans="1:10" x14ac:dyDescent="0.25">
      <c r="A125" s="4" t="s">
        <v>184</v>
      </c>
      <c r="B125" s="27">
        <v>0</v>
      </c>
      <c r="C125" s="27">
        <v>0</v>
      </c>
      <c r="D125" s="27">
        <v>0</v>
      </c>
      <c r="E125" s="27">
        <v>0</v>
      </c>
      <c r="F125" s="27">
        <v>0</v>
      </c>
      <c r="G125" s="27">
        <v>0</v>
      </c>
      <c r="H125" s="27">
        <v>0</v>
      </c>
      <c r="I125" s="27">
        <v>0</v>
      </c>
      <c r="J125" s="17"/>
    </row>
    <row r="126" spans="1:10" x14ac:dyDescent="0.25">
      <c r="A126" s="4" t="s">
        <v>185</v>
      </c>
      <c r="B126" s="27">
        <v>0</v>
      </c>
      <c r="C126" s="27">
        <v>0</v>
      </c>
      <c r="D126" s="27">
        <v>0</v>
      </c>
      <c r="E126" s="27">
        <v>0</v>
      </c>
      <c r="F126" s="27">
        <v>0</v>
      </c>
      <c r="G126" s="27">
        <v>0</v>
      </c>
      <c r="H126" s="27">
        <v>0</v>
      </c>
      <c r="I126" s="27">
        <v>0</v>
      </c>
      <c r="J126" s="17"/>
    </row>
    <row r="127" spans="1:10" x14ac:dyDescent="0.25">
      <c r="A127" s="4" t="s">
        <v>186</v>
      </c>
      <c r="B127" s="27">
        <v>0</v>
      </c>
      <c r="C127" s="27">
        <v>0</v>
      </c>
      <c r="D127" s="27">
        <v>0</v>
      </c>
      <c r="E127" s="27">
        <v>0</v>
      </c>
      <c r="F127" s="27">
        <v>0</v>
      </c>
      <c r="G127" s="27">
        <v>0</v>
      </c>
      <c r="H127" s="27">
        <v>0</v>
      </c>
      <c r="I127" s="27">
        <v>0</v>
      </c>
      <c r="J127" s="17"/>
    </row>
    <row r="129" spans="1:10" ht="21" customHeight="1" x14ac:dyDescent="0.3">
      <c r="A129" s="1" t="s">
        <v>187</v>
      </c>
    </row>
    <row r="130" spans="1:10" x14ac:dyDescent="0.25">
      <c r="A130" s="2" t="s">
        <v>188</v>
      </c>
    </row>
    <row r="131" spans="1:10" x14ac:dyDescent="0.25">
      <c r="A131" s="2" t="s">
        <v>189</v>
      </c>
    </row>
    <row r="133" spans="1:10" x14ac:dyDescent="0.25">
      <c r="B133" s="15" t="s">
        <v>154</v>
      </c>
      <c r="C133" s="15" t="s">
        <v>155</v>
      </c>
      <c r="D133" s="15" t="s">
        <v>156</v>
      </c>
      <c r="E133" s="15" t="s">
        <v>157</v>
      </c>
      <c r="F133" s="15" t="s">
        <v>158</v>
      </c>
      <c r="G133" s="15" t="s">
        <v>159</v>
      </c>
      <c r="H133" s="15" t="s">
        <v>160</v>
      </c>
      <c r="I133" s="15" t="s">
        <v>161</v>
      </c>
    </row>
    <row r="134" spans="1:10" x14ac:dyDescent="0.25">
      <c r="A134" s="4" t="s">
        <v>190</v>
      </c>
      <c r="B134" s="22"/>
      <c r="C134" s="22"/>
      <c r="D134" s="22"/>
      <c r="E134" s="22"/>
      <c r="F134" s="22">
        <v>2.8726327682335202</v>
      </c>
      <c r="G134" s="22"/>
      <c r="H134" s="22"/>
      <c r="I134" s="22"/>
      <c r="J134" s="17"/>
    </row>
    <row r="136" spans="1:10" ht="21" customHeight="1" x14ac:dyDescent="0.3">
      <c r="A136" s="1" t="s">
        <v>191</v>
      </c>
    </row>
    <row r="138" spans="1:10" x14ac:dyDescent="0.25">
      <c r="B138" s="15" t="s">
        <v>164</v>
      </c>
      <c r="C138" s="15" t="s">
        <v>165</v>
      </c>
      <c r="D138" s="15" t="s">
        <v>166</v>
      </c>
      <c r="E138" s="15" t="s">
        <v>167</v>
      </c>
      <c r="F138" s="15" t="s">
        <v>168</v>
      </c>
    </row>
    <row r="139" spans="1:10" x14ac:dyDescent="0.25">
      <c r="A139" s="4" t="s">
        <v>192</v>
      </c>
      <c r="B139" s="27">
        <v>0</v>
      </c>
      <c r="C139" s="27">
        <v>1</v>
      </c>
      <c r="D139" s="27">
        <v>0</v>
      </c>
      <c r="E139" s="27">
        <v>0</v>
      </c>
      <c r="F139" s="27">
        <v>0</v>
      </c>
      <c r="G139" s="17"/>
    </row>
    <row r="140" spans="1:10" x14ac:dyDescent="0.25">
      <c r="A140" s="4" t="s">
        <v>193</v>
      </c>
      <c r="B140" s="27">
        <v>0</v>
      </c>
      <c r="C140" s="27">
        <v>1</v>
      </c>
      <c r="D140" s="27">
        <v>0</v>
      </c>
      <c r="E140" s="27">
        <v>0</v>
      </c>
      <c r="F140" s="27">
        <v>0</v>
      </c>
      <c r="G140" s="17"/>
    </row>
    <row r="141" spans="1:10" x14ac:dyDescent="0.25">
      <c r="A141" s="4" t="s">
        <v>194</v>
      </c>
      <c r="B141" s="27">
        <v>0</v>
      </c>
      <c r="C141" s="27">
        <v>0</v>
      </c>
      <c r="D141" s="27">
        <v>1</v>
      </c>
      <c r="E141" s="27">
        <v>0</v>
      </c>
      <c r="F141" s="27">
        <v>0</v>
      </c>
      <c r="G141" s="17"/>
    </row>
    <row r="142" spans="1:10" x14ac:dyDescent="0.25">
      <c r="A142" s="4" t="s">
        <v>195</v>
      </c>
      <c r="B142" s="27">
        <v>0</v>
      </c>
      <c r="C142" s="27">
        <v>0</v>
      </c>
      <c r="D142" s="27">
        <v>1</v>
      </c>
      <c r="E142" s="27">
        <v>0</v>
      </c>
      <c r="F142" s="27">
        <v>0</v>
      </c>
      <c r="G142" s="17"/>
    </row>
    <row r="144" spans="1:10" ht="21" customHeight="1" x14ac:dyDescent="0.3">
      <c r="A144" s="1" t="s">
        <v>196</v>
      </c>
    </row>
    <row r="145" spans="1:9" x14ac:dyDescent="0.25">
      <c r="A145" s="2" t="s">
        <v>197</v>
      </c>
    </row>
    <row r="147" spans="1:9" x14ac:dyDescent="0.25">
      <c r="B147" s="15" t="s">
        <v>140</v>
      </c>
      <c r="C147" s="15" t="s">
        <v>141</v>
      </c>
      <c r="D147" s="15" t="s">
        <v>142</v>
      </c>
      <c r="E147" s="15" t="s">
        <v>143</v>
      </c>
      <c r="F147" s="15" t="s">
        <v>144</v>
      </c>
      <c r="G147" s="15" t="s">
        <v>145</v>
      </c>
      <c r="H147" s="15" t="s">
        <v>146</v>
      </c>
    </row>
    <row r="148" spans="1:9" x14ac:dyDescent="0.25">
      <c r="A148" s="4" t="s">
        <v>198</v>
      </c>
      <c r="B148" s="22">
        <v>1.0102076529999999</v>
      </c>
      <c r="C148" s="22">
        <v>1.0151679520000001</v>
      </c>
      <c r="D148" s="22">
        <v>1.0216131209999999</v>
      </c>
      <c r="E148" s="22">
        <v>1.027143717</v>
      </c>
      <c r="F148" s="22">
        <v>1.039482236</v>
      </c>
      <c r="G148" s="22">
        <v>1.0531131030000001</v>
      </c>
      <c r="H148" s="22">
        <v>1.1055232290000001</v>
      </c>
      <c r="I148" s="17"/>
    </row>
    <row r="150" spans="1:9" ht="21" customHeight="1" x14ac:dyDescent="0.3">
      <c r="A150" s="1" t="s">
        <v>199</v>
      </c>
    </row>
    <row r="151" spans="1:9" x14ac:dyDescent="0.25">
      <c r="A151" s="2" t="s">
        <v>200</v>
      </c>
    </row>
    <row r="153" spans="1:9" x14ac:dyDescent="0.25">
      <c r="B153" s="15" t="s">
        <v>201</v>
      </c>
      <c r="C153" s="15" t="s">
        <v>202</v>
      </c>
      <c r="D153" s="15" t="s">
        <v>203</v>
      </c>
      <c r="E153" s="15" t="s">
        <v>204</v>
      </c>
      <c r="F153" s="15" t="s">
        <v>205</v>
      </c>
    </row>
    <row r="154" spans="1:9" x14ac:dyDescent="0.25">
      <c r="A154" s="4" t="s">
        <v>206</v>
      </c>
      <c r="B154" s="25"/>
      <c r="C154" s="27">
        <v>0.35385228459835483</v>
      </c>
      <c r="D154" s="27">
        <v>0.57621522023143523</v>
      </c>
      <c r="E154" s="27">
        <v>0.33627829782411056</v>
      </c>
      <c r="F154" s="27">
        <v>0.21582557820770013</v>
      </c>
      <c r="G154" s="17"/>
    </row>
    <row r="156" spans="1:9" ht="21" customHeight="1" x14ac:dyDescent="0.3">
      <c r="A156" s="1" t="s">
        <v>207</v>
      </c>
    </row>
    <row r="158" spans="1:9" x14ac:dyDescent="0.25">
      <c r="B158" s="15" t="s">
        <v>201</v>
      </c>
      <c r="C158" s="15" t="s">
        <v>202</v>
      </c>
      <c r="D158" s="15" t="s">
        <v>203</v>
      </c>
      <c r="E158" s="15" t="s">
        <v>204</v>
      </c>
      <c r="F158" s="15" t="s">
        <v>205</v>
      </c>
    </row>
    <row r="159" spans="1:9" x14ac:dyDescent="0.25">
      <c r="A159" s="4" t="s">
        <v>208</v>
      </c>
      <c r="B159" s="25"/>
      <c r="C159" s="22">
        <v>0.67772781657009762</v>
      </c>
      <c r="D159" s="22">
        <v>1.1036161135010634</v>
      </c>
      <c r="E159" s="22">
        <v>0.64406863107562107</v>
      </c>
      <c r="F159" s="22">
        <v>0.41336739720279175</v>
      </c>
      <c r="G159" s="17"/>
    </row>
    <row r="161" spans="1:4" ht="21" customHeight="1" x14ac:dyDescent="0.3">
      <c r="A161" s="1" t="s">
        <v>209</v>
      </c>
    </row>
    <row r="162" spans="1:4" x14ac:dyDescent="0.25">
      <c r="A162" s="2" t="s">
        <v>210</v>
      </c>
    </row>
    <row r="164" spans="1:4" x14ac:dyDescent="0.25">
      <c r="B164" s="15" t="s">
        <v>211</v>
      </c>
      <c r="C164" s="15" t="s">
        <v>212</v>
      </c>
    </row>
    <row r="165" spans="1:4" x14ac:dyDescent="0.25">
      <c r="A165" s="4" t="s">
        <v>171</v>
      </c>
      <c r="B165" s="22">
        <v>0.89137034544201299</v>
      </c>
      <c r="C165" s="22">
        <v>0.44626684725397398</v>
      </c>
      <c r="D165" s="17"/>
    </row>
    <row r="166" spans="1:4" x14ac:dyDescent="0.25">
      <c r="A166" s="4" t="s">
        <v>172</v>
      </c>
      <c r="B166" s="22">
        <v>0.295104704228562</v>
      </c>
      <c r="C166" s="22">
        <v>0.24676500337314999</v>
      </c>
      <c r="D166" s="17"/>
    </row>
    <row r="167" spans="1:4" x14ac:dyDescent="0.25">
      <c r="A167" s="4" t="s">
        <v>213</v>
      </c>
      <c r="B167" s="25"/>
      <c r="C167" s="22">
        <v>0.16596325934394099</v>
      </c>
      <c r="D167" s="17"/>
    </row>
    <row r="168" spans="1:4" x14ac:dyDescent="0.25">
      <c r="A168" s="4" t="s">
        <v>173</v>
      </c>
      <c r="B168" s="22">
        <v>0.675023322007124</v>
      </c>
      <c r="C168" s="22">
        <v>0.39396831527627701</v>
      </c>
      <c r="D168" s="17"/>
    </row>
    <row r="169" spans="1:4" x14ac:dyDescent="0.25">
      <c r="A169" s="4" t="s">
        <v>174</v>
      </c>
      <c r="B169" s="22">
        <v>0.702263975329524</v>
      </c>
      <c r="C169" s="22">
        <v>0.53949246359069003</v>
      </c>
      <c r="D169" s="17"/>
    </row>
    <row r="170" spans="1:4" x14ac:dyDescent="0.25">
      <c r="A170" s="4" t="s">
        <v>214</v>
      </c>
      <c r="B170" s="25"/>
      <c r="C170" s="22">
        <v>0.16553846346779899</v>
      </c>
      <c r="D170" s="17"/>
    </row>
    <row r="171" spans="1:4" x14ac:dyDescent="0.25">
      <c r="A171" s="4" t="s">
        <v>175</v>
      </c>
      <c r="B171" s="22">
        <v>0.829972013647572</v>
      </c>
      <c r="C171" s="22">
        <v>0.562704340427022</v>
      </c>
      <c r="D171" s="17"/>
    </row>
    <row r="172" spans="1:4" x14ac:dyDescent="0.25">
      <c r="A172" s="4" t="s">
        <v>176</v>
      </c>
      <c r="B172" s="22">
        <v>0.78229899233881794</v>
      </c>
      <c r="C172" s="22">
        <v>0.53706816532924095</v>
      </c>
      <c r="D172" s="17"/>
    </row>
    <row r="173" spans="1:4" x14ac:dyDescent="0.25">
      <c r="A173" s="4" t="s">
        <v>192</v>
      </c>
      <c r="B173" s="22">
        <v>0.76477643688085495</v>
      </c>
      <c r="C173" s="22">
        <v>0.52473661670350602</v>
      </c>
      <c r="D173" s="17"/>
    </row>
    <row r="174" spans="1:4" x14ac:dyDescent="0.25">
      <c r="A174" s="4" t="s">
        <v>177</v>
      </c>
      <c r="B174" s="22">
        <v>0.89137034544201299</v>
      </c>
      <c r="C174" s="22">
        <v>0.44626684725397398</v>
      </c>
      <c r="D174" s="17"/>
    </row>
    <row r="175" spans="1:4" x14ac:dyDescent="0.25">
      <c r="A175" s="4" t="s">
        <v>178</v>
      </c>
      <c r="B175" s="22">
        <v>0.675023322007124</v>
      </c>
      <c r="C175" s="22">
        <v>0.39396831527627701</v>
      </c>
      <c r="D175" s="17"/>
    </row>
    <row r="176" spans="1:4" x14ac:dyDescent="0.25">
      <c r="A176" s="4" t="s">
        <v>179</v>
      </c>
      <c r="B176" s="22">
        <v>0.81870705326153004</v>
      </c>
      <c r="C176" s="22">
        <v>0.55796770741569102</v>
      </c>
      <c r="D176" s="17"/>
    </row>
    <row r="177" spans="1:8" x14ac:dyDescent="0.25">
      <c r="A177" s="4" t="s">
        <v>180</v>
      </c>
      <c r="B177" s="22">
        <v>0.78675785248614205</v>
      </c>
      <c r="C177" s="22">
        <v>0.55930630823465399</v>
      </c>
      <c r="D177" s="17"/>
    </row>
    <row r="178" spans="1:8" x14ac:dyDescent="0.25">
      <c r="A178" s="4" t="s">
        <v>193</v>
      </c>
      <c r="B178" s="22">
        <v>0.85731329028935999</v>
      </c>
      <c r="C178" s="22">
        <v>0.711722805807675</v>
      </c>
      <c r="D178" s="17"/>
    </row>
    <row r="179" spans="1:8" x14ac:dyDescent="0.25">
      <c r="A179" s="4" t="s">
        <v>215</v>
      </c>
      <c r="B179" s="22">
        <v>1</v>
      </c>
      <c r="C179" s="22">
        <v>1</v>
      </c>
      <c r="D179" s="17"/>
    </row>
    <row r="180" spans="1:8" x14ac:dyDescent="0.25">
      <c r="A180" s="4" t="s">
        <v>216</v>
      </c>
      <c r="B180" s="22">
        <v>1</v>
      </c>
      <c r="C180" s="22">
        <v>0.47372209284627098</v>
      </c>
      <c r="D180" s="17"/>
    </row>
    <row r="181" spans="1:8" x14ac:dyDescent="0.25">
      <c r="A181" s="4" t="s">
        <v>217</v>
      </c>
      <c r="B181" s="22">
        <v>1</v>
      </c>
      <c r="C181" s="22">
        <v>0.25801365677321197</v>
      </c>
      <c r="D181" s="17"/>
    </row>
    <row r="182" spans="1:8" x14ac:dyDescent="0.25">
      <c r="A182" s="4" t="s">
        <v>218</v>
      </c>
      <c r="B182" s="22">
        <v>0</v>
      </c>
      <c r="C182" s="22">
        <v>0.55391549467275503</v>
      </c>
      <c r="D182" s="17"/>
    </row>
    <row r="183" spans="1:8" x14ac:dyDescent="0.25">
      <c r="A183" s="4" t="s">
        <v>219</v>
      </c>
      <c r="B183" s="22">
        <v>0.97958939468673301</v>
      </c>
      <c r="C183" s="22">
        <v>0.477779170847766</v>
      </c>
      <c r="D183" s="17"/>
    </row>
    <row r="185" spans="1:8" ht="21" customHeight="1" x14ac:dyDescent="0.3">
      <c r="A185" s="1" t="s">
        <v>220</v>
      </c>
    </row>
    <row r="186" spans="1:8" x14ac:dyDescent="0.25">
      <c r="A186" s="2" t="s">
        <v>221</v>
      </c>
    </row>
    <row r="187" spans="1:8" x14ac:dyDescent="0.25">
      <c r="A187" s="2" t="s">
        <v>222</v>
      </c>
    </row>
    <row r="188" spans="1:8" x14ac:dyDescent="0.25">
      <c r="A188" s="2" t="s">
        <v>223</v>
      </c>
    </row>
    <row r="190" spans="1:8" ht="30" x14ac:dyDescent="0.25">
      <c r="B190" s="15" t="s">
        <v>224</v>
      </c>
      <c r="C190" s="15" t="s">
        <v>225</v>
      </c>
      <c r="D190" s="15" t="s">
        <v>226</v>
      </c>
      <c r="E190" s="15" t="s">
        <v>227</v>
      </c>
      <c r="F190" s="15" t="s">
        <v>228</v>
      </c>
      <c r="G190" s="15" t="s">
        <v>229</v>
      </c>
    </row>
    <row r="191" spans="1:8" x14ac:dyDescent="0.25">
      <c r="A191" s="29" t="s">
        <v>230</v>
      </c>
      <c r="B191" s="18"/>
      <c r="C191" s="18"/>
      <c r="D191" s="18"/>
      <c r="E191" s="18"/>
      <c r="F191" s="18"/>
      <c r="G191" s="18"/>
      <c r="H191" s="17"/>
    </row>
    <row r="192" spans="1:8" x14ac:dyDescent="0.25">
      <c r="A192" s="4" t="s">
        <v>171</v>
      </c>
      <c r="B192" s="20">
        <v>6548048.3229739498</v>
      </c>
      <c r="C192" s="25"/>
      <c r="D192" s="25"/>
      <c r="E192" s="20">
        <v>2004921</v>
      </c>
      <c r="F192" s="25"/>
      <c r="G192" s="25"/>
      <c r="H192" s="17"/>
    </row>
    <row r="193" spans="1:8" x14ac:dyDescent="0.25">
      <c r="A193" s="4" t="s">
        <v>231</v>
      </c>
      <c r="B193" s="20">
        <v>107357.023368223</v>
      </c>
      <c r="C193" s="25"/>
      <c r="D193" s="25"/>
      <c r="E193" s="20">
        <v>34780</v>
      </c>
      <c r="F193" s="25"/>
      <c r="G193" s="25"/>
      <c r="H193" s="17"/>
    </row>
    <row r="194" spans="1:8" x14ac:dyDescent="0.25">
      <c r="A194" s="4" t="s">
        <v>232</v>
      </c>
      <c r="B194" s="20">
        <v>61406.531531433298</v>
      </c>
      <c r="C194" s="25"/>
      <c r="D194" s="25"/>
      <c r="E194" s="20">
        <v>18242</v>
      </c>
      <c r="F194" s="25"/>
      <c r="G194" s="25"/>
      <c r="H194" s="17"/>
    </row>
    <row r="195" spans="1:8" x14ac:dyDescent="0.25">
      <c r="A195" s="29" t="s">
        <v>233</v>
      </c>
      <c r="B195" s="18"/>
      <c r="C195" s="18"/>
      <c r="D195" s="18"/>
      <c r="E195" s="18"/>
      <c r="F195" s="18"/>
      <c r="G195" s="18"/>
      <c r="H195" s="17"/>
    </row>
    <row r="196" spans="1:8" x14ac:dyDescent="0.25">
      <c r="A196" s="4" t="s">
        <v>172</v>
      </c>
      <c r="B196" s="20">
        <v>473331.22852223698</v>
      </c>
      <c r="C196" s="20">
        <v>475601.88599588</v>
      </c>
      <c r="D196" s="25"/>
      <c r="E196" s="20">
        <v>179874</v>
      </c>
      <c r="F196" s="25"/>
      <c r="G196" s="25"/>
      <c r="H196" s="17"/>
    </row>
    <row r="197" spans="1:8" x14ac:dyDescent="0.25">
      <c r="A197" s="4" t="s">
        <v>234</v>
      </c>
      <c r="B197" s="20">
        <v>392.04901290026697</v>
      </c>
      <c r="C197" s="20">
        <v>105.034800802305</v>
      </c>
      <c r="D197" s="25"/>
      <c r="E197" s="20">
        <v>145</v>
      </c>
      <c r="F197" s="25"/>
      <c r="G197" s="25"/>
      <c r="H197" s="17"/>
    </row>
    <row r="198" spans="1:8" x14ac:dyDescent="0.25">
      <c r="A198" s="4" t="s">
        <v>235</v>
      </c>
      <c r="B198" s="20">
        <v>3041.3020957957001</v>
      </c>
      <c r="C198" s="20">
        <v>2188.4837910763999</v>
      </c>
      <c r="D198" s="25"/>
      <c r="E198" s="20">
        <v>1046</v>
      </c>
      <c r="F198" s="25"/>
      <c r="G198" s="25"/>
      <c r="H198" s="17"/>
    </row>
    <row r="199" spans="1:8" x14ac:dyDescent="0.25">
      <c r="A199" s="29" t="s">
        <v>236</v>
      </c>
      <c r="B199" s="18"/>
      <c r="C199" s="18"/>
      <c r="D199" s="18"/>
      <c r="E199" s="18"/>
      <c r="F199" s="18"/>
      <c r="G199" s="18"/>
      <c r="H199" s="17"/>
    </row>
    <row r="200" spans="1:8" x14ac:dyDescent="0.25">
      <c r="A200" s="4" t="s">
        <v>213</v>
      </c>
      <c r="B200" s="20">
        <v>16657.9640809597</v>
      </c>
      <c r="C200" s="25"/>
      <c r="D200" s="25"/>
      <c r="E200" s="20">
        <v>5278</v>
      </c>
      <c r="F200" s="25"/>
      <c r="G200" s="25"/>
      <c r="H200" s="17"/>
    </row>
    <row r="201" spans="1:8" x14ac:dyDescent="0.25">
      <c r="A201" s="4" t="s">
        <v>237</v>
      </c>
      <c r="B201" s="20">
        <v>0</v>
      </c>
      <c r="C201" s="25"/>
      <c r="D201" s="25"/>
      <c r="E201" s="20">
        <v>0</v>
      </c>
      <c r="F201" s="25"/>
      <c r="G201" s="25"/>
      <c r="H201" s="17"/>
    </row>
    <row r="202" spans="1:8" x14ac:dyDescent="0.25">
      <c r="A202" s="4" t="s">
        <v>238</v>
      </c>
      <c r="B202" s="20">
        <v>0</v>
      </c>
      <c r="C202" s="25"/>
      <c r="D202" s="25"/>
      <c r="E202" s="20">
        <v>0</v>
      </c>
      <c r="F202" s="25"/>
      <c r="G202" s="25"/>
      <c r="H202" s="17"/>
    </row>
    <row r="203" spans="1:8" x14ac:dyDescent="0.25">
      <c r="A203" s="29" t="s">
        <v>239</v>
      </c>
      <c r="B203" s="18"/>
      <c r="C203" s="18"/>
      <c r="D203" s="18"/>
      <c r="E203" s="18"/>
      <c r="F203" s="18"/>
      <c r="G203" s="18"/>
      <c r="H203" s="17"/>
    </row>
    <row r="204" spans="1:8" x14ac:dyDescent="0.25">
      <c r="A204" s="4" t="s">
        <v>173</v>
      </c>
      <c r="B204" s="20">
        <v>1571617.92627062</v>
      </c>
      <c r="C204" s="25"/>
      <c r="D204" s="25"/>
      <c r="E204" s="20">
        <v>123214</v>
      </c>
      <c r="F204" s="25"/>
      <c r="G204" s="25"/>
      <c r="H204" s="17"/>
    </row>
    <row r="205" spans="1:8" x14ac:dyDescent="0.25">
      <c r="A205" s="4" t="s">
        <v>240</v>
      </c>
      <c r="B205" s="20">
        <v>2761.6668762413701</v>
      </c>
      <c r="C205" s="25"/>
      <c r="D205" s="25"/>
      <c r="E205" s="20">
        <v>331</v>
      </c>
      <c r="F205" s="25"/>
      <c r="G205" s="25"/>
      <c r="H205" s="17"/>
    </row>
    <row r="206" spans="1:8" x14ac:dyDescent="0.25">
      <c r="A206" s="4" t="s">
        <v>241</v>
      </c>
      <c r="B206" s="20">
        <v>6019.5637969587397</v>
      </c>
      <c r="C206" s="25"/>
      <c r="D206" s="25"/>
      <c r="E206" s="20">
        <v>492</v>
      </c>
      <c r="F206" s="25"/>
      <c r="G206" s="25"/>
      <c r="H206" s="17"/>
    </row>
    <row r="207" spans="1:8" x14ac:dyDescent="0.25">
      <c r="A207" s="29" t="s">
        <v>242</v>
      </c>
      <c r="B207" s="18"/>
      <c r="C207" s="18"/>
      <c r="D207" s="18"/>
      <c r="E207" s="18"/>
      <c r="F207" s="18"/>
      <c r="G207" s="18"/>
      <c r="H207" s="17"/>
    </row>
    <row r="208" spans="1:8" x14ac:dyDescent="0.25">
      <c r="A208" s="4" t="s">
        <v>174</v>
      </c>
      <c r="B208" s="20">
        <v>568937.26593317103</v>
      </c>
      <c r="C208" s="20">
        <v>222476.71677275599</v>
      </c>
      <c r="D208" s="25"/>
      <c r="E208" s="20">
        <v>33422</v>
      </c>
      <c r="F208" s="25"/>
      <c r="G208" s="25"/>
      <c r="H208" s="17"/>
    </row>
    <row r="209" spans="1:8" x14ac:dyDescent="0.25">
      <c r="A209" s="4" t="s">
        <v>243</v>
      </c>
      <c r="B209" s="20">
        <v>52.2800952380952</v>
      </c>
      <c r="C209" s="20">
        <v>50.544738095238102</v>
      </c>
      <c r="D209" s="25"/>
      <c r="E209" s="20">
        <v>31</v>
      </c>
      <c r="F209" s="25"/>
      <c r="G209" s="25"/>
      <c r="H209" s="17"/>
    </row>
    <row r="210" spans="1:8" x14ac:dyDescent="0.25">
      <c r="A210" s="4" t="s">
        <v>244</v>
      </c>
      <c r="B210" s="20">
        <v>0</v>
      </c>
      <c r="C210" s="20">
        <v>0</v>
      </c>
      <c r="D210" s="25"/>
      <c r="E210" s="20">
        <v>0</v>
      </c>
      <c r="F210" s="25"/>
      <c r="G210" s="25"/>
      <c r="H210" s="17"/>
    </row>
    <row r="211" spans="1:8" x14ac:dyDescent="0.25">
      <c r="A211" s="29" t="s">
        <v>245</v>
      </c>
      <c r="B211" s="18"/>
      <c r="C211" s="18"/>
      <c r="D211" s="18"/>
      <c r="E211" s="18"/>
      <c r="F211" s="18"/>
      <c r="G211" s="18"/>
      <c r="H211" s="17"/>
    </row>
    <row r="212" spans="1:8" x14ac:dyDescent="0.25">
      <c r="A212" s="4" t="s">
        <v>214</v>
      </c>
      <c r="B212" s="20">
        <v>18224.065631184701</v>
      </c>
      <c r="C212" s="25"/>
      <c r="D212" s="25"/>
      <c r="E212" s="20">
        <v>3531</v>
      </c>
      <c r="F212" s="25"/>
      <c r="G212" s="25"/>
      <c r="H212" s="17"/>
    </row>
    <row r="213" spans="1:8" x14ac:dyDescent="0.25">
      <c r="A213" s="4" t="s">
        <v>246</v>
      </c>
      <c r="B213" s="20">
        <v>0</v>
      </c>
      <c r="C213" s="25"/>
      <c r="D213" s="25"/>
      <c r="E213" s="20">
        <v>0</v>
      </c>
      <c r="F213" s="25"/>
      <c r="G213" s="25"/>
      <c r="H213" s="17"/>
    </row>
    <row r="214" spans="1:8" x14ac:dyDescent="0.25">
      <c r="A214" s="4" t="s">
        <v>247</v>
      </c>
      <c r="B214" s="20">
        <v>0</v>
      </c>
      <c r="C214" s="25"/>
      <c r="D214" s="25"/>
      <c r="E214" s="20">
        <v>0</v>
      </c>
      <c r="F214" s="25"/>
      <c r="G214" s="25"/>
      <c r="H214" s="17"/>
    </row>
    <row r="215" spans="1:8" x14ac:dyDescent="0.25">
      <c r="A215" s="29" t="s">
        <v>248</v>
      </c>
      <c r="B215" s="18"/>
      <c r="C215" s="18"/>
      <c r="D215" s="18"/>
      <c r="E215" s="18"/>
      <c r="F215" s="18"/>
      <c r="G215" s="18"/>
      <c r="H215" s="17"/>
    </row>
    <row r="216" spans="1:8" x14ac:dyDescent="0.25">
      <c r="A216" s="4" t="s">
        <v>175</v>
      </c>
      <c r="B216" s="20">
        <v>0</v>
      </c>
      <c r="C216" s="20">
        <v>0</v>
      </c>
      <c r="D216" s="25"/>
      <c r="E216" s="20">
        <v>0</v>
      </c>
      <c r="F216" s="25"/>
      <c r="G216" s="25"/>
      <c r="H216" s="17"/>
    </row>
    <row r="217" spans="1:8" x14ac:dyDescent="0.25">
      <c r="A217" s="4" t="s">
        <v>249</v>
      </c>
      <c r="B217" s="20">
        <v>0</v>
      </c>
      <c r="C217" s="20">
        <v>0</v>
      </c>
      <c r="D217" s="25"/>
      <c r="E217" s="20">
        <v>0</v>
      </c>
      <c r="F217" s="25"/>
      <c r="G217" s="25"/>
      <c r="H217" s="17"/>
    </row>
    <row r="218" spans="1:8" x14ac:dyDescent="0.25">
      <c r="A218" s="4" t="s">
        <v>250</v>
      </c>
      <c r="B218" s="20">
        <v>0</v>
      </c>
      <c r="C218" s="20">
        <v>0</v>
      </c>
      <c r="D218" s="25"/>
      <c r="E218" s="20">
        <v>0</v>
      </c>
      <c r="F218" s="25"/>
      <c r="G218" s="25"/>
      <c r="H218" s="17"/>
    </row>
    <row r="219" spans="1:8" x14ac:dyDescent="0.25">
      <c r="A219" s="29" t="s">
        <v>251</v>
      </c>
      <c r="B219" s="18"/>
      <c r="C219" s="18"/>
      <c r="D219" s="18"/>
      <c r="E219" s="18"/>
      <c r="F219" s="18"/>
      <c r="G219" s="18"/>
      <c r="H219" s="17"/>
    </row>
    <row r="220" spans="1:8" x14ac:dyDescent="0.25">
      <c r="A220" s="4" t="s">
        <v>176</v>
      </c>
      <c r="B220" s="20">
        <v>0</v>
      </c>
      <c r="C220" s="20">
        <v>0</v>
      </c>
      <c r="D220" s="25"/>
      <c r="E220" s="20">
        <v>0</v>
      </c>
      <c r="F220" s="25"/>
      <c r="G220" s="25"/>
      <c r="H220" s="17"/>
    </row>
    <row r="221" spans="1:8" x14ac:dyDescent="0.25">
      <c r="A221" s="29" t="s">
        <v>252</v>
      </c>
      <c r="B221" s="18"/>
      <c r="C221" s="18"/>
      <c r="D221" s="18"/>
      <c r="E221" s="18"/>
      <c r="F221" s="18"/>
      <c r="G221" s="18"/>
      <c r="H221" s="17"/>
    </row>
    <row r="222" spans="1:8" x14ac:dyDescent="0.25">
      <c r="A222" s="4" t="s">
        <v>192</v>
      </c>
      <c r="B222" s="20">
        <v>5720.3660437803101</v>
      </c>
      <c r="C222" s="20">
        <v>1573.2199873444499</v>
      </c>
      <c r="D222" s="25"/>
      <c r="E222" s="20">
        <v>60</v>
      </c>
      <c r="F222" s="25"/>
      <c r="G222" s="25"/>
      <c r="H222" s="17"/>
    </row>
    <row r="223" spans="1:8" x14ac:dyDescent="0.25">
      <c r="A223" s="29" t="s">
        <v>253</v>
      </c>
      <c r="B223" s="18"/>
      <c r="C223" s="18"/>
      <c r="D223" s="18"/>
      <c r="E223" s="18"/>
      <c r="F223" s="18"/>
      <c r="G223" s="18"/>
      <c r="H223" s="17"/>
    </row>
    <row r="224" spans="1:8" x14ac:dyDescent="0.25">
      <c r="A224" s="4" t="s">
        <v>177</v>
      </c>
      <c r="B224" s="20">
        <v>0</v>
      </c>
      <c r="C224" s="20">
        <v>0</v>
      </c>
      <c r="D224" s="20">
        <v>0</v>
      </c>
      <c r="E224" s="20">
        <v>0</v>
      </c>
      <c r="F224" s="25"/>
      <c r="G224" s="25"/>
      <c r="H224" s="17"/>
    </row>
    <row r="225" spans="1:8" x14ac:dyDescent="0.25">
      <c r="A225" s="4" t="s">
        <v>254</v>
      </c>
      <c r="B225" s="20">
        <v>0</v>
      </c>
      <c r="C225" s="20">
        <v>0</v>
      </c>
      <c r="D225" s="20">
        <v>0</v>
      </c>
      <c r="E225" s="20">
        <v>0</v>
      </c>
      <c r="F225" s="25"/>
      <c r="G225" s="25"/>
      <c r="H225" s="17"/>
    </row>
    <row r="226" spans="1:8" x14ac:dyDescent="0.25">
      <c r="A226" s="4" t="s">
        <v>255</v>
      </c>
      <c r="B226" s="20">
        <v>0</v>
      </c>
      <c r="C226" s="20">
        <v>0</v>
      </c>
      <c r="D226" s="20">
        <v>0</v>
      </c>
      <c r="E226" s="20">
        <v>0</v>
      </c>
      <c r="F226" s="25"/>
      <c r="G226" s="25"/>
      <c r="H226" s="17"/>
    </row>
    <row r="227" spans="1:8" x14ac:dyDescent="0.25">
      <c r="A227" s="29" t="s">
        <v>256</v>
      </c>
      <c r="B227" s="18"/>
      <c r="C227" s="18"/>
      <c r="D227" s="18"/>
      <c r="E227" s="18"/>
      <c r="F227" s="18"/>
      <c r="G227" s="18"/>
      <c r="H227" s="17"/>
    </row>
    <row r="228" spans="1:8" x14ac:dyDescent="0.25">
      <c r="A228" s="4" t="s">
        <v>178</v>
      </c>
      <c r="B228" s="20">
        <v>55950.103311028302</v>
      </c>
      <c r="C228" s="20">
        <v>198560.748072744</v>
      </c>
      <c r="D228" s="20">
        <v>257739.12944192201</v>
      </c>
      <c r="E228" s="20">
        <v>5419.348</v>
      </c>
      <c r="F228" s="25"/>
      <c r="G228" s="25"/>
      <c r="H228" s="17"/>
    </row>
    <row r="229" spans="1:8" x14ac:dyDescent="0.25">
      <c r="A229" s="4" t="s">
        <v>257</v>
      </c>
      <c r="B229" s="20">
        <v>0</v>
      </c>
      <c r="C229" s="20">
        <v>0</v>
      </c>
      <c r="D229" s="20">
        <v>0</v>
      </c>
      <c r="E229" s="20">
        <v>0</v>
      </c>
      <c r="F229" s="25"/>
      <c r="G229" s="25"/>
      <c r="H229" s="17"/>
    </row>
    <row r="230" spans="1:8" x14ac:dyDescent="0.25">
      <c r="A230" s="4" t="s">
        <v>258</v>
      </c>
      <c r="B230" s="20">
        <v>0</v>
      </c>
      <c r="C230" s="20">
        <v>0</v>
      </c>
      <c r="D230" s="20">
        <v>0</v>
      </c>
      <c r="E230" s="20">
        <v>0</v>
      </c>
      <c r="F230" s="25"/>
      <c r="G230" s="25"/>
      <c r="H230" s="17"/>
    </row>
    <row r="231" spans="1:8" x14ac:dyDescent="0.25">
      <c r="A231" s="29" t="s">
        <v>259</v>
      </c>
      <c r="B231" s="18"/>
      <c r="C231" s="18"/>
      <c r="D231" s="18"/>
      <c r="E231" s="18"/>
      <c r="F231" s="18"/>
      <c r="G231" s="18"/>
      <c r="H231" s="17"/>
    </row>
    <row r="232" spans="1:8" x14ac:dyDescent="0.25">
      <c r="A232" s="4" t="s">
        <v>179</v>
      </c>
      <c r="B232" s="20">
        <v>244292.46440822599</v>
      </c>
      <c r="C232" s="20">
        <v>866967.02259476297</v>
      </c>
      <c r="D232" s="20">
        <v>1125354.97487432</v>
      </c>
      <c r="E232" s="20">
        <v>11578.652</v>
      </c>
      <c r="F232" s="20">
        <v>1587209.93863157</v>
      </c>
      <c r="G232" s="20">
        <v>265954.62098644901</v>
      </c>
      <c r="H232" s="17"/>
    </row>
    <row r="233" spans="1:8" x14ac:dyDescent="0.25">
      <c r="A233" s="4" t="s">
        <v>260</v>
      </c>
      <c r="B233" s="20">
        <v>361.53606125874097</v>
      </c>
      <c r="C233" s="20">
        <v>1449.29439802448</v>
      </c>
      <c r="D233" s="20">
        <v>1870.00606833916</v>
      </c>
      <c r="E233" s="20">
        <v>14</v>
      </c>
      <c r="F233" s="20">
        <v>2646.1139444629198</v>
      </c>
      <c r="G233" s="20">
        <v>225.8115</v>
      </c>
      <c r="H233" s="17"/>
    </row>
    <row r="234" spans="1:8" x14ac:dyDescent="0.25">
      <c r="A234" s="4" t="s">
        <v>261</v>
      </c>
      <c r="B234" s="20">
        <v>4260.0968191298798</v>
      </c>
      <c r="C234" s="20">
        <v>18802.337955963201</v>
      </c>
      <c r="D234" s="20">
        <v>26301.198281823399</v>
      </c>
      <c r="E234" s="20">
        <v>103</v>
      </c>
      <c r="F234" s="20">
        <v>32190.171662563302</v>
      </c>
      <c r="G234" s="20">
        <v>1419.72137</v>
      </c>
      <c r="H234" s="17"/>
    </row>
    <row r="235" spans="1:8" x14ac:dyDescent="0.25">
      <c r="A235" s="29" t="s">
        <v>262</v>
      </c>
      <c r="B235" s="18"/>
      <c r="C235" s="18"/>
      <c r="D235" s="18"/>
      <c r="E235" s="18"/>
      <c r="F235" s="18"/>
      <c r="G235" s="18"/>
      <c r="H235" s="17"/>
    </row>
    <row r="236" spans="1:8" x14ac:dyDescent="0.25">
      <c r="A236" s="4" t="s">
        <v>180</v>
      </c>
      <c r="B236" s="20">
        <v>136748.252675753</v>
      </c>
      <c r="C236" s="20">
        <v>496870.26373939298</v>
      </c>
      <c r="D236" s="20">
        <v>664276.69844666997</v>
      </c>
      <c r="E236" s="20">
        <v>2212</v>
      </c>
      <c r="F236" s="20">
        <v>761063.60181995796</v>
      </c>
      <c r="G236" s="20">
        <v>114518.55597828</v>
      </c>
      <c r="H236" s="17"/>
    </row>
    <row r="237" spans="1:8" x14ac:dyDescent="0.25">
      <c r="A237" s="4" t="s">
        <v>263</v>
      </c>
      <c r="B237" s="20">
        <v>55.898000000000003</v>
      </c>
      <c r="C237" s="20">
        <v>263.53100000000001</v>
      </c>
      <c r="D237" s="20">
        <v>372.98649999999998</v>
      </c>
      <c r="E237" s="20">
        <v>3</v>
      </c>
      <c r="F237" s="20">
        <v>1283.55056383039</v>
      </c>
      <c r="G237" s="20">
        <v>2.403</v>
      </c>
      <c r="H237" s="17"/>
    </row>
    <row r="238" spans="1:8" x14ac:dyDescent="0.25">
      <c r="A238" s="29" t="s">
        <v>264</v>
      </c>
      <c r="B238" s="18"/>
      <c r="C238" s="18"/>
      <c r="D238" s="18"/>
      <c r="E238" s="18"/>
      <c r="F238" s="18"/>
      <c r="G238" s="18"/>
      <c r="H238" s="17"/>
    </row>
    <row r="239" spans="1:8" x14ac:dyDescent="0.25">
      <c r="A239" s="4" t="s">
        <v>193</v>
      </c>
      <c r="B239" s="20">
        <v>509012.188310161</v>
      </c>
      <c r="C239" s="20">
        <v>1735465.95432139</v>
      </c>
      <c r="D239" s="20">
        <v>2850377.0008743601</v>
      </c>
      <c r="E239" s="20">
        <v>2113</v>
      </c>
      <c r="F239" s="20">
        <v>1827943.0085599101</v>
      </c>
      <c r="G239" s="20">
        <v>388553.77620000002</v>
      </c>
      <c r="H239" s="17"/>
    </row>
    <row r="240" spans="1:8" x14ac:dyDescent="0.25">
      <c r="A240" s="4" t="s">
        <v>265</v>
      </c>
      <c r="B240" s="20">
        <v>1687.6667176573401</v>
      </c>
      <c r="C240" s="20">
        <v>7361.0532972902101</v>
      </c>
      <c r="D240" s="20">
        <v>13066.880756468499</v>
      </c>
      <c r="E240" s="20">
        <v>9</v>
      </c>
      <c r="F240" s="20">
        <v>14521.4861325245</v>
      </c>
      <c r="G240" s="20">
        <v>78.66968</v>
      </c>
      <c r="H240" s="17"/>
    </row>
    <row r="241" spans="1:8" x14ac:dyDescent="0.25">
      <c r="A241" s="29" t="s">
        <v>266</v>
      </c>
      <c r="B241" s="18"/>
      <c r="C241" s="18"/>
      <c r="D241" s="18"/>
      <c r="E241" s="18"/>
      <c r="F241" s="18"/>
      <c r="G241" s="18"/>
      <c r="H241" s="17"/>
    </row>
    <row r="242" spans="1:8" x14ac:dyDescent="0.25">
      <c r="A242" s="4" t="s">
        <v>215</v>
      </c>
      <c r="B242" s="20">
        <v>36671.232710255303</v>
      </c>
      <c r="C242" s="25"/>
      <c r="D242" s="25"/>
      <c r="E242" s="20">
        <v>244</v>
      </c>
      <c r="F242" s="25"/>
      <c r="G242" s="25"/>
      <c r="H242" s="17"/>
    </row>
    <row r="243" spans="1:8" x14ac:dyDescent="0.25">
      <c r="A243" s="4" t="s">
        <v>267</v>
      </c>
      <c r="B243" s="20">
        <v>0</v>
      </c>
      <c r="C243" s="25"/>
      <c r="D243" s="25"/>
      <c r="E243" s="20">
        <v>0</v>
      </c>
      <c r="F243" s="25"/>
      <c r="G243" s="25"/>
      <c r="H243" s="17"/>
    </row>
    <row r="244" spans="1:8" x14ac:dyDescent="0.25">
      <c r="A244" s="4" t="s">
        <v>268</v>
      </c>
      <c r="B244" s="20">
        <v>0</v>
      </c>
      <c r="C244" s="25"/>
      <c r="D244" s="25"/>
      <c r="E244" s="20">
        <v>0</v>
      </c>
      <c r="F244" s="25"/>
      <c r="G244" s="25"/>
      <c r="H244" s="17"/>
    </row>
    <row r="245" spans="1:8" x14ac:dyDescent="0.25">
      <c r="A245" s="29" t="s">
        <v>269</v>
      </c>
      <c r="B245" s="18"/>
      <c r="C245" s="18"/>
      <c r="D245" s="18"/>
      <c r="E245" s="18"/>
      <c r="F245" s="18"/>
      <c r="G245" s="18"/>
      <c r="H245" s="17"/>
    </row>
    <row r="246" spans="1:8" x14ac:dyDescent="0.25">
      <c r="A246" s="4" t="s">
        <v>216</v>
      </c>
      <c r="B246" s="20">
        <v>9979.0774254830903</v>
      </c>
      <c r="C246" s="25"/>
      <c r="D246" s="25"/>
      <c r="E246" s="20">
        <v>314</v>
      </c>
      <c r="F246" s="25"/>
      <c r="G246" s="25"/>
      <c r="H246" s="17"/>
    </row>
    <row r="247" spans="1:8" x14ac:dyDescent="0.25">
      <c r="A247" s="4" t="s">
        <v>270</v>
      </c>
      <c r="B247" s="20">
        <v>149.50196486974099</v>
      </c>
      <c r="C247" s="25"/>
      <c r="D247" s="25"/>
      <c r="E247" s="20">
        <v>61</v>
      </c>
      <c r="F247" s="25"/>
      <c r="G247" s="25"/>
      <c r="H247" s="17"/>
    </row>
    <row r="248" spans="1:8" x14ac:dyDescent="0.25">
      <c r="A248" s="4" t="s">
        <v>271</v>
      </c>
      <c r="B248" s="20">
        <v>173.189333333333</v>
      </c>
      <c r="C248" s="25"/>
      <c r="D248" s="25"/>
      <c r="E248" s="20">
        <v>16</v>
      </c>
      <c r="F248" s="25"/>
      <c r="G248" s="25"/>
      <c r="H248" s="17"/>
    </row>
    <row r="249" spans="1:8" x14ac:dyDescent="0.25">
      <c r="A249" s="29" t="s">
        <v>272</v>
      </c>
      <c r="B249" s="18"/>
      <c r="C249" s="18"/>
      <c r="D249" s="18"/>
      <c r="E249" s="18"/>
      <c r="F249" s="18"/>
      <c r="G249" s="18"/>
      <c r="H249" s="17"/>
    </row>
    <row r="250" spans="1:8" x14ac:dyDescent="0.25">
      <c r="A250" s="4" t="s">
        <v>217</v>
      </c>
      <c r="B250" s="20">
        <v>265.80818738323097</v>
      </c>
      <c r="C250" s="25"/>
      <c r="D250" s="25"/>
      <c r="E250" s="20">
        <v>7</v>
      </c>
      <c r="F250" s="25"/>
      <c r="G250" s="25"/>
      <c r="H250" s="17"/>
    </row>
    <row r="251" spans="1:8" x14ac:dyDescent="0.25">
      <c r="A251" s="4" t="s">
        <v>273</v>
      </c>
      <c r="B251" s="20">
        <v>0</v>
      </c>
      <c r="C251" s="25"/>
      <c r="D251" s="25"/>
      <c r="E251" s="20">
        <v>0</v>
      </c>
      <c r="F251" s="25"/>
      <c r="G251" s="25"/>
      <c r="H251" s="17"/>
    </row>
    <row r="252" spans="1:8" x14ac:dyDescent="0.25">
      <c r="A252" s="4" t="s">
        <v>274</v>
      </c>
      <c r="B252" s="20">
        <v>0</v>
      </c>
      <c r="C252" s="25"/>
      <c r="D252" s="25"/>
      <c r="E252" s="20">
        <v>0</v>
      </c>
      <c r="F252" s="25"/>
      <c r="G252" s="25"/>
      <c r="H252" s="17"/>
    </row>
    <row r="253" spans="1:8" x14ac:dyDescent="0.25">
      <c r="A253" s="29" t="s">
        <v>275</v>
      </c>
      <c r="B253" s="18"/>
      <c r="C253" s="18"/>
      <c r="D253" s="18"/>
      <c r="E253" s="18"/>
      <c r="F253" s="18"/>
      <c r="G253" s="18"/>
      <c r="H253" s="17"/>
    </row>
    <row r="254" spans="1:8" x14ac:dyDescent="0.25">
      <c r="A254" s="4" t="s">
        <v>218</v>
      </c>
      <c r="B254" s="20">
        <v>7.86378751503896E-2</v>
      </c>
      <c r="C254" s="25"/>
      <c r="D254" s="25"/>
      <c r="E254" s="20">
        <v>1</v>
      </c>
      <c r="F254" s="25"/>
      <c r="G254" s="25"/>
      <c r="H254" s="17"/>
    </row>
    <row r="255" spans="1:8" x14ac:dyDescent="0.25">
      <c r="A255" s="4" t="s">
        <v>276</v>
      </c>
      <c r="B255" s="20">
        <v>0</v>
      </c>
      <c r="C255" s="25"/>
      <c r="D255" s="25"/>
      <c r="E255" s="20">
        <v>0</v>
      </c>
      <c r="F255" s="25"/>
      <c r="G255" s="25"/>
      <c r="H255" s="17"/>
    </row>
    <row r="256" spans="1:8" x14ac:dyDescent="0.25">
      <c r="A256" s="4" t="s">
        <v>277</v>
      </c>
      <c r="B256" s="20">
        <v>0</v>
      </c>
      <c r="C256" s="25"/>
      <c r="D256" s="25"/>
      <c r="E256" s="20">
        <v>0</v>
      </c>
      <c r="F256" s="25"/>
      <c r="G256" s="25"/>
      <c r="H256" s="17"/>
    </row>
    <row r="257" spans="1:8" x14ac:dyDescent="0.25">
      <c r="A257" s="29" t="s">
        <v>278</v>
      </c>
      <c r="B257" s="18"/>
      <c r="C257" s="18"/>
      <c r="D257" s="18"/>
      <c r="E257" s="18"/>
      <c r="F257" s="18"/>
      <c r="G257" s="18"/>
      <c r="H257" s="17"/>
    </row>
    <row r="258" spans="1:8" x14ac:dyDescent="0.25">
      <c r="A258" s="4" t="s">
        <v>219</v>
      </c>
      <c r="B258" s="20">
        <v>14294.4549718826</v>
      </c>
      <c r="C258" s="20">
        <v>32942.966923018401</v>
      </c>
      <c r="D258" s="20">
        <v>213416.95592620299</v>
      </c>
      <c r="E258" s="20">
        <v>23</v>
      </c>
      <c r="F258" s="25"/>
      <c r="G258" s="25"/>
      <c r="H258" s="17"/>
    </row>
    <row r="259" spans="1:8" x14ac:dyDescent="0.25">
      <c r="A259" s="4" t="s">
        <v>279</v>
      </c>
      <c r="B259" s="20">
        <v>0</v>
      </c>
      <c r="C259" s="20">
        <v>0</v>
      </c>
      <c r="D259" s="20">
        <v>0</v>
      </c>
      <c r="E259" s="20">
        <v>0</v>
      </c>
      <c r="F259" s="25"/>
      <c r="G259" s="25"/>
      <c r="H259" s="17"/>
    </row>
    <row r="260" spans="1:8" x14ac:dyDescent="0.25">
      <c r="A260" s="4" t="s">
        <v>280</v>
      </c>
      <c r="B260" s="20">
        <v>0</v>
      </c>
      <c r="C260" s="20">
        <v>0</v>
      </c>
      <c r="D260" s="20">
        <v>0</v>
      </c>
      <c r="E260" s="20">
        <v>0</v>
      </c>
      <c r="F260" s="25"/>
      <c r="G260" s="25"/>
      <c r="H260" s="17"/>
    </row>
    <row r="261" spans="1:8" x14ac:dyDescent="0.25">
      <c r="A261" s="29" t="s">
        <v>281</v>
      </c>
      <c r="B261" s="18"/>
      <c r="C261" s="18"/>
      <c r="D261" s="18"/>
      <c r="E261" s="18"/>
      <c r="F261" s="18"/>
      <c r="G261" s="18"/>
      <c r="H261" s="17"/>
    </row>
    <row r="262" spans="1:8" x14ac:dyDescent="0.25">
      <c r="A262" s="4" t="s">
        <v>181</v>
      </c>
      <c r="B262" s="20">
        <v>762.555542901438</v>
      </c>
      <c r="C262" s="25"/>
      <c r="D262" s="25"/>
      <c r="E262" s="20">
        <v>61</v>
      </c>
      <c r="F262" s="25"/>
      <c r="G262" s="25"/>
      <c r="H262" s="17"/>
    </row>
    <row r="263" spans="1:8" x14ac:dyDescent="0.25">
      <c r="A263" s="4" t="s">
        <v>282</v>
      </c>
      <c r="B263" s="20">
        <v>0</v>
      </c>
      <c r="C263" s="25"/>
      <c r="D263" s="25"/>
      <c r="E263" s="20">
        <v>0</v>
      </c>
      <c r="F263" s="25"/>
      <c r="G263" s="25"/>
      <c r="H263" s="17"/>
    </row>
    <row r="264" spans="1:8" x14ac:dyDescent="0.25">
      <c r="A264" s="4" t="s">
        <v>283</v>
      </c>
      <c r="B264" s="20">
        <v>0</v>
      </c>
      <c r="C264" s="25"/>
      <c r="D264" s="25"/>
      <c r="E264" s="20">
        <v>0</v>
      </c>
      <c r="F264" s="25"/>
      <c r="G264" s="25"/>
      <c r="H264" s="17"/>
    </row>
    <row r="265" spans="1:8" x14ac:dyDescent="0.25">
      <c r="A265" s="29" t="s">
        <v>284</v>
      </c>
      <c r="B265" s="18"/>
      <c r="C265" s="18"/>
      <c r="D265" s="18"/>
      <c r="E265" s="18"/>
      <c r="F265" s="18"/>
      <c r="G265" s="18"/>
      <c r="H265" s="17"/>
    </row>
    <row r="266" spans="1:8" x14ac:dyDescent="0.25">
      <c r="A266" s="4" t="s">
        <v>182</v>
      </c>
      <c r="B266" s="20">
        <v>0</v>
      </c>
      <c r="C266" s="25"/>
      <c r="D266" s="25"/>
      <c r="E266" s="20">
        <v>0</v>
      </c>
      <c r="F266" s="25"/>
      <c r="G266" s="25"/>
      <c r="H266" s="17"/>
    </row>
    <row r="267" spans="1:8" x14ac:dyDescent="0.25">
      <c r="A267" s="4" t="s">
        <v>285</v>
      </c>
      <c r="B267" s="20">
        <v>0</v>
      </c>
      <c r="C267" s="25"/>
      <c r="D267" s="25"/>
      <c r="E267" s="20">
        <v>0</v>
      </c>
      <c r="F267" s="25"/>
      <c r="G267" s="25"/>
      <c r="H267" s="17"/>
    </row>
    <row r="268" spans="1:8" x14ac:dyDescent="0.25">
      <c r="A268" s="29" t="s">
        <v>286</v>
      </c>
      <c r="B268" s="18"/>
      <c r="C268" s="18"/>
      <c r="D268" s="18"/>
      <c r="E268" s="18"/>
      <c r="F268" s="18"/>
      <c r="G268" s="18"/>
      <c r="H268" s="17"/>
    </row>
    <row r="269" spans="1:8" x14ac:dyDescent="0.25">
      <c r="A269" s="4" t="s">
        <v>183</v>
      </c>
      <c r="B269" s="20">
        <v>29085.818544960101</v>
      </c>
      <c r="C269" s="25"/>
      <c r="D269" s="25"/>
      <c r="E269" s="20">
        <v>203</v>
      </c>
      <c r="F269" s="25"/>
      <c r="G269" s="20">
        <v>1127.6161999999999</v>
      </c>
      <c r="H269" s="17"/>
    </row>
    <row r="270" spans="1:8" x14ac:dyDescent="0.25">
      <c r="A270" s="4" t="s">
        <v>287</v>
      </c>
      <c r="B270" s="20">
        <v>0</v>
      </c>
      <c r="C270" s="25"/>
      <c r="D270" s="25"/>
      <c r="E270" s="20">
        <v>0</v>
      </c>
      <c r="F270" s="25"/>
      <c r="G270" s="20">
        <v>0</v>
      </c>
      <c r="H270" s="17"/>
    </row>
    <row r="271" spans="1:8" x14ac:dyDescent="0.25">
      <c r="A271" s="4" t="s">
        <v>288</v>
      </c>
      <c r="B271" s="20">
        <v>0</v>
      </c>
      <c r="C271" s="25"/>
      <c r="D271" s="25"/>
      <c r="E271" s="20">
        <v>0</v>
      </c>
      <c r="F271" s="25"/>
      <c r="G271" s="20">
        <v>0</v>
      </c>
      <c r="H271" s="17"/>
    </row>
    <row r="272" spans="1:8" x14ac:dyDescent="0.25">
      <c r="A272" s="29" t="s">
        <v>289</v>
      </c>
      <c r="B272" s="18"/>
      <c r="C272" s="18"/>
      <c r="D272" s="18"/>
      <c r="E272" s="18"/>
      <c r="F272" s="18"/>
      <c r="G272" s="18"/>
      <c r="H272" s="17"/>
    </row>
    <row r="273" spans="1:8" x14ac:dyDescent="0.25">
      <c r="A273" s="4" t="s">
        <v>184</v>
      </c>
      <c r="B273" s="20">
        <v>185.277229324009</v>
      </c>
      <c r="C273" s="20">
        <v>727.62032135198103</v>
      </c>
      <c r="D273" s="20">
        <v>1587.45912261072</v>
      </c>
      <c r="E273" s="20">
        <v>21</v>
      </c>
      <c r="F273" s="25"/>
      <c r="G273" s="20">
        <v>47.872599999999998</v>
      </c>
      <c r="H273" s="17"/>
    </row>
    <row r="274" spans="1:8" x14ac:dyDescent="0.25">
      <c r="A274" s="4" t="s">
        <v>290</v>
      </c>
      <c r="B274" s="20">
        <v>4.1044999999999998</v>
      </c>
      <c r="C274" s="20">
        <v>21.040299999999998</v>
      </c>
      <c r="D274" s="20">
        <v>11.5663</v>
      </c>
      <c r="E274" s="20">
        <v>2</v>
      </c>
      <c r="F274" s="25"/>
      <c r="G274" s="20">
        <v>1.6612</v>
      </c>
      <c r="H274" s="17"/>
    </row>
    <row r="275" spans="1:8" x14ac:dyDescent="0.25">
      <c r="A275" s="4" t="s">
        <v>291</v>
      </c>
      <c r="B275" s="20">
        <v>0</v>
      </c>
      <c r="C275" s="20">
        <v>0</v>
      </c>
      <c r="D275" s="20">
        <v>0</v>
      </c>
      <c r="E275" s="20">
        <v>0</v>
      </c>
      <c r="F275" s="25"/>
      <c r="G275" s="20">
        <v>0</v>
      </c>
      <c r="H275" s="17"/>
    </row>
    <row r="276" spans="1:8" x14ac:dyDescent="0.25">
      <c r="A276" s="29" t="s">
        <v>292</v>
      </c>
      <c r="B276" s="18"/>
      <c r="C276" s="18"/>
      <c r="D276" s="18"/>
      <c r="E276" s="18"/>
      <c r="F276" s="18"/>
      <c r="G276" s="18"/>
      <c r="H276" s="17"/>
    </row>
    <row r="277" spans="1:8" x14ac:dyDescent="0.25">
      <c r="A277" s="4" t="s">
        <v>185</v>
      </c>
      <c r="B277" s="20">
        <v>1410.5414699999999</v>
      </c>
      <c r="C277" s="25"/>
      <c r="D277" s="25"/>
      <c r="E277" s="20">
        <v>24</v>
      </c>
      <c r="F277" s="25"/>
      <c r="G277" s="20">
        <v>35.712200000000003</v>
      </c>
      <c r="H277" s="17"/>
    </row>
    <row r="278" spans="1:8" x14ac:dyDescent="0.25">
      <c r="A278" s="4" t="s">
        <v>293</v>
      </c>
      <c r="B278" s="20">
        <v>0</v>
      </c>
      <c r="C278" s="25"/>
      <c r="D278" s="25"/>
      <c r="E278" s="20">
        <v>0</v>
      </c>
      <c r="F278" s="25"/>
      <c r="G278" s="20">
        <v>0</v>
      </c>
      <c r="H278" s="17"/>
    </row>
    <row r="279" spans="1:8" x14ac:dyDescent="0.25">
      <c r="A279" s="29" t="s">
        <v>294</v>
      </c>
      <c r="B279" s="18"/>
      <c r="C279" s="18"/>
      <c r="D279" s="18"/>
      <c r="E279" s="18"/>
      <c r="F279" s="18"/>
      <c r="G279" s="18"/>
      <c r="H279" s="17"/>
    </row>
    <row r="280" spans="1:8" x14ac:dyDescent="0.25">
      <c r="A280" s="4" t="s">
        <v>186</v>
      </c>
      <c r="B280" s="20">
        <v>40.407200000000003</v>
      </c>
      <c r="C280" s="20">
        <v>74.766800000000003</v>
      </c>
      <c r="D280" s="20">
        <v>276.07310000000001</v>
      </c>
      <c r="E280" s="20">
        <v>9</v>
      </c>
      <c r="F280" s="25"/>
      <c r="G280" s="20">
        <v>485.75720000000001</v>
      </c>
      <c r="H280" s="17"/>
    </row>
    <row r="281" spans="1:8" x14ac:dyDescent="0.25">
      <c r="A281" s="4" t="s">
        <v>295</v>
      </c>
      <c r="B281" s="20">
        <v>0</v>
      </c>
      <c r="C281" s="20">
        <v>0</v>
      </c>
      <c r="D281" s="20">
        <v>0</v>
      </c>
      <c r="E281" s="20">
        <v>0</v>
      </c>
      <c r="F281" s="25"/>
      <c r="G281" s="20">
        <v>0</v>
      </c>
      <c r="H281" s="17"/>
    </row>
    <row r="282" spans="1:8" x14ac:dyDescent="0.25">
      <c r="A282" s="29" t="s">
        <v>296</v>
      </c>
      <c r="B282" s="18"/>
      <c r="C282" s="18"/>
      <c r="D282" s="18"/>
      <c r="E282" s="18"/>
      <c r="F282" s="18"/>
      <c r="G282" s="18"/>
      <c r="H282" s="17"/>
    </row>
    <row r="283" spans="1:8" x14ac:dyDescent="0.25">
      <c r="A283" s="4" t="s">
        <v>194</v>
      </c>
      <c r="B283" s="20">
        <v>352888.28028544399</v>
      </c>
      <c r="C283" s="25"/>
      <c r="D283" s="25"/>
      <c r="E283" s="20">
        <v>136</v>
      </c>
      <c r="F283" s="25"/>
      <c r="G283" s="20">
        <v>9441.6512999999995</v>
      </c>
      <c r="H283" s="17"/>
    </row>
    <row r="284" spans="1:8" x14ac:dyDescent="0.25">
      <c r="A284" s="4" t="s">
        <v>297</v>
      </c>
      <c r="B284" s="20">
        <v>0</v>
      </c>
      <c r="C284" s="25"/>
      <c r="D284" s="25"/>
      <c r="E284" s="20">
        <v>0</v>
      </c>
      <c r="F284" s="25"/>
      <c r="G284" s="20">
        <v>0</v>
      </c>
      <c r="H284" s="17"/>
    </row>
    <row r="285" spans="1:8" x14ac:dyDescent="0.25">
      <c r="A285" s="29" t="s">
        <v>298</v>
      </c>
      <c r="B285" s="18"/>
      <c r="C285" s="18"/>
      <c r="D285" s="18"/>
      <c r="E285" s="18"/>
      <c r="F285" s="18"/>
      <c r="G285" s="18"/>
      <c r="H285" s="17"/>
    </row>
    <row r="286" spans="1:8" x14ac:dyDescent="0.25">
      <c r="A286" s="4" t="s">
        <v>195</v>
      </c>
      <c r="B286" s="20">
        <v>41856.721964539604</v>
      </c>
      <c r="C286" s="20">
        <v>160926.10449400899</v>
      </c>
      <c r="D286" s="20">
        <v>333208.89747328497</v>
      </c>
      <c r="E286" s="20">
        <v>126</v>
      </c>
      <c r="F286" s="25"/>
      <c r="G286" s="20">
        <v>12771.8207</v>
      </c>
      <c r="H286" s="17"/>
    </row>
    <row r="287" spans="1:8" x14ac:dyDescent="0.25">
      <c r="A287" s="4" t="s">
        <v>299</v>
      </c>
      <c r="B287" s="20">
        <v>0</v>
      </c>
      <c r="C287" s="20">
        <v>0</v>
      </c>
      <c r="D287" s="20">
        <v>0</v>
      </c>
      <c r="E287" s="20">
        <v>0</v>
      </c>
      <c r="F287" s="25"/>
      <c r="G287" s="20">
        <v>0</v>
      </c>
      <c r="H287" s="17"/>
    </row>
    <row r="289" spans="1:6" ht="21" customHeight="1" x14ac:dyDescent="0.3">
      <c r="A289" s="1" t="s">
        <v>300</v>
      </c>
    </row>
    <row r="290" spans="1:6" x14ac:dyDescent="0.25">
      <c r="A290" s="2" t="s">
        <v>221</v>
      </c>
    </row>
    <row r="292" spans="1:6" ht="30" x14ac:dyDescent="0.25">
      <c r="B292" s="15" t="s">
        <v>301</v>
      </c>
    </row>
    <row r="293" spans="1:6" x14ac:dyDescent="0.25">
      <c r="A293" s="4" t="s">
        <v>302</v>
      </c>
      <c r="B293" s="20">
        <v>18525180.793004598</v>
      </c>
      <c r="C293" s="17"/>
    </row>
    <row r="295" spans="1:6" ht="21" customHeight="1" x14ac:dyDescent="0.3">
      <c r="A295" s="1" t="s">
        <v>303</v>
      </c>
    </row>
    <row r="297" spans="1:6" x14ac:dyDescent="0.25">
      <c r="B297" s="15" t="s">
        <v>304</v>
      </c>
      <c r="C297" s="15" t="s">
        <v>305</v>
      </c>
      <c r="D297" s="15" t="s">
        <v>306</v>
      </c>
      <c r="E297" s="15" t="s">
        <v>307</v>
      </c>
    </row>
    <row r="298" spans="1:6" x14ac:dyDescent="0.25">
      <c r="A298" s="4" t="s">
        <v>308</v>
      </c>
      <c r="B298" s="20">
        <v>27174344.1829414</v>
      </c>
      <c r="C298" s="20">
        <v>97208506.381587893</v>
      </c>
      <c r="D298" s="27">
        <v>0.6</v>
      </c>
      <c r="E298" s="20">
        <v>28145721.203825999</v>
      </c>
      <c r="F298" s="17"/>
    </row>
    <row r="300" spans="1:6" ht="21" customHeight="1" x14ac:dyDescent="0.3">
      <c r="A300" s="1" t="s">
        <v>309</v>
      </c>
    </row>
    <row r="301" spans="1:6" x14ac:dyDescent="0.25">
      <c r="A301" s="2" t="s">
        <v>310</v>
      </c>
    </row>
    <row r="302" spans="1:6" x14ac:dyDescent="0.25">
      <c r="A302" s="2" t="s">
        <v>311</v>
      </c>
    </row>
    <row r="303" spans="1:6" x14ac:dyDescent="0.25">
      <c r="A303" s="2" t="s">
        <v>312</v>
      </c>
    </row>
    <row r="305" spans="1:10" ht="30" x14ac:dyDescent="0.25">
      <c r="B305" s="15" t="s">
        <v>313</v>
      </c>
      <c r="C305" s="15" t="s">
        <v>314</v>
      </c>
      <c r="D305" s="15" t="s">
        <v>315</v>
      </c>
      <c r="E305" s="15" t="s">
        <v>316</v>
      </c>
      <c r="F305" s="15" t="s">
        <v>317</v>
      </c>
      <c r="G305" s="15" t="s">
        <v>318</v>
      </c>
      <c r="H305" s="15" t="s">
        <v>319</v>
      </c>
      <c r="I305" s="15" t="s">
        <v>320</v>
      </c>
    </row>
    <row r="306" spans="1:10" x14ac:dyDescent="0.25">
      <c r="A306" s="4" t="s">
        <v>321</v>
      </c>
      <c r="B306" s="27"/>
      <c r="C306" s="27"/>
      <c r="D306" s="27"/>
      <c r="E306" s="27"/>
      <c r="F306" s="27"/>
      <c r="G306" s="27">
        <v>0.3</v>
      </c>
      <c r="H306" s="27">
        <v>0.3</v>
      </c>
      <c r="I306" s="27">
        <v>0.97</v>
      </c>
      <c r="J306" s="17"/>
    </row>
    <row r="307" spans="1:10" x14ac:dyDescent="0.25">
      <c r="A307" s="4" t="s">
        <v>322</v>
      </c>
      <c r="B307" s="27"/>
      <c r="C307" s="27"/>
      <c r="D307" s="27"/>
      <c r="E307" s="27"/>
      <c r="F307" s="27"/>
      <c r="G307" s="27">
        <v>0.3</v>
      </c>
      <c r="H307" s="27">
        <v>0.97</v>
      </c>
      <c r="I307" s="25"/>
      <c r="J307" s="17"/>
    </row>
    <row r="308" spans="1:10" x14ac:dyDescent="0.25">
      <c r="A308" s="4" t="s">
        <v>323</v>
      </c>
      <c r="B308" s="27"/>
      <c r="C308" s="27"/>
      <c r="D308" s="27"/>
      <c r="E308" s="27">
        <v>0.56999999999999995</v>
      </c>
      <c r="F308" s="27"/>
      <c r="G308" s="27">
        <v>0.91</v>
      </c>
      <c r="H308" s="25"/>
      <c r="I308" s="25"/>
      <c r="J308" s="17"/>
    </row>
    <row r="309" spans="1:10" x14ac:dyDescent="0.25">
      <c r="A309" s="4" t="s">
        <v>324</v>
      </c>
      <c r="B309" s="27"/>
      <c r="C309" s="27"/>
      <c r="D309" s="27">
        <v>0.56999999999999995</v>
      </c>
      <c r="E309" s="27">
        <v>0.92</v>
      </c>
      <c r="F309" s="25"/>
      <c r="G309" s="25"/>
      <c r="H309" s="25"/>
      <c r="I309" s="25"/>
      <c r="J309" s="17"/>
    </row>
    <row r="311" spans="1:10" ht="21" customHeight="1" x14ac:dyDescent="0.3">
      <c r="A311" s="1" t="s">
        <v>325</v>
      </c>
    </row>
    <row r="313" spans="1:10" x14ac:dyDescent="0.25">
      <c r="B313" s="15" t="s">
        <v>326</v>
      </c>
      <c r="C313" s="15" t="s">
        <v>327</v>
      </c>
      <c r="D313" s="15" t="s">
        <v>328</v>
      </c>
    </row>
    <row r="314" spans="1:10" x14ac:dyDescent="0.25">
      <c r="A314" s="4" t="s">
        <v>171</v>
      </c>
      <c r="B314" s="27">
        <v>0.12671293941606401</v>
      </c>
      <c r="C314" s="27">
        <v>0.33181157293058799</v>
      </c>
      <c r="D314" s="27">
        <v>0.54147548765334896</v>
      </c>
      <c r="E314" s="17"/>
    </row>
    <row r="315" spans="1:10" x14ac:dyDescent="0.25">
      <c r="A315" s="4" t="s">
        <v>172</v>
      </c>
      <c r="B315" s="27">
        <v>0.135422987402469</v>
      </c>
      <c r="C315" s="27">
        <v>0.34841185886042503</v>
      </c>
      <c r="D315" s="27">
        <v>0.51616515373710603</v>
      </c>
      <c r="E315" s="17"/>
    </row>
    <row r="316" spans="1:10" x14ac:dyDescent="0.25">
      <c r="A316" s="4" t="s">
        <v>213</v>
      </c>
      <c r="B316" s="27">
        <v>5.2959339628810701E-3</v>
      </c>
      <c r="C316" s="27">
        <v>9.4141842042598803E-2</v>
      </c>
      <c r="D316" s="27">
        <v>0.90056222399452002</v>
      </c>
      <c r="E316" s="17"/>
    </row>
    <row r="317" spans="1:10" x14ac:dyDescent="0.25">
      <c r="A317" s="4" t="s">
        <v>173</v>
      </c>
      <c r="B317" s="27">
        <v>0.109274314230623</v>
      </c>
      <c r="C317" s="27">
        <v>0.447827832406547</v>
      </c>
      <c r="D317" s="27">
        <v>0.44289785336283</v>
      </c>
      <c r="E317" s="17"/>
    </row>
    <row r="318" spans="1:10" x14ac:dyDescent="0.25">
      <c r="A318" s="4" t="s">
        <v>174</v>
      </c>
      <c r="B318" s="27">
        <v>0.122415485356973</v>
      </c>
      <c r="C318" s="27">
        <v>0.46089402775348698</v>
      </c>
      <c r="D318" s="27">
        <v>0.41669048688954002</v>
      </c>
      <c r="E318" s="17"/>
    </row>
    <row r="319" spans="1:10" x14ac:dyDescent="0.25">
      <c r="A319" s="4" t="s">
        <v>214</v>
      </c>
      <c r="B319" s="27">
        <v>1.57555927050317E-3</v>
      </c>
      <c r="C319" s="27">
        <v>5.07789042131951E-2</v>
      </c>
      <c r="D319" s="27">
        <v>0.94764553651630201</v>
      </c>
      <c r="E319" s="17"/>
    </row>
    <row r="320" spans="1:10" x14ac:dyDescent="0.25">
      <c r="A320" s="4" t="s">
        <v>175</v>
      </c>
      <c r="B320" s="27">
        <v>0.135991140327402</v>
      </c>
      <c r="C320" s="27">
        <v>0.48500362967598298</v>
      </c>
      <c r="D320" s="27">
        <v>0.37900522999661501</v>
      </c>
      <c r="E320" s="17"/>
    </row>
    <row r="321" spans="1:5" x14ac:dyDescent="0.25">
      <c r="A321" s="4" t="s">
        <v>176</v>
      </c>
      <c r="B321" s="27">
        <v>0.133757439130929</v>
      </c>
      <c r="C321" s="27">
        <v>0.48143444853824802</v>
      </c>
      <c r="D321" s="27">
        <v>0.38480811233082401</v>
      </c>
      <c r="E321" s="17"/>
    </row>
    <row r="322" spans="1:5" x14ac:dyDescent="0.25">
      <c r="A322" s="4" t="s">
        <v>192</v>
      </c>
      <c r="B322" s="27">
        <v>0.130957627063962</v>
      </c>
      <c r="C322" s="27">
        <v>0.48933937384065102</v>
      </c>
      <c r="D322" s="27">
        <v>0.37970299909538702</v>
      </c>
      <c r="E322" s="17"/>
    </row>
    <row r="324" spans="1:5" ht="21" customHeight="1" x14ac:dyDescent="0.3">
      <c r="A324" s="1" t="s">
        <v>329</v>
      </c>
    </row>
    <row r="326" spans="1:5" x14ac:dyDescent="0.25">
      <c r="B326" s="15" t="s">
        <v>326</v>
      </c>
      <c r="C326" s="15" t="s">
        <v>327</v>
      </c>
      <c r="D326" s="15" t="s">
        <v>328</v>
      </c>
    </row>
    <row r="327" spans="1:5" x14ac:dyDescent="0.25">
      <c r="A327" s="4" t="s">
        <v>172</v>
      </c>
      <c r="B327" s="27">
        <v>0</v>
      </c>
      <c r="C327" s="27">
        <v>0</v>
      </c>
      <c r="D327" s="27">
        <v>1</v>
      </c>
      <c r="E327" s="17"/>
    </row>
    <row r="328" spans="1:5" x14ac:dyDescent="0.25">
      <c r="A328" s="4" t="s">
        <v>174</v>
      </c>
      <c r="B328" s="27">
        <v>0</v>
      </c>
      <c r="C328" s="27">
        <v>0</v>
      </c>
      <c r="D328" s="27">
        <v>1</v>
      </c>
      <c r="E328" s="17"/>
    </row>
    <row r="329" spans="1:5" x14ac:dyDescent="0.25">
      <c r="A329" s="4" t="s">
        <v>175</v>
      </c>
      <c r="B329" s="27">
        <v>0</v>
      </c>
      <c r="C329" s="27">
        <v>0</v>
      </c>
      <c r="D329" s="27">
        <v>1</v>
      </c>
      <c r="E329" s="17"/>
    </row>
    <row r="330" spans="1:5" x14ac:dyDescent="0.25">
      <c r="A330" s="4" t="s">
        <v>176</v>
      </c>
      <c r="B330" s="27">
        <v>0</v>
      </c>
      <c r="C330" s="27">
        <v>0</v>
      </c>
      <c r="D330" s="27">
        <v>1</v>
      </c>
      <c r="E330" s="17"/>
    </row>
    <row r="331" spans="1:5" x14ac:dyDescent="0.25">
      <c r="A331" s="4" t="s">
        <v>192</v>
      </c>
      <c r="B331" s="27">
        <v>0</v>
      </c>
      <c r="C331" s="27">
        <v>0</v>
      </c>
      <c r="D331" s="27">
        <v>1</v>
      </c>
      <c r="E331" s="17"/>
    </row>
    <row r="333" spans="1:5" ht="21" customHeight="1" x14ac:dyDescent="0.3">
      <c r="A333" s="1" t="s">
        <v>330</v>
      </c>
    </row>
    <row r="335" spans="1:5" x14ac:dyDescent="0.25">
      <c r="B335" s="15" t="s">
        <v>331</v>
      </c>
      <c r="C335" s="15" t="s">
        <v>332</v>
      </c>
      <c r="D335" s="15" t="s">
        <v>328</v>
      </c>
    </row>
    <row r="336" spans="1:5" x14ac:dyDescent="0.25">
      <c r="A336" s="4" t="s">
        <v>215</v>
      </c>
      <c r="B336" s="27">
        <v>2.94520547945205E-2</v>
      </c>
      <c r="C336" s="27">
        <v>0.34880136986301402</v>
      </c>
      <c r="D336" s="27">
        <v>0.62174657534246602</v>
      </c>
      <c r="E336" s="17"/>
    </row>
    <row r="337" spans="1:5" x14ac:dyDescent="0.25">
      <c r="A337" s="4" t="s">
        <v>216</v>
      </c>
      <c r="B337" s="27">
        <v>5.0057870607719199E-2</v>
      </c>
      <c r="C337" s="27">
        <v>8.3818049231440497E-2</v>
      </c>
      <c r="D337" s="27">
        <v>0.86612408016083897</v>
      </c>
      <c r="E337" s="17"/>
    </row>
    <row r="338" spans="1:5" x14ac:dyDescent="0.25">
      <c r="A338" s="4" t="s">
        <v>217</v>
      </c>
      <c r="B338" s="27">
        <v>9.5878636666533998E-2</v>
      </c>
      <c r="C338" s="27">
        <v>0.16459011566293599</v>
      </c>
      <c r="D338" s="27">
        <v>0.73953124767052902</v>
      </c>
      <c r="E338" s="17"/>
    </row>
    <row r="339" spans="1:5" x14ac:dyDescent="0.25">
      <c r="A339" s="4" t="s">
        <v>218</v>
      </c>
      <c r="B339" s="27">
        <v>1.6712476111251501E-2</v>
      </c>
      <c r="C339" s="27">
        <v>0.56747668517515604</v>
      </c>
      <c r="D339" s="27">
        <v>0.41581083871359298</v>
      </c>
      <c r="E339" s="17"/>
    </row>
    <row r="341" spans="1:5" ht="21" customHeight="1" x14ac:dyDescent="0.3">
      <c r="A341" s="1" t="s">
        <v>333</v>
      </c>
    </row>
    <row r="342" spans="1:5" x14ac:dyDescent="0.25">
      <c r="A342" s="2" t="s">
        <v>334</v>
      </c>
    </row>
    <row r="343" spans="1:5" x14ac:dyDescent="0.25">
      <c r="A343" s="2" t="s">
        <v>335</v>
      </c>
    </row>
    <row r="345" spans="1:5" x14ac:dyDescent="0.25">
      <c r="B345" s="15" t="s">
        <v>331</v>
      </c>
      <c r="C345" s="15" t="s">
        <v>332</v>
      </c>
      <c r="D345" s="15" t="s">
        <v>328</v>
      </c>
    </row>
    <row r="346" spans="1:5" x14ac:dyDescent="0.25">
      <c r="A346" s="4" t="s">
        <v>336</v>
      </c>
      <c r="B346" s="30">
        <v>258</v>
      </c>
      <c r="C346" s="30">
        <v>3047</v>
      </c>
      <c r="D346" s="30">
        <v>5455</v>
      </c>
      <c r="E346" s="17"/>
    </row>
    <row r="348" spans="1:5" ht="21" customHeight="1" x14ac:dyDescent="0.3">
      <c r="A348" s="1" t="s">
        <v>337</v>
      </c>
    </row>
    <row r="349" spans="1:5" x14ac:dyDescent="0.25">
      <c r="A349" s="2" t="s">
        <v>334</v>
      </c>
    </row>
    <row r="350" spans="1:5" x14ac:dyDescent="0.25">
      <c r="A350" s="2" t="s">
        <v>335</v>
      </c>
    </row>
    <row r="352" spans="1:5" x14ac:dyDescent="0.25">
      <c r="B352" s="15" t="s">
        <v>326</v>
      </c>
      <c r="C352" s="15" t="s">
        <v>327</v>
      </c>
      <c r="D352" s="15" t="s">
        <v>328</v>
      </c>
    </row>
    <row r="353" spans="1:6" x14ac:dyDescent="0.25">
      <c r="A353" s="4" t="s">
        <v>336</v>
      </c>
      <c r="B353" s="30">
        <v>780</v>
      </c>
      <c r="C353" s="30">
        <v>2525</v>
      </c>
      <c r="D353" s="30">
        <v>5455</v>
      </c>
      <c r="E353" s="17"/>
    </row>
    <row r="355" spans="1:6" ht="21" customHeight="1" x14ac:dyDescent="0.3">
      <c r="A355" s="1" t="s">
        <v>338</v>
      </c>
    </row>
    <row r="356" spans="1:6" x14ac:dyDescent="0.25">
      <c r="A356" s="2" t="s">
        <v>339</v>
      </c>
    </row>
    <row r="358" spans="1:6" x14ac:dyDescent="0.25">
      <c r="B358" s="31" t="s">
        <v>340</v>
      </c>
      <c r="C358" s="31"/>
      <c r="D358" s="31"/>
    </row>
    <row r="359" spans="1:6" ht="30" x14ac:dyDescent="0.25">
      <c r="B359" s="15" t="s">
        <v>326</v>
      </c>
      <c r="C359" s="15" t="s">
        <v>327</v>
      </c>
      <c r="D359" s="15" t="s">
        <v>328</v>
      </c>
      <c r="E359" s="15" t="s">
        <v>341</v>
      </c>
    </row>
    <row r="360" spans="1:6" x14ac:dyDescent="0.25">
      <c r="A360" s="4" t="s">
        <v>139</v>
      </c>
      <c r="B360" s="27">
        <v>0.890608875128999</v>
      </c>
      <c r="C360" s="27">
        <v>9.1847265221878194E-2</v>
      </c>
      <c r="D360" s="27">
        <v>1.7543859649122799E-2</v>
      </c>
      <c r="E360" s="27">
        <v>0.89078431372549005</v>
      </c>
      <c r="F360" s="17"/>
    </row>
    <row r="361" spans="1:6" x14ac:dyDescent="0.25">
      <c r="A361" s="4" t="s">
        <v>140</v>
      </c>
      <c r="B361" s="27">
        <v>0.70616668044798503</v>
      </c>
      <c r="C361" s="27">
        <v>0.22848047187233</v>
      </c>
      <c r="D361" s="27">
        <v>6.5352847679685397E-2</v>
      </c>
      <c r="E361" s="27">
        <v>0.66396920334794196</v>
      </c>
      <c r="F361" s="17"/>
    </row>
    <row r="362" spans="1:6" x14ac:dyDescent="0.25">
      <c r="A362" s="4" t="s">
        <v>141</v>
      </c>
      <c r="B362" s="27">
        <v>0.70616668044798503</v>
      </c>
      <c r="C362" s="27">
        <v>0.22848047187233</v>
      </c>
      <c r="D362" s="27">
        <v>6.5352847679685397E-2</v>
      </c>
      <c r="E362" s="27">
        <v>0.66396920334794196</v>
      </c>
      <c r="F362" s="17"/>
    </row>
    <row r="363" spans="1:6" x14ac:dyDescent="0.25">
      <c r="A363" s="4" t="s">
        <v>142</v>
      </c>
      <c r="B363" s="27">
        <v>0.595830989756439</v>
      </c>
      <c r="C363" s="27">
        <v>0.313257705802575</v>
      </c>
      <c r="D363" s="27">
        <v>9.0911304440986898E-2</v>
      </c>
      <c r="E363" s="27">
        <v>0.54274319023513695</v>
      </c>
      <c r="F363" s="17"/>
    </row>
    <row r="364" spans="1:6" x14ac:dyDescent="0.25">
      <c r="A364" s="4" t="s">
        <v>143</v>
      </c>
      <c r="B364" s="27">
        <v>0.595830989756439</v>
      </c>
      <c r="C364" s="27">
        <v>0.313257705802575</v>
      </c>
      <c r="D364" s="27">
        <v>9.0911304440986898E-2</v>
      </c>
      <c r="E364" s="27">
        <v>0.54274319023513695</v>
      </c>
      <c r="F364" s="17"/>
    </row>
    <row r="365" spans="1:6" x14ac:dyDescent="0.25">
      <c r="A365" s="4" t="s">
        <v>148</v>
      </c>
      <c r="B365" s="27">
        <v>0</v>
      </c>
      <c r="C365" s="27">
        <v>0</v>
      </c>
      <c r="D365" s="27">
        <v>0</v>
      </c>
      <c r="E365" s="27">
        <v>0</v>
      </c>
      <c r="F365" s="17"/>
    </row>
    <row r="366" spans="1:6" x14ac:dyDescent="0.25">
      <c r="A366" s="4" t="s">
        <v>144</v>
      </c>
      <c r="B366" s="27">
        <v>0.595830989756439</v>
      </c>
      <c r="C366" s="27">
        <v>0.313257705802575</v>
      </c>
      <c r="D366" s="27">
        <v>9.0911304440986898E-2</v>
      </c>
      <c r="E366" s="27">
        <v>0.54274319023513695</v>
      </c>
      <c r="F366" s="17"/>
    </row>
    <row r="367" spans="1:6" x14ac:dyDescent="0.25">
      <c r="A367" s="4" t="s">
        <v>145</v>
      </c>
      <c r="B367" s="27">
        <v>0.595830989756439</v>
      </c>
      <c r="C367" s="27">
        <v>0.313257705802575</v>
      </c>
      <c r="D367" s="27">
        <v>9.0911304440986898E-2</v>
      </c>
      <c r="E367" s="27">
        <v>0.54274319023513695</v>
      </c>
      <c r="F367" s="17"/>
    </row>
    <row r="368" spans="1:6" x14ac:dyDescent="0.25">
      <c r="A368" s="4" t="s">
        <v>146</v>
      </c>
      <c r="B368" s="27">
        <v>0.595830989756439</v>
      </c>
      <c r="C368" s="27">
        <v>0.313257705802575</v>
      </c>
      <c r="D368" s="27">
        <v>9.0911304440986898E-2</v>
      </c>
      <c r="E368" s="27">
        <v>0.54274319023513695</v>
      </c>
      <c r="F368" s="17"/>
    </row>
    <row r="370" spans="1:11" ht="21" customHeight="1" x14ac:dyDescent="0.3">
      <c r="A370" s="1" t="s">
        <v>342</v>
      </c>
    </row>
    <row r="371" spans="1:11" x14ac:dyDescent="0.25">
      <c r="A371" s="2" t="s">
        <v>343</v>
      </c>
    </row>
    <row r="372" spans="1:11" x14ac:dyDescent="0.25">
      <c r="A372" s="2" t="s">
        <v>344</v>
      </c>
    </row>
    <row r="374" spans="1:11" x14ac:dyDescent="0.25">
      <c r="B374" s="15" t="s">
        <v>139</v>
      </c>
      <c r="C374" s="15" t="s">
        <v>140</v>
      </c>
      <c r="D374" s="15" t="s">
        <v>141</v>
      </c>
      <c r="E374" s="15" t="s">
        <v>142</v>
      </c>
      <c r="F374" s="15" t="s">
        <v>143</v>
      </c>
      <c r="G374" s="15" t="s">
        <v>148</v>
      </c>
      <c r="H374" s="15" t="s">
        <v>144</v>
      </c>
      <c r="I374" s="15" t="s">
        <v>145</v>
      </c>
      <c r="J374" s="15" t="s">
        <v>146</v>
      </c>
    </row>
    <row r="375" spans="1:11" x14ac:dyDescent="0.25">
      <c r="A375" s="4" t="s">
        <v>345</v>
      </c>
      <c r="B375" s="22">
        <v>0.184460828598286</v>
      </c>
      <c r="C375" s="22">
        <v>0.184460828598286</v>
      </c>
      <c r="D375" s="22">
        <v>0.20082646963077799</v>
      </c>
      <c r="E375" s="22">
        <v>0.20082646963077799</v>
      </c>
      <c r="F375" s="22">
        <v>0.20535247738374099</v>
      </c>
      <c r="G375" s="22">
        <v>0</v>
      </c>
      <c r="H375" s="22">
        <v>0.20535247738374099</v>
      </c>
      <c r="I375" s="22">
        <v>0.20535247738374099</v>
      </c>
      <c r="J375" s="22">
        <v>0.20535247738374099</v>
      </c>
      <c r="K375" s="17"/>
    </row>
  </sheetData>
  <sheetProtection sheet="1" objects="1" scenarios="1"/>
  <dataValidations count="356">
    <dataValidation type="decimal" allowBlank="1" showInputMessage="1" showErrorMessage="1" error="The rate of return must be a non-negative percentage value." sqref="B58">
      <formula1>0</formula1>
      <formula2>4</formula2>
    </dataValidation>
    <dataValidation type="decimal" allowBlank="1" showInputMessage="1" showErrorMessage="1" sqref="C58">
      <formula1>0</formula1>
      <formula2>999999</formula2>
    </dataValidation>
    <dataValidation type="decimal" allowBlank="1" showInputMessage="1" showErrorMessage="1" sqref="E58">
      <formula1>0.001</formula1>
      <formula2>1</formula2>
    </dataValidation>
    <dataValidation type="decimal" allowBlank="1" showInputMessage="1" showErrorMessage="1" sqref="F58">
      <formula1>365</formula1>
      <formula2>366</formula2>
    </dataValidation>
    <dataValidation type="decimal" allowBlank="1" showInputMessage="1" showErrorMessage="1" error="Must be a non-negative percentage value." sqref="B68:B75">
      <formula1>0</formula1>
      <formula2>4</formula2>
    </dataValidation>
    <dataValidation type="decimal" allowBlank="1" showInputMessage="1" showErrorMessage="1" error="The proportion of load going through 132kV/HV must be between 0% and 100%." sqref="B80">
      <formula1>0</formula1>
      <formula2>1</formula2>
    </dataValidation>
    <dataValidation type="decimal" allowBlank="1" showInputMessage="1" showErrorMessage="1" sqref="B85">
      <formula1>0.001</formula1>
      <formula2>999999.999</formula2>
    </dataValidation>
    <dataValidation type="decimal" operator="greaterThanOrEqual" allowBlank="1" showInputMessage="1" showErrorMessage="1" sqref="B90:B97">
      <formula1>0</formula1>
    </dataValidation>
    <dataValidation type="decimal" operator="greaterThanOrEqual" allowBlank="1" showInputMessage="1" showErrorMessage="1" sqref="B102:I102">
      <formula1>0</formula1>
    </dataValidation>
    <dataValidation type="decimal" operator="greaterThanOrEqual" allowBlank="1" showInputMessage="1" showErrorMessage="1" sqref="B107:F107">
      <formula1>0</formula1>
    </dataValidation>
    <dataValidation type="decimal" allowBlank="1" showInputMessage="1" showErrorMessage="1" error="The number in this cell must be between 0% and 100%." sqref="B112:I127">
      <formula1>0</formula1>
      <formula2>1</formula2>
    </dataValidation>
    <dataValidation type="decimal" operator="greaterThanOrEqual" allowBlank="1" showInputMessage="1" showErrorMessage="1" sqref="B134:I134">
      <formula1>0</formula1>
    </dataValidation>
    <dataValidation type="decimal" allowBlank="1" showInputMessage="1" showErrorMessage="1" error="The number in this cell must be between 0% and 100%." sqref="B139:F142">
      <formula1>0</formula1>
      <formula2>1</formula2>
    </dataValidation>
    <dataValidation type="decimal" operator="greaterThan" allowBlank="1" showInputMessage="1" showErrorMessage="1" sqref="B148:H148">
      <formula1>0</formula1>
    </dataValidation>
    <dataValidation type="decimal" allowBlank="1" showInputMessage="1" showErrorMessage="1" error="The LDNO discount must be between 0% and 100%." sqref="B154:F154">
      <formula1>0</formula1>
      <formula2>1</formula2>
    </dataValidation>
    <dataValidation type="decimal" operator="greaterThanOrEqual" allowBlank="1" showInputMessage="1" showErrorMessage="1" errorTitle="Invalid discount" error="The discount must be a non-negative percentage value." sqref="B159:F159">
      <formula1>0</formula1>
    </dataValidation>
    <dataValidation type="decimal" allowBlank="1" showInputMessage="1" showErrorMessage="1" error="The coincidence factor must be between 0% and 100%." sqref="B165:B183">
      <formula1>0</formula1>
      <formula2>1</formula2>
    </dataValidation>
    <dataValidation type="decimal" allowBlank="1" showInputMessage="1" showErrorMessage="1" error="The load factor must be between 0% and 100%." sqref="C165:C183">
      <formula1>0</formula1>
      <formula2>1</formula2>
    </dataValidation>
    <dataValidation type="textLength" operator="equal" allowBlank="1" showInputMessage="1" showErrorMessage="1" error="This cell should remain blank." sqref="B191">
      <formula1>0</formula1>
    </dataValidation>
    <dataValidation type="decimal" operator="greaterThanOrEqual" allowBlank="1" showInputMessage="1" showErrorMessage="1" errorTitle="Volume data error" error="The volume must be a non-negative number." sqref="B192:B194">
      <formula1>0</formula1>
    </dataValidation>
    <dataValidation type="textLength" operator="equal" allowBlank="1" showInputMessage="1" showErrorMessage="1" error="This cell should remain blank." sqref="B195">
      <formula1>0</formula1>
    </dataValidation>
    <dataValidation type="decimal" operator="greaterThanOrEqual" allowBlank="1" showInputMessage="1" showErrorMessage="1" errorTitle="Volume data error" error="The volume must be a non-negative number." sqref="B196:B198">
      <formula1>0</formula1>
    </dataValidation>
    <dataValidation type="textLength" operator="equal" allowBlank="1" showInputMessage="1" showErrorMessage="1" error="This cell should remain blank." sqref="B199">
      <formula1>0</formula1>
    </dataValidation>
    <dataValidation type="decimal" operator="greaterThanOrEqual" allowBlank="1" showInputMessage="1" showErrorMessage="1" errorTitle="Volume data error" error="The volume must be a non-negative number." sqref="B200:B202">
      <formula1>0</formula1>
    </dataValidation>
    <dataValidation type="textLength" operator="equal" allowBlank="1" showInputMessage="1" showErrorMessage="1" error="This cell should remain blank." sqref="B203">
      <formula1>0</formula1>
    </dataValidation>
    <dataValidation type="decimal" operator="greaterThanOrEqual" allowBlank="1" showInputMessage="1" showErrorMessage="1" errorTitle="Volume data error" error="The volume must be a non-negative number." sqref="B204:B206">
      <formula1>0</formula1>
    </dataValidation>
    <dataValidation type="textLength" operator="equal" allowBlank="1" showInputMessage="1" showErrorMessage="1" error="This cell should remain blank." sqref="B207">
      <formula1>0</formula1>
    </dataValidation>
    <dataValidation type="decimal" operator="greaterThanOrEqual" allowBlank="1" showInputMessage="1" showErrorMessage="1" errorTitle="Volume data error" error="The volume must be a non-negative number." sqref="B208:B210">
      <formula1>0</formula1>
    </dataValidation>
    <dataValidation type="textLength" operator="equal" allowBlank="1" showInputMessage="1" showErrorMessage="1" error="This cell should remain blank." sqref="B211">
      <formula1>0</formula1>
    </dataValidation>
    <dataValidation type="decimal" operator="greaterThanOrEqual" allowBlank="1" showInputMessage="1" showErrorMessage="1" errorTitle="Volume data error" error="The volume must be a non-negative number." sqref="B212:B214">
      <formula1>0</formula1>
    </dataValidation>
    <dataValidation type="textLength" operator="equal" allowBlank="1" showInputMessage="1" showErrorMessage="1" error="This cell should remain blank." sqref="B215">
      <formula1>0</formula1>
    </dataValidation>
    <dataValidation type="decimal" operator="greaterThanOrEqual" allowBlank="1" showInputMessage="1" showErrorMessage="1" errorTitle="Volume data error" error="The volume must be a non-negative number." sqref="B216:B218">
      <formula1>0</formula1>
    </dataValidation>
    <dataValidation type="textLength" operator="equal" allowBlank="1" showInputMessage="1" showErrorMessage="1" error="This cell should remain blank." sqref="B219">
      <formula1>0</formula1>
    </dataValidation>
    <dataValidation type="decimal" operator="greaterThanOrEqual" allowBlank="1" showInputMessage="1" showErrorMessage="1" errorTitle="Volume data error" error="The volume must be a non-negative number." sqref="B220">
      <formula1>0</formula1>
    </dataValidation>
    <dataValidation type="textLength" operator="equal" allowBlank="1" showInputMessage="1" showErrorMessage="1" error="This cell should remain blank." sqref="B221">
      <formula1>0</formula1>
    </dataValidation>
    <dataValidation type="decimal" operator="greaterThanOrEqual" allowBlank="1" showInputMessage="1" showErrorMessage="1" errorTitle="Volume data error" error="The volume must be a non-negative number." sqref="B222">
      <formula1>0</formula1>
    </dataValidation>
    <dataValidation type="textLength" operator="equal" allowBlank="1" showInputMessage="1" showErrorMessage="1" error="This cell should remain blank." sqref="B223">
      <formula1>0</formula1>
    </dataValidation>
    <dataValidation type="decimal" operator="greaterThanOrEqual" allowBlank="1" showInputMessage="1" showErrorMessage="1" errorTitle="Volume data error" error="The volume must be a non-negative number." sqref="B224:B226">
      <formula1>0</formula1>
    </dataValidation>
    <dataValidation type="textLength" operator="equal" allowBlank="1" showInputMessage="1" showErrorMessage="1" error="This cell should remain blank." sqref="B227">
      <formula1>0</formula1>
    </dataValidation>
    <dataValidation type="decimal" operator="greaterThanOrEqual" allowBlank="1" showInputMessage="1" showErrorMessage="1" errorTitle="Volume data error" error="The volume must be a non-negative number." sqref="B228:B230">
      <formula1>0</formula1>
    </dataValidation>
    <dataValidation type="textLength" operator="equal" allowBlank="1" showInputMessage="1" showErrorMessage="1" error="This cell should remain blank." sqref="B231">
      <formula1>0</formula1>
    </dataValidation>
    <dataValidation type="decimal" operator="greaterThanOrEqual" allowBlank="1" showInputMessage="1" showErrorMessage="1" errorTitle="Volume data error" error="The volume must be a non-negative number." sqref="B232:B234">
      <formula1>0</formula1>
    </dataValidation>
    <dataValidation type="textLength" operator="equal" allowBlank="1" showInputMessage="1" showErrorMessage="1" error="This cell should remain blank." sqref="B235">
      <formula1>0</formula1>
    </dataValidation>
    <dataValidation type="decimal" operator="greaterThanOrEqual" allowBlank="1" showInputMessage="1" showErrorMessage="1" errorTitle="Volume data error" error="The volume must be a non-negative number." sqref="B236:B237">
      <formula1>0</formula1>
    </dataValidation>
    <dataValidation type="textLength" operator="equal" allowBlank="1" showInputMessage="1" showErrorMessage="1" error="This cell should remain blank." sqref="B238">
      <formula1>0</formula1>
    </dataValidation>
    <dataValidation type="decimal" operator="greaterThanOrEqual" allowBlank="1" showInputMessage="1" showErrorMessage="1" errorTitle="Volume data error" error="The volume must be a non-negative number." sqref="B239:B240">
      <formula1>0</formula1>
    </dataValidation>
    <dataValidation type="textLength" operator="equal" allowBlank="1" showInputMessage="1" showErrorMessage="1" error="This cell should remain blank." sqref="B241">
      <formula1>0</formula1>
    </dataValidation>
    <dataValidation type="decimal" operator="greaterThanOrEqual" allowBlank="1" showInputMessage="1" showErrorMessage="1" errorTitle="Volume data error" error="The volume must be a non-negative number." sqref="B242:B244">
      <formula1>0</formula1>
    </dataValidation>
    <dataValidation type="textLength" operator="equal" allowBlank="1" showInputMessage="1" showErrorMessage="1" error="This cell should remain blank." sqref="B245">
      <formula1>0</formula1>
    </dataValidation>
    <dataValidation type="decimal" operator="greaterThanOrEqual" allowBlank="1" showInputMessage="1" showErrorMessage="1" errorTitle="Volume data error" error="The volume must be a non-negative number." sqref="B246:B248">
      <formula1>0</formula1>
    </dataValidation>
    <dataValidation type="textLength" operator="equal" allowBlank="1" showInputMessage="1" showErrorMessage="1" error="This cell should remain blank." sqref="B249">
      <formula1>0</formula1>
    </dataValidation>
    <dataValidation type="decimal" operator="greaterThanOrEqual" allowBlank="1" showInputMessage="1" showErrorMessage="1" errorTitle="Volume data error" error="The volume must be a non-negative number." sqref="B250:B252">
      <formula1>0</formula1>
    </dataValidation>
    <dataValidation type="textLength" operator="equal" allowBlank="1" showInputMessage="1" showErrorMessage="1" error="This cell should remain blank." sqref="B253">
      <formula1>0</formula1>
    </dataValidation>
    <dataValidation type="decimal" operator="greaterThanOrEqual" allowBlank="1" showInputMessage="1" showErrorMessage="1" errorTitle="Volume data error" error="The volume must be a non-negative number." sqref="B254:B256">
      <formula1>0</formula1>
    </dataValidation>
    <dataValidation type="textLength" operator="equal" allowBlank="1" showInputMessage="1" showErrorMessage="1" error="This cell should remain blank." sqref="B257">
      <formula1>0</formula1>
    </dataValidation>
    <dataValidation type="decimal" operator="greaterThanOrEqual" allowBlank="1" showInputMessage="1" showErrorMessage="1" errorTitle="Volume data error" error="The volume must be a non-negative number." sqref="B258:B260">
      <formula1>0</formula1>
    </dataValidation>
    <dataValidation type="textLength" operator="equal" allowBlank="1" showInputMessage="1" showErrorMessage="1" error="This cell should remain blank." sqref="B261">
      <formula1>0</formula1>
    </dataValidation>
    <dataValidation type="decimal" operator="greaterThanOrEqual" allowBlank="1" showInputMessage="1" showErrorMessage="1" errorTitle="Volume data error" error="The volume must be a non-negative number." sqref="B262:B264">
      <formula1>0</formula1>
    </dataValidation>
    <dataValidation type="textLength" operator="equal" allowBlank="1" showInputMessage="1" showErrorMessage="1" error="This cell should remain blank." sqref="B265">
      <formula1>0</formula1>
    </dataValidation>
    <dataValidation type="decimal" operator="greaterThanOrEqual" allowBlank="1" showInputMessage="1" showErrorMessage="1" errorTitle="Volume data error" error="The volume must be a non-negative number." sqref="B266:B267">
      <formula1>0</formula1>
    </dataValidation>
    <dataValidation type="textLength" operator="equal" allowBlank="1" showInputMessage="1" showErrorMessage="1" error="This cell should remain blank." sqref="B268">
      <formula1>0</formula1>
    </dataValidation>
    <dataValidation type="decimal" operator="greaterThanOrEqual" allowBlank="1" showInputMessage="1" showErrorMessage="1" errorTitle="Volume data error" error="The volume must be a non-negative number." sqref="B269:B271">
      <formula1>0</formula1>
    </dataValidation>
    <dataValidation type="textLength" operator="equal" allowBlank="1" showInputMessage="1" showErrorMessage="1" error="This cell should remain blank." sqref="B272">
      <formula1>0</formula1>
    </dataValidation>
    <dataValidation type="decimal" operator="greaterThanOrEqual" allowBlank="1" showInputMessage="1" showErrorMessage="1" errorTitle="Volume data error" error="The volume must be a non-negative number." sqref="B273:B275">
      <formula1>0</formula1>
    </dataValidation>
    <dataValidation type="textLength" operator="equal" allowBlank="1" showInputMessage="1" showErrorMessage="1" error="This cell should remain blank." sqref="B276">
      <formula1>0</formula1>
    </dataValidation>
    <dataValidation type="decimal" operator="greaterThanOrEqual" allowBlank="1" showInputMessage="1" showErrorMessage="1" errorTitle="Volume data error" error="The volume must be a non-negative number." sqref="B277:B278">
      <formula1>0</formula1>
    </dataValidation>
    <dataValidation type="textLength" operator="equal" allowBlank="1" showInputMessage="1" showErrorMessage="1" error="This cell should remain blank." sqref="B279">
      <formula1>0</formula1>
    </dataValidation>
    <dataValidation type="decimal" operator="greaterThanOrEqual" allowBlank="1" showInputMessage="1" showErrorMessage="1" errorTitle="Volume data error" error="The volume must be a non-negative number." sqref="B280:B281">
      <formula1>0</formula1>
    </dataValidation>
    <dataValidation type="textLength" operator="equal" allowBlank="1" showInputMessage="1" showErrorMessage="1" error="This cell should remain blank." sqref="B282">
      <formula1>0</formula1>
    </dataValidation>
    <dataValidation type="decimal" operator="greaterThanOrEqual" allowBlank="1" showInputMessage="1" showErrorMessage="1" errorTitle="Volume data error" error="The volume must be a non-negative number." sqref="B283:B284">
      <formula1>0</formula1>
    </dataValidation>
    <dataValidation type="textLength" operator="equal" allowBlank="1" showInputMessage="1" showErrorMessage="1" error="This cell should remain blank." sqref="B285">
      <formula1>0</formula1>
    </dataValidation>
    <dataValidation type="decimal" operator="greaterThanOrEqual" allowBlank="1" showInputMessage="1" showErrorMessage="1" errorTitle="Volume data error" error="The volume must be a non-negative number." sqref="B286:B287">
      <formula1>0</formula1>
    </dataValidation>
    <dataValidation type="textLength" operator="equal" allowBlank="1" showInputMessage="1" showErrorMessage="1" error="This cell should remain blank." sqref="C191">
      <formula1>0</formula1>
    </dataValidation>
    <dataValidation type="decimal" operator="greaterThanOrEqual" allowBlank="1" showInputMessage="1" showErrorMessage="1" errorTitle="Volume data error" error="The volume must be a non-negative number." sqref="C192:C194">
      <formula1>0</formula1>
    </dataValidation>
    <dataValidation type="textLength" operator="equal" allowBlank="1" showInputMessage="1" showErrorMessage="1" error="This cell should remain blank." sqref="C195">
      <formula1>0</formula1>
    </dataValidation>
    <dataValidation type="decimal" operator="greaterThanOrEqual" allowBlank="1" showInputMessage="1" showErrorMessage="1" errorTitle="Volume data error" error="The volume must be a non-negative number." sqref="C196:C198">
      <formula1>0</formula1>
    </dataValidation>
    <dataValidation type="textLength" operator="equal" allowBlank="1" showInputMessage="1" showErrorMessage="1" error="This cell should remain blank." sqref="C199">
      <formula1>0</formula1>
    </dataValidation>
    <dataValidation type="decimal" operator="greaterThanOrEqual" allowBlank="1" showInputMessage="1" showErrorMessage="1" errorTitle="Volume data error" error="The volume must be a non-negative number." sqref="C200:C202">
      <formula1>0</formula1>
    </dataValidation>
    <dataValidation type="textLength" operator="equal" allowBlank="1" showInputMessage="1" showErrorMessage="1" error="This cell should remain blank." sqref="C203">
      <formula1>0</formula1>
    </dataValidation>
    <dataValidation type="decimal" operator="greaterThanOrEqual" allowBlank="1" showInputMessage="1" showErrorMessage="1" errorTitle="Volume data error" error="The volume must be a non-negative number." sqref="C204:C206">
      <formula1>0</formula1>
    </dataValidation>
    <dataValidation type="textLength" operator="equal" allowBlank="1" showInputMessage="1" showErrorMessage="1" error="This cell should remain blank." sqref="C207">
      <formula1>0</formula1>
    </dataValidation>
    <dataValidation type="decimal" operator="greaterThanOrEqual" allowBlank="1" showInputMessage="1" showErrorMessage="1" errorTitle="Volume data error" error="The volume must be a non-negative number." sqref="C208:C210">
      <formula1>0</formula1>
    </dataValidation>
    <dataValidation type="textLength" operator="equal" allowBlank="1" showInputMessage="1" showErrorMessage="1" error="This cell should remain blank." sqref="C211">
      <formula1>0</formula1>
    </dataValidation>
    <dataValidation type="decimal" operator="greaterThanOrEqual" allowBlank="1" showInputMessage="1" showErrorMessage="1" errorTitle="Volume data error" error="The volume must be a non-negative number." sqref="C212:C214">
      <formula1>0</formula1>
    </dataValidation>
    <dataValidation type="textLength" operator="equal" allowBlank="1" showInputMessage="1" showErrorMessage="1" error="This cell should remain blank." sqref="C215">
      <formula1>0</formula1>
    </dataValidation>
    <dataValidation type="decimal" operator="greaterThanOrEqual" allowBlank="1" showInputMessage="1" showErrorMessage="1" errorTitle="Volume data error" error="The volume must be a non-negative number." sqref="C216:C218">
      <formula1>0</formula1>
    </dataValidation>
    <dataValidation type="textLength" operator="equal" allowBlank="1" showInputMessage="1" showErrorMessage="1" error="This cell should remain blank." sqref="C219">
      <formula1>0</formula1>
    </dataValidation>
    <dataValidation type="decimal" operator="greaterThanOrEqual" allowBlank="1" showInputMessage="1" showErrorMessage="1" errorTitle="Volume data error" error="The volume must be a non-negative number." sqref="C220">
      <formula1>0</formula1>
    </dataValidation>
    <dataValidation type="textLength" operator="equal" allowBlank="1" showInputMessage="1" showErrorMessage="1" error="This cell should remain blank." sqref="C221">
      <formula1>0</formula1>
    </dataValidation>
    <dataValidation type="decimal" operator="greaterThanOrEqual" allowBlank="1" showInputMessage="1" showErrorMessage="1" errorTitle="Volume data error" error="The volume must be a non-negative number." sqref="C222">
      <formula1>0</formula1>
    </dataValidation>
    <dataValidation type="textLength" operator="equal" allowBlank="1" showInputMessage="1" showErrorMessage="1" error="This cell should remain blank." sqref="C223">
      <formula1>0</formula1>
    </dataValidation>
    <dataValidation type="decimal" operator="greaterThanOrEqual" allowBlank="1" showInputMessage="1" showErrorMessage="1" errorTitle="Volume data error" error="The volume must be a non-negative number." sqref="C224:C226">
      <formula1>0</formula1>
    </dataValidation>
    <dataValidation type="textLength" operator="equal" allowBlank="1" showInputMessage="1" showErrorMessage="1" error="This cell should remain blank." sqref="C227">
      <formula1>0</formula1>
    </dataValidation>
    <dataValidation type="decimal" operator="greaterThanOrEqual" allowBlank="1" showInputMessage="1" showErrorMessage="1" errorTitle="Volume data error" error="The volume must be a non-negative number." sqref="C228:C230">
      <formula1>0</formula1>
    </dataValidation>
    <dataValidation type="textLength" operator="equal" allowBlank="1" showInputMessage="1" showErrorMessage="1" error="This cell should remain blank." sqref="C231">
      <formula1>0</formula1>
    </dataValidation>
    <dataValidation type="decimal" operator="greaterThanOrEqual" allowBlank="1" showInputMessage="1" showErrorMessage="1" errorTitle="Volume data error" error="The volume must be a non-negative number." sqref="C232:C234">
      <formula1>0</formula1>
    </dataValidation>
    <dataValidation type="textLength" operator="equal" allowBlank="1" showInputMessage="1" showErrorMessage="1" error="This cell should remain blank." sqref="C235">
      <formula1>0</formula1>
    </dataValidation>
    <dataValidation type="decimal" operator="greaterThanOrEqual" allowBlank="1" showInputMessage="1" showErrorMessage="1" errorTitle="Volume data error" error="The volume must be a non-negative number." sqref="C236:C237">
      <formula1>0</formula1>
    </dataValidation>
    <dataValidation type="textLength" operator="equal" allowBlank="1" showInputMessage="1" showErrorMessage="1" error="This cell should remain blank." sqref="C238">
      <formula1>0</formula1>
    </dataValidation>
    <dataValidation type="decimal" operator="greaterThanOrEqual" allowBlank="1" showInputMessage="1" showErrorMessage="1" errorTitle="Volume data error" error="The volume must be a non-negative number." sqref="C239:C240">
      <formula1>0</formula1>
    </dataValidation>
    <dataValidation type="textLength" operator="equal" allowBlank="1" showInputMessage="1" showErrorMessage="1" error="This cell should remain blank." sqref="C241">
      <formula1>0</formula1>
    </dataValidation>
    <dataValidation type="decimal" operator="greaterThanOrEqual" allowBlank="1" showInputMessage="1" showErrorMessage="1" errorTitle="Volume data error" error="The volume must be a non-negative number." sqref="C242:C244">
      <formula1>0</formula1>
    </dataValidation>
    <dataValidation type="textLength" operator="equal" allowBlank="1" showInputMessage="1" showErrorMessage="1" error="This cell should remain blank." sqref="C245">
      <formula1>0</formula1>
    </dataValidation>
    <dataValidation type="decimal" operator="greaterThanOrEqual" allowBlank="1" showInputMessage="1" showErrorMessage="1" errorTitle="Volume data error" error="The volume must be a non-negative number." sqref="C246:C248">
      <formula1>0</formula1>
    </dataValidation>
    <dataValidation type="textLength" operator="equal" allowBlank="1" showInputMessage="1" showErrorMessage="1" error="This cell should remain blank." sqref="C249">
      <formula1>0</formula1>
    </dataValidation>
    <dataValidation type="decimal" operator="greaterThanOrEqual" allowBlank="1" showInputMessage="1" showErrorMessage="1" errorTitle="Volume data error" error="The volume must be a non-negative number." sqref="C250:C252">
      <formula1>0</formula1>
    </dataValidation>
    <dataValidation type="textLength" operator="equal" allowBlank="1" showInputMessage="1" showErrorMessage="1" error="This cell should remain blank." sqref="C253">
      <formula1>0</formula1>
    </dataValidation>
    <dataValidation type="decimal" operator="greaterThanOrEqual" allowBlank="1" showInputMessage="1" showErrorMessage="1" errorTitle="Volume data error" error="The volume must be a non-negative number." sqref="C254:C256">
      <formula1>0</formula1>
    </dataValidation>
    <dataValidation type="textLength" operator="equal" allowBlank="1" showInputMessage="1" showErrorMessage="1" error="This cell should remain blank." sqref="C257">
      <formula1>0</formula1>
    </dataValidation>
    <dataValidation type="decimal" operator="greaterThanOrEqual" allowBlank="1" showInputMessage="1" showErrorMessage="1" errorTitle="Volume data error" error="The volume must be a non-negative number." sqref="C258:C260">
      <formula1>0</formula1>
    </dataValidation>
    <dataValidation type="textLength" operator="equal" allowBlank="1" showInputMessage="1" showErrorMessage="1" error="This cell should remain blank." sqref="C261">
      <formula1>0</formula1>
    </dataValidation>
    <dataValidation type="decimal" operator="greaterThanOrEqual" allowBlank="1" showInputMessage="1" showErrorMessage="1" errorTitle="Volume data error" error="The volume must be a non-negative number." sqref="C262:C264">
      <formula1>0</formula1>
    </dataValidation>
    <dataValidation type="textLength" operator="equal" allowBlank="1" showInputMessage="1" showErrorMessage="1" error="This cell should remain blank." sqref="C265">
      <formula1>0</formula1>
    </dataValidation>
    <dataValidation type="decimal" operator="greaterThanOrEqual" allowBlank="1" showInputMessage="1" showErrorMessage="1" errorTitle="Volume data error" error="The volume must be a non-negative number." sqref="C266:C267">
      <formula1>0</formula1>
    </dataValidation>
    <dataValidation type="textLength" operator="equal" allowBlank="1" showInputMessage="1" showErrorMessage="1" error="This cell should remain blank." sqref="C268">
      <formula1>0</formula1>
    </dataValidation>
    <dataValidation type="decimal" operator="greaterThanOrEqual" allowBlank="1" showInputMessage="1" showErrorMessage="1" errorTitle="Volume data error" error="The volume must be a non-negative number." sqref="C269:C271">
      <formula1>0</formula1>
    </dataValidation>
    <dataValidation type="textLength" operator="equal" allowBlank="1" showInputMessage="1" showErrorMessage="1" error="This cell should remain blank." sqref="C272">
      <formula1>0</formula1>
    </dataValidation>
    <dataValidation type="decimal" operator="greaterThanOrEqual" allowBlank="1" showInputMessage="1" showErrorMessage="1" errorTitle="Volume data error" error="The volume must be a non-negative number." sqref="C273:C275">
      <formula1>0</formula1>
    </dataValidation>
    <dataValidation type="textLength" operator="equal" allowBlank="1" showInputMessage="1" showErrorMessage="1" error="This cell should remain blank." sqref="C276">
      <formula1>0</formula1>
    </dataValidation>
    <dataValidation type="decimal" operator="greaterThanOrEqual" allowBlank="1" showInputMessage="1" showErrorMessage="1" errorTitle="Volume data error" error="The volume must be a non-negative number." sqref="C277:C278">
      <formula1>0</formula1>
    </dataValidation>
    <dataValidation type="textLength" operator="equal" allowBlank="1" showInputMessage="1" showErrorMessage="1" error="This cell should remain blank." sqref="C279">
      <formula1>0</formula1>
    </dataValidation>
    <dataValidation type="decimal" operator="greaterThanOrEqual" allowBlank="1" showInputMessage="1" showErrorMessage="1" errorTitle="Volume data error" error="The volume must be a non-negative number." sqref="C280:C281">
      <formula1>0</formula1>
    </dataValidation>
    <dataValidation type="textLength" operator="equal" allowBlank="1" showInputMessage="1" showErrorMessage="1" error="This cell should remain blank." sqref="C282">
      <formula1>0</formula1>
    </dataValidation>
    <dataValidation type="decimal" operator="greaterThanOrEqual" allowBlank="1" showInputMessage="1" showErrorMessage="1" errorTitle="Volume data error" error="The volume must be a non-negative number." sqref="C283:C284">
      <formula1>0</formula1>
    </dataValidation>
    <dataValidation type="textLength" operator="equal" allowBlank="1" showInputMessage="1" showErrorMessage="1" error="This cell should remain blank." sqref="C285">
      <formula1>0</formula1>
    </dataValidation>
    <dataValidation type="decimal" operator="greaterThanOrEqual" allowBlank="1" showInputMessage="1" showErrorMessage="1" errorTitle="Volume data error" error="The volume must be a non-negative number." sqref="C286:C287">
      <formula1>0</formula1>
    </dataValidation>
    <dataValidation type="textLength" operator="equal" allowBlank="1" showInputMessage="1" showErrorMessage="1" error="This cell should remain blank." sqref="D191">
      <formula1>0</formula1>
    </dataValidation>
    <dataValidation type="decimal" operator="greaterThanOrEqual" allowBlank="1" showInputMessage="1" showErrorMessage="1" errorTitle="Volume data error" error="The volume must be a non-negative number." sqref="D192:D194">
      <formula1>0</formula1>
    </dataValidation>
    <dataValidation type="textLength" operator="equal" allowBlank="1" showInputMessage="1" showErrorMessage="1" error="This cell should remain blank." sqref="D195">
      <formula1>0</formula1>
    </dataValidation>
    <dataValidation type="decimal" operator="greaterThanOrEqual" allowBlank="1" showInputMessage="1" showErrorMessage="1" errorTitle="Volume data error" error="The volume must be a non-negative number." sqref="D196:D198">
      <formula1>0</formula1>
    </dataValidation>
    <dataValidation type="textLength" operator="equal" allowBlank="1" showInputMessage="1" showErrorMessage="1" error="This cell should remain blank." sqref="D199">
      <formula1>0</formula1>
    </dataValidation>
    <dataValidation type="decimal" operator="greaterThanOrEqual" allowBlank="1" showInputMessage="1" showErrorMessage="1" errorTitle="Volume data error" error="The volume must be a non-negative number." sqref="D200:D202">
      <formula1>0</formula1>
    </dataValidation>
    <dataValidation type="textLength" operator="equal" allowBlank="1" showInputMessage="1" showErrorMessage="1" error="This cell should remain blank." sqref="D203">
      <formula1>0</formula1>
    </dataValidation>
    <dataValidation type="decimal" operator="greaterThanOrEqual" allowBlank="1" showInputMessage="1" showErrorMessage="1" errorTitle="Volume data error" error="The volume must be a non-negative number." sqref="D204:D206">
      <formula1>0</formula1>
    </dataValidation>
    <dataValidation type="textLength" operator="equal" allowBlank="1" showInputMessage="1" showErrorMessage="1" error="This cell should remain blank." sqref="D207">
      <formula1>0</formula1>
    </dataValidation>
    <dataValidation type="decimal" operator="greaterThanOrEqual" allowBlank="1" showInputMessage="1" showErrorMessage="1" errorTitle="Volume data error" error="The volume must be a non-negative number." sqref="D208:D210">
      <formula1>0</formula1>
    </dataValidation>
    <dataValidation type="textLength" operator="equal" allowBlank="1" showInputMessage="1" showErrorMessage="1" error="This cell should remain blank." sqref="D211">
      <formula1>0</formula1>
    </dataValidation>
    <dataValidation type="decimal" operator="greaterThanOrEqual" allowBlank="1" showInputMessage="1" showErrorMessage="1" errorTitle="Volume data error" error="The volume must be a non-negative number." sqref="D212:D214">
      <formula1>0</formula1>
    </dataValidation>
    <dataValidation type="textLength" operator="equal" allowBlank="1" showInputMessage="1" showErrorMessage="1" error="This cell should remain blank." sqref="D215">
      <formula1>0</formula1>
    </dataValidation>
    <dataValidation type="decimal" operator="greaterThanOrEqual" allowBlank="1" showInputMessage="1" showErrorMessage="1" errorTitle="Volume data error" error="The volume must be a non-negative number." sqref="D216:D218">
      <formula1>0</formula1>
    </dataValidation>
    <dataValidation type="textLength" operator="equal" allowBlank="1" showInputMessage="1" showErrorMessage="1" error="This cell should remain blank." sqref="D219">
      <formula1>0</formula1>
    </dataValidation>
    <dataValidation type="decimal" operator="greaterThanOrEqual" allowBlank="1" showInputMessage="1" showErrorMessage="1" errorTitle="Volume data error" error="The volume must be a non-negative number." sqref="D220">
      <formula1>0</formula1>
    </dataValidation>
    <dataValidation type="textLength" operator="equal" allowBlank="1" showInputMessage="1" showErrorMessage="1" error="This cell should remain blank." sqref="D221">
      <formula1>0</formula1>
    </dataValidation>
    <dataValidation type="decimal" operator="greaterThanOrEqual" allowBlank="1" showInputMessage="1" showErrorMessage="1" errorTitle="Volume data error" error="The volume must be a non-negative number." sqref="D222">
      <formula1>0</formula1>
    </dataValidation>
    <dataValidation type="textLength" operator="equal" allowBlank="1" showInputMessage="1" showErrorMessage="1" error="This cell should remain blank." sqref="D223">
      <formula1>0</formula1>
    </dataValidation>
    <dataValidation type="decimal" operator="greaterThanOrEqual" allowBlank="1" showInputMessage="1" showErrorMessage="1" errorTitle="Volume data error" error="The volume must be a non-negative number." sqref="D224:D226">
      <formula1>0</formula1>
    </dataValidation>
    <dataValidation type="textLength" operator="equal" allowBlank="1" showInputMessage="1" showErrorMessage="1" error="This cell should remain blank." sqref="D227">
      <formula1>0</formula1>
    </dataValidation>
    <dataValidation type="decimal" operator="greaterThanOrEqual" allowBlank="1" showInputMessage="1" showErrorMessage="1" errorTitle="Volume data error" error="The volume must be a non-negative number." sqref="D228:D230">
      <formula1>0</formula1>
    </dataValidation>
    <dataValidation type="textLength" operator="equal" allowBlank="1" showInputMessage="1" showErrorMessage="1" error="This cell should remain blank." sqref="D231">
      <formula1>0</formula1>
    </dataValidation>
    <dataValidation type="decimal" operator="greaterThanOrEqual" allowBlank="1" showInputMessage="1" showErrorMessage="1" errorTitle="Volume data error" error="The volume must be a non-negative number." sqref="D232:D234">
      <formula1>0</formula1>
    </dataValidation>
    <dataValidation type="textLength" operator="equal" allowBlank="1" showInputMessage="1" showErrorMessage="1" error="This cell should remain blank." sqref="D235">
      <formula1>0</formula1>
    </dataValidation>
    <dataValidation type="decimal" operator="greaterThanOrEqual" allowBlank="1" showInputMessage="1" showErrorMessage="1" errorTitle="Volume data error" error="The volume must be a non-negative number." sqref="D236:D237">
      <formula1>0</formula1>
    </dataValidation>
    <dataValidation type="textLength" operator="equal" allowBlank="1" showInputMessage="1" showErrorMessage="1" error="This cell should remain blank." sqref="D238">
      <formula1>0</formula1>
    </dataValidation>
    <dataValidation type="decimal" operator="greaterThanOrEqual" allowBlank="1" showInputMessage="1" showErrorMessage="1" errorTitle="Volume data error" error="The volume must be a non-negative number." sqref="D239:D240">
      <formula1>0</formula1>
    </dataValidation>
    <dataValidation type="textLength" operator="equal" allowBlank="1" showInputMessage="1" showErrorMessage="1" error="This cell should remain blank." sqref="D241">
      <formula1>0</formula1>
    </dataValidation>
    <dataValidation type="decimal" operator="greaterThanOrEqual" allowBlank="1" showInputMessage="1" showErrorMessage="1" errorTitle="Volume data error" error="The volume must be a non-negative number." sqref="D242:D244">
      <formula1>0</formula1>
    </dataValidation>
    <dataValidation type="textLength" operator="equal" allowBlank="1" showInputMessage="1" showErrorMessage="1" error="This cell should remain blank." sqref="D245">
      <formula1>0</formula1>
    </dataValidation>
    <dataValidation type="decimal" operator="greaterThanOrEqual" allowBlank="1" showInputMessage="1" showErrorMessage="1" errorTitle="Volume data error" error="The volume must be a non-negative number." sqref="D246:D248">
      <formula1>0</formula1>
    </dataValidation>
    <dataValidation type="textLength" operator="equal" allowBlank="1" showInputMessage="1" showErrorMessage="1" error="This cell should remain blank." sqref="D249">
      <formula1>0</formula1>
    </dataValidation>
    <dataValidation type="decimal" operator="greaterThanOrEqual" allowBlank="1" showInputMessage="1" showErrorMessage="1" errorTitle="Volume data error" error="The volume must be a non-negative number." sqref="D250:D252">
      <formula1>0</formula1>
    </dataValidation>
    <dataValidation type="textLength" operator="equal" allowBlank="1" showInputMessage="1" showErrorMessage="1" error="This cell should remain blank." sqref="D253">
      <formula1>0</formula1>
    </dataValidation>
    <dataValidation type="decimal" operator="greaterThanOrEqual" allowBlank="1" showInputMessage="1" showErrorMessage="1" errorTitle="Volume data error" error="The volume must be a non-negative number." sqref="D254:D256">
      <formula1>0</formula1>
    </dataValidation>
    <dataValidation type="textLength" operator="equal" allowBlank="1" showInputMessage="1" showErrorMessage="1" error="This cell should remain blank." sqref="D257">
      <formula1>0</formula1>
    </dataValidation>
    <dataValidation type="decimal" operator="greaterThanOrEqual" allowBlank="1" showInputMessage="1" showErrorMessage="1" errorTitle="Volume data error" error="The volume must be a non-negative number." sqref="D258:D260">
      <formula1>0</formula1>
    </dataValidation>
    <dataValidation type="textLength" operator="equal" allowBlank="1" showInputMessage="1" showErrorMessage="1" error="This cell should remain blank." sqref="D261">
      <formula1>0</formula1>
    </dataValidation>
    <dataValidation type="decimal" operator="greaterThanOrEqual" allowBlank="1" showInputMessage="1" showErrorMessage="1" errorTitle="Volume data error" error="The volume must be a non-negative number." sqref="D262:D264">
      <formula1>0</formula1>
    </dataValidation>
    <dataValidation type="textLength" operator="equal" allowBlank="1" showInputMessage="1" showErrorMessage="1" error="This cell should remain blank." sqref="D265">
      <formula1>0</formula1>
    </dataValidation>
    <dataValidation type="decimal" operator="greaterThanOrEqual" allowBlank="1" showInputMessage="1" showErrorMessage="1" errorTitle="Volume data error" error="The volume must be a non-negative number." sqref="D266:D267">
      <formula1>0</formula1>
    </dataValidation>
    <dataValidation type="textLength" operator="equal" allowBlank="1" showInputMessage="1" showErrorMessage="1" error="This cell should remain blank." sqref="D268">
      <formula1>0</formula1>
    </dataValidation>
    <dataValidation type="decimal" operator="greaterThanOrEqual" allowBlank="1" showInputMessage="1" showErrorMessage="1" errorTitle="Volume data error" error="The volume must be a non-negative number." sqref="D269:D271">
      <formula1>0</formula1>
    </dataValidation>
    <dataValidation type="textLength" operator="equal" allowBlank="1" showInputMessage="1" showErrorMessage="1" error="This cell should remain blank." sqref="D272">
      <formula1>0</formula1>
    </dataValidation>
    <dataValidation type="decimal" operator="greaterThanOrEqual" allowBlank="1" showInputMessage="1" showErrorMessage="1" errorTitle="Volume data error" error="The volume must be a non-negative number." sqref="D273:D275">
      <formula1>0</formula1>
    </dataValidation>
    <dataValidation type="textLength" operator="equal" allowBlank="1" showInputMessage="1" showErrorMessage="1" error="This cell should remain blank." sqref="D276">
      <formula1>0</formula1>
    </dataValidation>
    <dataValidation type="decimal" operator="greaterThanOrEqual" allowBlank="1" showInputMessage="1" showErrorMessage="1" errorTitle="Volume data error" error="The volume must be a non-negative number." sqref="D277:D278">
      <formula1>0</formula1>
    </dataValidation>
    <dataValidation type="textLength" operator="equal" allowBlank="1" showInputMessage="1" showErrorMessage="1" error="This cell should remain blank." sqref="D279">
      <formula1>0</formula1>
    </dataValidation>
    <dataValidation type="decimal" operator="greaterThanOrEqual" allowBlank="1" showInputMessage="1" showErrorMessage="1" errorTitle="Volume data error" error="The volume must be a non-negative number." sqref="D280:D281">
      <formula1>0</formula1>
    </dataValidation>
    <dataValidation type="textLength" operator="equal" allowBlank="1" showInputMessage="1" showErrorMessage="1" error="This cell should remain blank." sqref="D282">
      <formula1>0</formula1>
    </dataValidation>
    <dataValidation type="decimal" operator="greaterThanOrEqual" allowBlank="1" showInputMessage="1" showErrorMessage="1" errorTitle="Volume data error" error="The volume must be a non-negative number." sqref="D283:D284">
      <formula1>0</formula1>
    </dataValidation>
    <dataValidation type="textLength" operator="equal" allowBlank="1" showInputMessage="1" showErrorMessage="1" error="This cell should remain blank." sqref="D285">
      <formula1>0</formula1>
    </dataValidation>
    <dataValidation type="decimal" operator="greaterThanOrEqual" allowBlank="1" showInputMessage="1" showErrorMessage="1" errorTitle="Volume data error" error="The volume must be a non-negative number." sqref="D286:D287">
      <formula1>0</formula1>
    </dataValidation>
    <dataValidation type="textLength" operator="equal" allowBlank="1" showInputMessage="1" showErrorMessage="1" error="This cell should remain blank." sqref="E191">
      <formula1>0</formula1>
    </dataValidation>
    <dataValidation type="decimal" operator="greaterThanOrEqual" allowBlank="1" showInputMessage="1" showErrorMessage="1" errorTitle="Volume data error" error="The volume must be a non-negative number." sqref="E192:E194">
      <formula1>0</formula1>
    </dataValidation>
    <dataValidation type="textLength" operator="equal" allowBlank="1" showInputMessage="1" showErrorMessage="1" error="This cell should remain blank." sqref="E195">
      <formula1>0</formula1>
    </dataValidation>
    <dataValidation type="decimal" operator="greaterThanOrEqual" allowBlank="1" showInputMessage="1" showErrorMessage="1" errorTitle="Volume data error" error="The volume must be a non-negative number." sqref="E196:E198">
      <formula1>0</formula1>
    </dataValidation>
    <dataValidation type="textLength" operator="equal" allowBlank="1" showInputMessage="1" showErrorMessage="1" error="This cell should remain blank." sqref="E199">
      <formula1>0</formula1>
    </dataValidation>
    <dataValidation type="decimal" operator="greaterThanOrEqual" allowBlank="1" showInputMessage="1" showErrorMessage="1" errorTitle="Volume data error" error="The volume must be a non-negative number." sqref="E200:E202">
      <formula1>0</formula1>
    </dataValidation>
    <dataValidation type="textLength" operator="equal" allowBlank="1" showInputMessage="1" showErrorMessage="1" error="This cell should remain blank." sqref="E203">
      <formula1>0</formula1>
    </dataValidation>
    <dataValidation type="decimal" operator="greaterThanOrEqual" allowBlank="1" showInputMessage="1" showErrorMessage="1" errorTitle="Volume data error" error="The volume must be a non-negative number." sqref="E204:E206">
      <formula1>0</formula1>
    </dataValidation>
    <dataValidation type="textLength" operator="equal" allowBlank="1" showInputMessage="1" showErrorMessage="1" error="This cell should remain blank." sqref="E207">
      <formula1>0</formula1>
    </dataValidation>
    <dataValidation type="decimal" operator="greaterThanOrEqual" allowBlank="1" showInputMessage="1" showErrorMessage="1" errorTitle="Volume data error" error="The volume must be a non-negative number." sqref="E208:E210">
      <formula1>0</formula1>
    </dataValidation>
    <dataValidation type="textLength" operator="equal" allowBlank="1" showInputMessage="1" showErrorMessage="1" error="This cell should remain blank." sqref="E211">
      <formula1>0</formula1>
    </dataValidation>
    <dataValidation type="decimal" operator="greaterThanOrEqual" allowBlank="1" showInputMessage="1" showErrorMessage="1" errorTitle="Volume data error" error="The volume must be a non-negative number." sqref="E212:E214">
      <formula1>0</formula1>
    </dataValidation>
    <dataValidation type="textLength" operator="equal" allowBlank="1" showInputMessage="1" showErrorMessage="1" error="This cell should remain blank." sqref="E215">
      <formula1>0</formula1>
    </dataValidation>
    <dataValidation type="decimal" operator="greaterThanOrEqual" allowBlank="1" showInputMessage="1" showErrorMessage="1" errorTitle="Volume data error" error="The volume must be a non-negative number." sqref="E216:E218">
      <formula1>0</formula1>
    </dataValidation>
    <dataValidation type="textLength" operator="equal" allowBlank="1" showInputMessage="1" showErrorMessage="1" error="This cell should remain blank." sqref="E219">
      <formula1>0</formula1>
    </dataValidation>
    <dataValidation type="decimal" operator="greaterThanOrEqual" allowBlank="1" showInputMessage="1" showErrorMessage="1" errorTitle="Volume data error" error="The volume must be a non-negative number." sqref="E220">
      <formula1>0</formula1>
    </dataValidation>
    <dataValidation type="textLength" operator="equal" allowBlank="1" showInputMessage="1" showErrorMessage="1" error="This cell should remain blank." sqref="E221">
      <formula1>0</formula1>
    </dataValidation>
    <dataValidation type="decimal" operator="greaterThanOrEqual" allowBlank="1" showInputMessage="1" showErrorMessage="1" errorTitle="Volume data error" error="The volume must be a non-negative number." sqref="E222">
      <formula1>0</formula1>
    </dataValidation>
    <dataValidation type="textLength" operator="equal" allowBlank="1" showInputMessage="1" showErrorMessage="1" error="This cell should remain blank." sqref="E223">
      <formula1>0</formula1>
    </dataValidation>
    <dataValidation type="decimal" operator="greaterThanOrEqual" allowBlank="1" showInputMessage="1" showErrorMessage="1" errorTitle="Volume data error" error="The volume must be a non-negative number." sqref="E224:E226">
      <formula1>0</formula1>
    </dataValidation>
    <dataValidation type="textLength" operator="equal" allowBlank="1" showInputMessage="1" showErrorMessage="1" error="This cell should remain blank." sqref="E227">
      <formula1>0</formula1>
    </dataValidation>
    <dataValidation type="decimal" operator="greaterThanOrEqual" allowBlank="1" showInputMessage="1" showErrorMessage="1" errorTitle="Volume data error" error="The volume must be a non-negative number." sqref="E228:E230">
      <formula1>0</formula1>
    </dataValidation>
    <dataValidation type="textLength" operator="equal" allowBlank="1" showInputMessage="1" showErrorMessage="1" error="This cell should remain blank." sqref="E231">
      <formula1>0</formula1>
    </dataValidation>
    <dataValidation type="decimal" operator="greaterThanOrEqual" allowBlank="1" showInputMessage="1" showErrorMessage="1" errorTitle="Volume data error" error="The volume must be a non-negative number." sqref="E232:E234">
      <formula1>0</formula1>
    </dataValidation>
    <dataValidation type="textLength" operator="equal" allowBlank="1" showInputMessage="1" showErrorMessage="1" error="This cell should remain blank." sqref="E235">
      <formula1>0</formula1>
    </dataValidation>
    <dataValidation type="decimal" operator="greaterThanOrEqual" allowBlank="1" showInputMessage="1" showErrorMessage="1" errorTitle="Volume data error" error="The volume must be a non-negative number." sqref="E236:E237">
      <formula1>0</formula1>
    </dataValidation>
    <dataValidation type="textLength" operator="equal" allowBlank="1" showInputMessage="1" showErrorMessage="1" error="This cell should remain blank." sqref="E238">
      <formula1>0</formula1>
    </dataValidation>
    <dataValidation type="decimal" operator="greaterThanOrEqual" allowBlank="1" showInputMessage="1" showErrorMessage="1" errorTitle="Volume data error" error="The volume must be a non-negative number." sqref="E239:E240">
      <formula1>0</formula1>
    </dataValidation>
    <dataValidation type="textLength" operator="equal" allowBlank="1" showInputMessage="1" showErrorMessage="1" error="This cell should remain blank." sqref="E241">
      <formula1>0</formula1>
    </dataValidation>
    <dataValidation type="decimal" operator="greaterThanOrEqual" allowBlank="1" showInputMessage="1" showErrorMessage="1" errorTitle="Volume data error" error="The volume must be a non-negative number." sqref="E242:E244">
      <formula1>0</formula1>
    </dataValidation>
    <dataValidation type="textLength" operator="equal" allowBlank="1" showInputMessage="1" showErrorMessage="1" error="This cell should remain blank." sqref="E245">
      <formula1>0</formula1>
    </dataValidation>
    <dataValidation type="decimal" operator="greaterThanOrEqual" allowBlank="1" showInputMessage="1" showErrorMessage="1" errorTitle="Volume data error" error="The volume must be a non-negative number." sqref="E246:E248">
      <formula1>0</formula1>
    </dataValidation>
    <dataValidation type="textLength" operator="equal" allowBlank="1" showInputMessage="1" showErrorMessage="1" error="This cell should remain blank." sqref="E249">
      <formula1>0</formula1>
    </dataValidation>
    <dataValidation type="decimal" operator="greaterThanOrEqual" allowBlank="1" showInputMessage="1" showErrorMessage="1" errorTitle="Volume data error" error="The volume must be a non-negative number." sqref="E250:E252">
      <formula1>0</formula1>
    </dataValidation>
    <dataValidation type="textLength" operator="equal" allowBlank="1" showInputMessage="1" showErrorMessage="1" error="This cell should remain blank." sqref="E253">
      <formula1>0</formula1>
    </dataValidation>
    <dataValidation type="decimal" operator="greaterThanOrEqual" allowBlank="1" showInputMessage="1" showErrorMessage="1" errorTitle="Volume data error" error="The volume must be a non-negative number." sqref="E254:E256">
      <formula1>0</formula1>
    </dataValidation>
    <dataValidation type="textLength" operator="equal" allowBlank="1" showInputMessage="1" showErrorMessage="1" error="This cell should remain blank." sqref="E257">
      <formula1>0</formula1>
    </dataValidation>
    <dataValidation type="decimal" operator="greaterThanOrEqual" allowBlank="1" showInputMessage="1" showErrorMessage="1" errorTitle="Volume data error" error="The volume must be a non-negative number." sqref="E258:E260">
      <formula1>0</formula1>
    </dataValidation>
    <dataValidation type="textLength" operator="equal" allowBlank="1" showInputMessage="1" showErrorMessage="1" error="This cell should remain blank." sqref="E261">
      <formula1>0</formula1>
    </dataValidation>
    <dataValidation type="decimal" operator="greaterThanOrEqual" allowBlank="1" showInputMessage="1" showErrorMessage="1" errorTitle="Volume data error" error="The volume must be a non-negative number." sqref="E262:E264">
      <formula1>0</formula1>
    </dataValidation>
    <dataValidation type="textLength" operator="equal" allowBlank="1" showInputMessage="1" showErrorMessage="1" error="This cell should remain blank." sqref="E265">
      <formula1>0</formula1>
    </dataValidation>
    <dataValidation type="decimal" operator="greaterThanOrEqual" allowBlank="1" showInputMessage="1" showErrorMessage="1" errorTitle="Volume data error" error="The volume must be a non-negative number." sqref="E266:E267">
      <formula1>0</formula1>
    </dataValidation>
    <dataValidation type="textLength" operator="equal" allowBlank="1" showInputMessage="1" showErrorMessage="1" error="This cell should remain blank." sqref="E268">
      <formula1>0</formula1>
    </dataValidation>
    <dataValidation type="decimal" operator="greaterThanOrEqual" allowBlank="1" showInputMessage="1" showErrorMessage="1" errorTitle="Volume data error" error="The volume must be a non-negative number." sqref="E269:E271">
      <formula1>0</formula1>
    </dataValidation>
    <dataValidation type="textLength" operator="equal" allowBlank="1" showInputMessage="1" showErrorMessage="1" error="This cell should remain blank." sqref="E272">
      <formula1>0</formula1>
    </dataValidation>
    <dataValidation type="decimal" operator="greaterThanOrEqual" allowBlank="1" showInputMessage="1" showErrorMessage="1" errorTitle="Volume data error" error="The volume must be a non-negative number." sqref="E273:E275">
      <formula1>0</formula1>
    </dataValidation>
    <dataValidation type="textLength" operator="equal" allowBlank="1" showInputMessage="1" showErrorMessage="1" error="This cell should remain blank." sqref="E276">
      <formula1>0</formula1>
    </dataValidation>
    <dataValidation type="decimal" operator="greaterThanOrEqual" allowBlank="1" showInputMessage="1" showErrorMessage="1" errorTitle="Volume data error" error="The volume must be a non-negative number." sqref="E277:E278">
      <formula1>0</formula1>
    </dataValidation>
    <dataValidation type="textLength" operator="equal" allowBlank="1" showInputMessage="1" showErrorMessage="1" error="This cell should remain blank." sqref="E279">
      <formula1>0</formula1>
    </dataValidation>
    <dataValidation type="decimal" operator="greaterThanOrEqual" allowBlank="1" showInputMessage="1" showErrorMessage="1" errorTitle="Volume data error" error="The volume must be a non-negative number." sqref="E280:E281">
      <formula1>0</formula1>
    </dataValidation>
    <dataValidation type="textLength" operator="equal" allowBlank="1" showInputMessage="1" showErrorMessage="1" error="This cell should remain blank." sqref="E282">
      <formula1>0</formula1>
    </dataValidation>
    <dataValidation type="decimal" operator="greaterThanOrEqual" allowBlank="1" showInputMessage="1" showErrorMessage="1" errorTitle="Volume data error" error="The volume must be a non-negative number." sqref="E283:E284">
      <formula1>0</formula1>
    </dataValidation>
    <dataValidation type="textLength" operator="equal" allowBlank="1" showInputMessage="1" showErrorMessage="1" error="This cell should remain blank." sqref="E285">
      <formula1>0</formula1>
    </dataValidation>
    <dataValidation type="decimal" operator="greaterThanOrEqual" allowBlank="1" showInputMessage="1" showErrorMessage="1" errorTitle="Volume data error" error="The volume must be a non-negative number." sqref="E286:E287">
      <formula1>0</formula1>
    </dataValidation>
    <dataValidation type="textLength" operator="equal" allowBlank="1" showInputMessage="1" showErrorMessage="1" error="This cell should remain blank." sqref="F191">
      <formula1>0</formula1>
    </dataValidation>
    <dataValidation type="decimal" operator="greaterThanOrEqual" allowBlank="1" showInputMessage="1" showErrorMessage="1" errorTitle="Volume data error" error="The volume must be a non-negative number." sqref="F192:F194">
      <formula1>0</formula1>
    </dataValidation>
    <dataValidation type="textLength" operator="equal" allowBlank="1" showInputMessage="1" showErrorMessage="1" error="This cell should remain blank." sqref="F195">
      <formula1>0</formula1>
    </dataValidation>
    <dataValidation type="decimal" operator="greaterThanOrEqual" allowBlank="1" showInputMessage="1" showErrorMessage="1" errorTitle="Volume data error" error="The volume must be a non-negative number." sqref="F196:F198">
      <formula1>0</formula1>
    </dataValidation>
    <dataValidation type="textLength" operator="equal" allowBlank="1" showInputMessage="1" showErrorMessage="1" error="This cell should remain blank." sqref="F199">
      <formula1>0</formula1>
    </dataValidation>
    <dataValidation type="decimal" operator="greaterThanOrEqual" allowBlank="1" showInputMessage="1" showErrorMessage="1" errorTitle="Volume data error" error="The volume must be a non-negative number." sqref="F200:F202">
      <formula1>0</formula1>
    </dataValidation>
    <dataValidation type="textLength" operator="equal" allowBlank="1" showInputMessage="1" showErrorMessage="1" error="This cell should remain blank." sqref="F203">
      <formula1>0</formula1>
    </dataValidation>
    <dataValidation type="decimal" operator="greaterThanOrEqual" allowBlank="1" showInputMessage="1" showErrorMessage="1" errorTitle="Volume data error" error="The volume must be a non-negative number." sqref="F204:F206">
      <formula1>0</formula1>
    </dataValidation>
    <dataValidation type="textLength" operator="equal" allowBlank="1" showInputMessage="1" showErrorMessage="1" error="This cell should remain blank." sqref="F207">
      <formula1>0</formula1>
    </dataValidation>
    <dataValidation type="decimal" operator="greaterThanOrEqual" allowBlank="1" showInputMessage="1" showErrorMessage="1" errorTitle="Volume data error" error="The volume must be a non-negative number." sqref="F208:F210">
      <formula1>0</formula1>
    </dataValidation>
    <dataValidation type="textLength" operator="equal" allowBlank="1" showInputMessage="1" showErrorMessage="1" error="This cell should remain blank." sqref="F211">
      <formula1>0</formula1>
    </dataValidation>
    <dataValidation type="decimal" operator="greaterThanOrEqual" allowBlank="1" showInputMessage="1" showErrorMessage="1" errorTitle="Volume data error" error="The volume must be a non-negative number." sqref="F212:F214">
      <formula1>0</formula1>
    </dataValidation>
    <dataValidation type="textLength" operator="equal" allowBlank="1" showInputMessage="1" showErrorMessage="1" error="This cell should remain blank." sqref="F215">
      <formula1>0</formula1>
    </dataValidation>
    <dataValidation type="decimal" operator="greaterThanOrEqual" allowBlank="1" showInputMessage="1" showErrorMessage="1" errorTitle="Volume data error" error="The volume must be a non-negative number." sqref="F216:F218">
      <formula1>0</formula1>
    </dataValidation>
    <dataValidation type="textLength" operator="equal" allowBlank="1" showInputMessage="1" showErrorMessage="1" error="This cell should remain blank." sqref="F219">
      <formula1>0</formula1>
    </dataValidation>
    <dataValidation type="decimal" operator="greaterThanOrEqual" allowBlank="1" showInputMessage="1" showErrorMessage="1" errorTitle="Volume data error" error="The volume must be a non-negative number." sqref="F220">
      <formula1>0</formula1>
    </dataValidation>
    <dataValidation type="textLength" operator="equal" allowBlank="1" showInputMessage="1" showErrorMessage="1" error="This cell should remain blank." sqref="F221">
      <formula1>0</formula1>
    </dataValidation>
    <dataValidation type="decimal" operator="greaterThanOrEqual" allowBlank="1" showInputMessage="1" showErrorMessage="1" errorTitle="Volume data error" error="The volume must be a non-negative number." sqref="F222">
      <formula1>0</formula1>
    </dataValidation>
    <dataValidation type="textLength" operator="equal" allowBlank="1" showInputMessage="1" showErrorMessage="1" error="This cell should remain blank." sqref="F223">
      <formula1>0</formula1>
    </dataValidation>
    <dataValidation type="decimal" operator="greaterThanOrEqual" allowBlank="1" showInputMessage="1" showErrorMessage="1" errorTitle="Volume data error" error="The volume must be a non-negative number." sqref="F224:F226">
      <formula1>0</formula1>
    </dataValidation>
    <dataValidation type="textLength" operator="equal" allowBlank="1" showInputMessage="1" showErrorMessage="1" error="This cell should remain blank." sqref="F227">
      <formula1>0</formula1>
    </dataValidation>
    <dataValidation type="decimal" operator="greaterThanOrEqual" allowBlank="1" showInputMessage="1" showErrorMessage="1" errorTitle="Volume data error" error="The volume must be a non-negative number." sqref="F228:F230">
      <formula1>0</formula1>
    </dataValidation>
    <dataValidation type="textLength" operator="equal" allowBlank="1" showInputMessage="1" showErrorMessage="1" error="This cell should remain blank." sqref="F231">
      <formula1>0</formula1>
    </dataValidation>
    <dataValidation type="decimal" operator="greaterThanOrEqual" allowBlank="1" showInputMessage="1" showErrorMessage="1" errorTitle="Volume data error" error="The volume must be a non-negative number." sqref="F232:F234">
      <formula1>0</formula1>
    </dataValidation>
    <dataValidation type="textLength" operator="equal" allowBlank="1" showInputMessage="1" showErrorMessage="1" error="This cell should remain blank." sqref="F235">
      <formula1>0</formula1>
    </dataValidation>
    <dataValidation type="decimal" operator="greaterThanOrEqual" allowBlank="1" showInputMessage="1" showErrorMessage="1" errorTitle="Volume data error" error="The volume must be a non-negative number." sqref="F236:F237">
      <formula1>0</formula1>
    </dataValidation>
    <dataValidation type="textLength" operator="equal" allowBlank="1" showInputMessage="1" showErrorMessage="1" error="This cell should remain blank." sqref="F238">
      <formula1>0</formula1>
    </dataValidation>
    <dataValidation type="decimal" operator="greaterThanOrEqual" allowBlank="1" showInputMessage="1" showErrorMessage="1" errorTitle="Volume data error" error="The volume must be a non-negative number." sqref="F239:F240">
      <formula1>0</formula1>
    </dataValidation>
    <dataValidation type="textLength" operator="equal" allowBlank="1" showInputMessage="1" showErrorMessage="1" error="This cell should remain blank." sqref="F241">
      <formula1>0</formula1>
    </dataValidation>
    <dataValidation type="decimal" operator="greaterThanOrEqual" allowBlank="1" showInputMessage="1" showErrorMessage="1" errorTitle="Volume data error" error="The volume must be a non-negative number." sqref="F242:F244">
      <formula1>0</formula1>
    </dataValidation>
    <dataValidation type="textLength" operator="equal" allowBlank="1" showInputMessage="1" showErrorMessage="1" error="This cell should remain blank." sqref="F245">
      <formula1>0</formula1>
    </dataValidation>
    <dataValidation type="decimal" operator="greaterThanOrEqual" allowBlank="1" showInputMessage="1" showErrorMessage="1" errorTitle="Volume data error" error="The volume must be a non-negative number." sqref="F246:F248">
      <formula1>0</formula1>
    </dataValidation>
    <dataValidation type="textLength" operator="equal" allowBlank="1" showInputMessage="1" showErrorMessage="1" error="This cell should remain blank." sqref="F249">
      <formula1>0</formula1>
    </dataValidation>
    <dataValidation type="decimal" operator="greaterThanOrEqual" allowBlank="1" showInputMessage="1" showErrorMessage="1" errorTitle="Volume data error" error="The volume must be a non-negative number." sqref="F250:F252">
      <formula1>0</formula1>
    </dataValidation>
    <dataValidation type="textLength" operator="equal" allowBlank="1" showInputMessage="1" showErrorMessage="1" error="This cell should remain blank." sqref="F253">
      <formula1>0</formula1>
    </dataValidation>
    <dataValidation type="decimal" operator="greaterThanOrEqual" allowBlank="1" showInputMessage="1" showErrorMessage="1" errorTitle="Volume data error" error="The volume must be a non-negative number." sqref="F254:F256">
      <formula1>0</formula1>
    </dataValidation>
    <dataValidation type="textLength" operator="equal" allowBlank="1" showInputMessage="1" showErrorMessage="1" error="This cell should remain blank." sqref="F257">
      <formula1>0</formula1>
    </dataValidation>
    <dataValidation type="decimal" operator="greaterThanOrEqual" allowBlank="1" showInputMessage="1" showErrorMessage="1" errorTitle="Volume data error" error="The volume must be a non-negative number." sqref="F258:F260">
      <formula1>0</formula1>
    </dataValidation>
    <dataValidation type="textLength" operator="equal" allowBlank="1" showInputMessage="1" showErrorMessage="1" error="This cell should remain blank." sqref="F261">
      <formula1>0</formula1>
    </dataValidation>
    <dataValidation type="decimal" operator="greaterThanOrEqual" allowBlank="1" showInputMessage="1" showErrorMessage="1" errorTitle="Volume data error" error="The volume must be a non-negative number." sqref="F262:F264">
      <formula1>0</formula1>
    </dataValidation>
    <dataValidation type="textLength" operator="equal" allowBlank="1" showInputMessage="1" showErrorMessage="1" error="This cell should remain blank." sqref="F265">
      <formula1>0</formula1>
    </dataValidation>
    <dataValidation type="decimal" operator="greaterThanOrEqual" allowBlank="1" showInputMessage="1" showErrorMessage="1" errorTitle="Volume data error" error="The volume must be a non-negative number." sqref="F266:F267">
      <formula1>0</formula1>
    </dataValidation>
    <dataValidation type="textLength" operator="equal" allowBlank="1" showInputMessage="1" showErrorMessage="1" error="This cell should remain blank." sqref="F268">
      <formula1>0</formula1>
    </dataValidation>
    <dataValidation type="decimal" operator="greaterThanOrEqual" allowBlank="1" showInputMessage="1" showErrorMessage="1" errorTitle="Volume data error" error="The volume must be a non-negative number." sqref="F269:F271">
      <formula1>0</formula1>
    </dataValidation>
    <dataValidation type="textLength" operator="equal" allowBlank="1" showInputMessage="1" showErrorMessage="1" error="This cell should remain blank." sqref="F272">
      <formula1>0</formula1>
    </dataValidation>
    <dataValidation type="decimal" operator="greaterThanOrEqual" allowBlank="1" showInputMessage="1" showErrorMessage="1" errorTitle="Volume data error" error="The volume must be a non-negative number." sqref="F273:F275">
      <formula1>0</formula1>
    </dataValidation>
    <dataValidation type="textLength" operator="equal" allowBlank="1" showInputMessage="1" showErrorMessage="1" error="This cell should remain blank." sqref="F276">
      <formula1>0</formula1>
    </dataValidation>
    <dataValidation type="decimal" operator="greaterThanOrEqual" allowBlank="1" showInputMessage="1" showErrorMessage="1" errorTitle="Volume data error" error="The volume must be a non-negative number." sqref="F277:F278">
      <formula1>0</formula1>
    </dataValidation>
    <dataValidation type="textLength" operator="equal" allowBlank="1" showInputMessage="1" showErrorMessage="1" error="This cell should remain blank." sqref="F279">
      <formula1>0</formula1>
    </dataValidation>
    <dataValidation type="decimal" operator="greaterThanOrEqual" allowBlank="1" showInputMessage="1" showErrorMessage="1" errorTitle="Volume data error" error="The volume must be a non-negative number." sqref="F280:F281">
      <formula1>0</formula1>
    </dataValidation>
    <dataValidation type="textLength" operator="equal" allowBlank="1" showInputMessage="1" showErrorMessage="1" error="This cell should remain blank." sqref="F282">
      <formula1>0</formula1>
    </dataValidation>
    <dataValidation type="decimal" operator="greaterThanOrEqual" allowBlank="1" showInputMessage="1" showErrorMessage="1" errorTitle="Volume data error" error="The volume must be a non-negative number." sqref="F283:F284">
      <formula1>0</formula1>
    </dataValidation>
    <dataValidation type="textLength" operator="equal" allowBlank="1" showInputMessage="1" showErrorMessage="1" error="This cell should remain blank." sqref="F285">
      <formula1>0</formula1>
    </dataValidation>
    <dataValidation type="decimal" operator="greaterThanOrEqual" allowBlank="1" showInputMessage="1" showErrorMessage="1" errorTitle="Volume data error" error="The volume must be a non-negative number." sqref="F286:F287">
      <formula1>0</formula1>
    </dataValidation>
    <dataValidation type="textLength" operator="equal" allowBlank="1" showInputMessage="1" showErrorMessage="1" error="This cell should remain blank." sqref="G191">
      <formula1>0</formula1>
    </dataValidation>
    <dataValidation type="decimal" operator="greaterThanOrEqual" allowBlank="1" showInputMessage="1" showErrorMessage="1" errorTitle="Volume data error" error="The volume must be a non-negative number." sqref="G192:G194">
      <formula1>0</formula1>
    </dataValidation>
    <dataValidation type="textLength" operator="equal" allowBlank="1" showInputMessage="1" showErrorMessage="1" error="This cell should remain blank." sqref="G195">
      <formula1>0</formula1>
    </dataValidation>
    <dataValidation type="decimal" operator="greaterThanOrEqual" allowBlank="1" showInputMessage="1" showErrorMessage="1" errorTitle="Volume data error" error="The volume must be a non-negative number." sqref="G196:G198">
      <formula1>0</formula1>
    </dataValidation>
    <dataValidation type="textLength" operator="equal" allowBlank="1" showInputMessage="1" showErrorMessage="1" error="This cell should remain blank." sqref="G199">
      <formula1>0</formula1>
    </dataValidation>
    <dataValidation type="decimal" operator="greaterThanOrEqual" allowBlank="1" showInputMessage="1" showErrorMessage="1" errorTitle="Volume data error" error="The volume must be a non-negative number." sqref="G200:G202">
      <formula1>0</formula1>
    </dataValidation>
    <dataValidation type="textLength" operator="equal" allowBlank="1" showInputMessage="1" showErrorMessage="1" error="This cell should remain blank." sqref="G203">
      <formula1>0</formula1>
    </dataValidation>
    <dataValidation type="decimal" operator="greaterThanOrEqual" allowBlank="1" showInputMessage="1" showErrorMessage="1" errorTitle="Volume data error" error="The volume must be a non-negative number." sqref="G204:G206">
      <formula1>0</formula1>
    </dataValidation>
    <dataValidation type="textLength" operator="equal" allowBlank="1" showInputMessage="1" showErrorMessage="1" error="This cell should remain blank." sqref="G207">
      <formula1>0</formula1>
    </dataValidation>
    <dataValidation type="decimal" operator="greaterThanOrEqual" allowBlank="1" showInputMessage="1" showErrorMessage="1" errorTitle="Volume data error" error="The volume must be a non-negative number." sqref="G208:G210">
      <formula1>0</formula1>
    </dataValidation>
    <dataValidation type="textLength" operator="equal" allowBlank="1" showInputMessage="1" showErrorMessage="1" error="This cell should remain blank." sqref="G211">
      <formula1>0</formula1>
    </dataValidation>
    <dataValidation type="decimal" operator="greaterThanOrEqual" allowBlank="1" showInputMessage="1" showErrorMessage="1" errorTitle="Volume data error" error="The volume must be a non-negative number." sqref="G212:G214">
      <formula1>0</formula1>
    </dataValidation>
    <dataValidation type="textLength" operator="equal" allowBlank="1" showInputMessage="1" showErrorMessage="1" error="This cell should remain blank." sqref="G215">
      <formula1>0</formula1>
    </dataValidation>
    <dataValidation type="decimal" operator="greaterThanOrEqual" allowBlank="1" showInputMessage="1" showErrorMessage="1" errorTitle="Volume data error" error="The volume must be a non-negative number." sqref="G216:G218">
      <formula1>0</formula1>
    </dataValidation>
    <dataValidation type="textLength" operator="equal" allowBlank="1" showInputMessage="1" showErrorMessage="1" error="This cell should remain blank." sqref="G219">
      <formula1>0</formula1>
    </dataValidation>
    <dataValidation type="decimal" operator="greaterThanOrEqual" allowBlank="1" showInputMessage="1" showErrorMessage="1" errorTitle="Volume data error" error="The volume must be a non-negative number." sqref="G220">
      <formula1>0</formula1>
    </dataValidation>
    <dataValidation type="textLength" operator="equal" allowBlank="1" showInputMessage="1" showErrorMessage="1" error="This cell should remain blank." sqref="G221">
      <formula1>0</formula1>
    </dataValidation>
    <dataValidation type="decimal" operator="greaterThanOrEqual" allowBlank="1" showInputMessage="1" showErrorMessage="1" errorTitle="Volume data error" error="The volume must be a non-negative number." sqref="G222">
      <formula1>0</formula1>
    </dataValidation>
    <dataValidation type="textLength" operator="equal" allowBlank="1" showInputMessage="1" showErrorMessage="1" error="This cell should remain blank." sqref="G223">
      <formula1>0</formula1>
    </dataValidation>
    <dataValidation type="decimal" operator="greaterThanOrEqual" allowBlank="1" showInputMessage="1" showErrorMessage="1" errorTitle="Volume data error" error="The volume must be a non-negative number." sqref="G224:G226">
      <formula1>0</formula1>
    </dataValidation>
    <dataValidation type="textLength" operator="equal" allowBlank="1" showInputMessage="1" showErrorMessage="1" error="This cell should remain blank." sqref="G227">
      <formula1>0</formula1>
    </dataValidation>
    <dataValidation type="decimal" operator="greaterThanOrEqual" allowBlank="1" showInputMessage="1" showErrorMessage="1" errorTitle="Volume data error" error="The volume must be a non-negative number." sqref="G228:G230">
      <formula1>0</formula1>
    </dataValidation>
    <dataValidation type="textLength" operator="equal" allowBlank="1" showInputMessage="1" showErrorMessage="1" error="This cell should remain blank." sqref="G231">
      <formula1>0</formula1>
    </dataValidation>
    <dataValidation type="decimal" operator="greaterThanOrEqual" allowBlank="1" showInputMessage="1" showErrorMessage="1" errorTitle="Volume data error" error="The volume must be a non-negative number." sqref="G232:G234">
      <formula1>0</formula1>
    </dataValidation>
    <dataValidation type="textLength" operator="equal" allowBlank="1" showInputMessage="1" showErrorMessage="1" error="This cell should remain blank." sqref="G235">
      <formula1>0</formula1>
    </dataValidation>
    <dataValidation type="decimal" operator="greaterThanOrEqual" allowBlank="1" showInputMessage="1" showErrorMessage="1" errorTitle="Volume data error" error="The volume must be a non-negative number." sqref="G236:G237">
      <formula1>0</formula1>
    </dataValidation>
    <dataValidation type="textLength" operator="equal" allowBlank="1" showInputMessage="1" showErrorMessage="1" error="This cell should remain blank." sqref="G238">
      <formula1>0</formula1>
    </dataValidation>
    <dataValidation type="decimal" operator="greaterThanOrEqual" allowBlank="1" showInputMessage="1" showErrorMessage="1" errorTitle="Volume data error" error="The volume must be a non-negative number." sqref="G239:G240">
      <formula1>0</formula1>
    </dataValidation>
    <dataValidation type="textLength" operator="equal" allowBlank="1" showInputMessage="1" showErrorMessage="1" error="This cell should remain blank." sqref="G241">
      <formula1>0</formula1>
    </dataValidation>
    <dataValidation type="decimal" operator="greaterThanOrEqual" allowBlank="1" showInputMessage="1" showErrorMessage="1" errorTitle="Volume data error" error="The volume must be a non-negative number." sqref="G242:G244">
      <formula1>0</formula1>
    </dataValidation>
    <dataValidation type="textLength" operator="equal" allowBlank="1" showInputMessage="1" showErrorMessage="1" error="This cell should remain blank." sqref="G245">
      <formula1>0</formula1>
    </dataValidation>
    <dataValidation type="decimal" operator="greaterThanOrEqual" allowBlank="1" showInputMessage="1" showErrorMessage="1" errorTitle="Volume data error" error="The volume must be a non-negative number." sqref="G246:G248">
      <formula1>0</formula1>
    </dataValidation>
    <dataValidation type="textLength" operator="equal" allowBlank="1" showInputMessage="1" showErrorMessage="1" error="This cell should remain blank." sqref="G249">
      <formula1>0</formula1>
    </dataValidation>
    <dataValidation type="decimal" operator="greaterThanOrEqual" allowBlank="1" showInputMessage="1" showErrorMessage="1" errorTitle="Volume data error" error="The volume must be a non-negative number." sqref="G250:G252">
      <formula1>0</formula1>
    </dataValidation>
    <dataValidation type="textLength" operator="equal" allowBlank="1" showInputMessage="1" showErrorMessage="1" error="This cell should remain blank." sqref="G253">
      <formula1>0</formula1>
    </dataValidation>
    <dataValidation type="decimal" operator="greaterThanOrEqual" allowBlank="1" showInputMessage="1" showErrorMessage="1" errorTitle="Volume data error" error="The volume must be a non-negative number." sqref="G254:G256">
      <formula1>0</formula1>
    </dataValidation>
    <dataValidation type="textLength" operator="equal" allowBlank="1" showInputMessage="1" showErrorMessage="1" error="This cell should remain blank." sqref="G257">
      <formula1>0</formula1>
    </dataValidation>
    <dataValidation type="decimal" operator="greaterThanOrEqual" allowBlank="1" showInputMessage="1" showErrorMessage="1" errorTitle="Volume data error" error="The volume must be a non-negative number." sqref="G258:G260">
      <formula1>0</formula1>
    </dataValidation>
    <dataValidation type="textLength" operator="equal" allowBlank="1" showInputMessage="1" showErrorMessage="1" error="This cell should remain blank." sqref="G261">
      <formula1>0</formula1>
    </dataValidation>
    <dataValidation type="decimal" operator="greaterThanOrEqual" allowBlank="1" showInputMessage="1" showErrorMessage="1" errorTitle="Volume data error" error="The volume must be a non-negative number." sqref="G262:G264">
      <formula1>0</formula1>
    </dataValidation>
    <dataValidation type="textLength" operator="equal" allowBlank="1" showInputMessage="1" showErrorMessage="1" error="This cell should remain blank." sqref="G265">
      <formula1>0</formula1>
    </dataValidation>
    <dataValidation type="decimal" operator="greaterThanOrEqual" allowBlank="1" showInputMessage="1" showErrorMessage="1" errorTitle="Volume data error" error="The volume must be a non-negative number." sqref="G266:G267">
      <formula1>0</formula1>
    </dataValidation>
    <dataValidation type="textLength" operator="equal" allowBlank="1" showInputMessage="1" showErrorMessage="1" error="This cell should remain blank." sqref="G268">
      <formula1>0</formula1>
    </dataValidation>
    <dataValidation type="decimal" operator="greaterThanOrEqual" allowBlank="1" showInputMessage="1" showErrorMessage="1" errorTitle="Volume data error" error="The volume must be a non-negative number." sqref="G269:G271">
      <formula1>0</formula1>
    </dataValidation>
    <dataValidation type="textLength" operator="equal" allowBlank="1" showInputMessage="1" showErrorMessage="1" error="This cell should remain blank." sqref="G272">
      <formula1>0</formula1>
    </dataValidation>
    <dataValidation type="decimal" operator="greaterThanOrEqual" allowBlank="1" showInputMessage="1" showErrorMessage="1" errorTitle="Volume data error" error="The volume must be a non-negative number." sqref="G273:G275">
      <formula1>0</formula1>
    </dataValidation>
    <dataValidation type="textLength" operator="equal" allowBlank="1" showInputMessage="1" showErrorMessage="1" error="This cell should remain blank." sqref="G276">
      <formula1>0</formula1>
    </dataValidation>
    <dataValidation type="decimal" operator="greaterThanOrEqual" allowBlank="1" showInputMessage="1" showErrorMessage="1" errorTitle="Volume data error" error="The volume must be a non-negative number." sqref="G277:G278">
      <formula1>0</formula1>
    </dataValidation>
    <dataValidation type="textLength" operator="equal" allowBlank="1" showInputMessage="1" showErrorMessage="1" error="This cell should remain blank." sqref="G279">
      <formula1>0</formula1>
    </dataValidation>
    <dataValidation type="decimal" operator="greaterThanOrEqual" allowBlank="1" showInputMessage="1" showErrorMessage="1" errorTitle="Volume data error" error="The volume must be a non-negative number." sqref="G280:G281">
      <formula1>0</formula1>
    </dataValidation>
    <dataValidation type="textLength" operator="equal" allowBlank="1" showInputMessage="1" showErrorMessage="1" error="This cell should remain blank." sqref="G282">
      <formula1>0</formula1>
    </dataValidation>
    <dataValidation type="decimal" operator="greaterThanOrEqual" allowBlank="1" showInputMessage="1" showErrorMessage="1" errorTitle="Volume data error" error="The volume must be a non-negative number." sqref="G283:G284">
      <formula1>0</formula1>
    </dataValidation>
    <dataValidation type="textLength" operator="equal" allowBlank="1" showInputMessage="1" showErrorMessage="1" error="This cell should remain blank." sqref="G285">
      <formula1>0</formula1>
    </dataValidation>
    <dataValidation type="decimal" operator="greaterThanOrEqual" allowBlank="1" showInputMessage="1" showErrorMessage="1" errorTitle="Volume data error" error="The volume must be a non-negative number." sqref="G286:G287">
      <formula1>0</formula1>
    </dataValidation>
    <dataValidation type="decimal" operator="greaterThanOrEqual" allowBlank="1" showInputMessage="1" showErrorMessage="1" sqref="B293">
      <formula1>0</formula1>
    </dataValidation>
    <dataValidation type="decimal" operator="greaterThanOrEqual" allowBlank="1" showInputMessage="1" showErrorMessage="1" sqref="B298">
      <formula1>0</formula1>
    </dataValidation>
    <dataValidation type="decimal" operator="greaterThanOrEqual" allowBlank="1" showInputMessage="1" showErrorMessage="1" sqref="C298">
      <formula1>0</formula1>
    </dataValidation>
    <dataValidation type="decimal" allowBlank="1" showInputMessage="1" showErrorMessage="1" sqref="D298">
      <formula1>0</formula1>
      <formula2>1</formula2>
    </dataValidation>
    <dataValidation type="decimal" operator="greaterThanOrEqual" allowBlank="1" showInputMessage="1" showErrorMessage="1" sqref="E298">
      <formula1>0</formula1>
    </dataValidation>
    <dataValidation type="decimal" operator="greaterThanOrEqual" allowBlank="1" showInputMessage="1" showErrorMessage="1" errorTitle="Invalid customer contribution" error="The customer contribution must be a non-negative percentage value." sqref="B306:I309">
      <formula1>0</formula1>
    </dataValidation>
    <dataValidation type="decimal" allowBlank="1" showInputMessage="1" showErrorMessage="1" sqref="B314:D322">
      <formula1>0</formula1>
      <formula2>1</formula2>
    </dataValidation>
    <dataValidation type="decimal" allowBlank="1" showInputMessage="1" showErrorMessage="1" sqref="B327:D331">
      <formula1>0</formula1>
      <formula2>1</formula2>
    </dataValidation>
    <dataValidation type="decimal" allowBlank="1" showInputMessage="1" showErrorMessage="1" sqref="B336:D339">
      <formula1>0</formula1>
      <formula2>1</formula2>
    </dataValidation>
    <dataValidation type="decimal" operator="greaterThanOrEqual" allowBlank="1" showInputMessage="1" showErrorMessage="1" sqref="B346:D346">
      <formula1>0</formula1>
    </dataValidation>
    <dataValidation type="decimal" operator="greaterThanOrEqual" allowBlank="1" showInputMessage="1" showErrorMessage="1" sqref="B353:D353">
      <formula1>0</formula1>
    </dataValidation>
    <dataValidation type="decimal" allowBlank="1" showInputMessage="1" showErrorMessage="1" sqref="B360:D368">
      <formula1>0</formula1>
      <formula2>1</formula2>
    </dataValidation>
    <dataValidation type="decimal" allowBlank="1" showInputMessage="1" showErrorMessage="1" sqref="E360:E368">
      <formula1>0</formula1>
      <formula2>1</formula2>
    </dataValidation>
    <dataValidation type="decimal" allowBlank="1" showInputMessage="1" showErrorMessage="1" sqref="B375:J375">
      <formula1>0</formula1>
      <formula2>1</formula2>
    </dataValidation>
  </dataValidations>
  <pageMargins left="0.7" right="0.7" top="0.75" bottom="0.75" header="0.3" footer="0.3"/>
  <pageSetup paperSize="9" fitToHeight="0" orientation="portrait"/>
  <headerFooter>
    <oddHeader>&amp;L&amp;A&amp;C&amp;R&amp;P of &amp;N</oddHeader>
    <oddFooter>&amp;F</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3"/>
  <sheetViews>
    <sheetView showGridLines="0" tabSelected="1" workbookViewId="0">
      <selection activeCell="D22" sqref="D22"/>
    </sheetView>
  </sheetViews>
  <sheetFormatPr defaultRowHeight="15" x14ac:dyDescent="0.25"/>
  <cols>
    <col min="1" max="1" width="48.7109375" customWidth="1"/>
    <col min="2" max="251" width="16.7109375" customWidth="1"/>
  </cols>
  <sheetData>
    <row r="1" spans="1:3" ht="21" customHeight="1" x14ac:dyDescent="0.3">
      <c r="A1" s="1" t="str">
        <f>"Model G results for "&amp;Input!B7&amp;" in "&amp;Input!C7&amp;" ("&amp;Input!D7&amp;")"</f>
        <v>Model G results for Electricity North West in 2017/2018 (December 2015)</v>
      </c>
    </row>
    <row r="3" spans="1:3" ht="21" customHeight="1" x14ac:dyDescent="0.3">
      <c r="A3" s="1" t="s">
        <v>1851</v>
      </c>
    </row>
    <row r="4" spans="1:3" x14ac:dyDescent="0.25">
      <c r="A4" s="2" t="s">
        <v>350</v>
      </c>
    </row>
    <row r="5" spans="1:3" x14ac:dyDescent="0.25">
      <c r="A5" s="32" t="s">
        <v>1852</v>
      </c>
    </row>
    <row r="6" spans="1:3" x14ac:dyDescent="0.25">
      <c r="A6" s="32" t="s">
        <v>1610</v>
      </c>
    </row>
    <row r="7" spans="1:3" x14ac:dyDescent="0.25">
      <c r="A7" s="2" t="s">
        <v>1853</v>
      </c>
    </row>
    <row r="9" spans="1:3" ht="45" x14ac:dyDescent="0.25">
      <c r="B9" s="15" t="s">
        <v>1854</v>
      </c>
    </row>
    <row r="10" spans="1:3" x14ac:dyDescent="0.25">
      <c r="A10" s="29" t="s">
        <v>171</v>
      </c>
      <c r="C10" s="17"/>
    </row>
    <row r="11" spans="1:3" x14ac:dyDescent="0.25">
      <c r="A11" s="4" t="s">
        <v>171</v>
      </c>
      <c r="B11" s="39">
        <f>IF('G-Calc'!B$2266,'G-Calc'!B608/'G-Calc'!B$2266,0)</f>
        <v>0</v>
      </c>
      <c r="C11" s="17"/>
    </row>
    <row r="12" spans="1:3" x14ac:dyDescent="0.25">
      <c r="A12" s="4" t="s">
        <v>231</v>
      </c>
      <c r="B12" s="39">
        <f>IF('G-Calc'!B$2266,'G-Calc'!B609/'G-Calc'!B$2266,0)</f>
        <v>0.26809802468957383</v>
      </c>
      <c r="C12" s="17"/>
    </row>
    <row r="13" spans="1:3" x14ac:dyDescent="0.25">
      <c r="A13" s="4" t="s">
        <v>232</v>
      </c>
      <c r="B13" s="39">
        <f>IF('G-Calc'!B$2266,'G-Calc'!B610/'G-Calc'!B$2266,0)</f>
        <v>0.43657245993328192</v>
      </c>
      <c r="C13" s="17"/>
    </row>
    <row r="14" spans="1:3" x14ac:dyDescent="0.25">
      <c r="A14" s="29" t="s">
        <v>1567</v>
      </c>
      <c r="C14" s="17"/>
    </row>
    <row r="15" spans="1:3" x14ac:dyDescent="0.25">
      <c r="A15" s="4" t="s">
        <v>172</v>
      </c>
      <c r="B15" s="39">
        <f>IF('G-Calc'!B$2267,'G-Calc'!B612/'G-Calc'!B$2267,0)</f>
        <v>0</v>
      </c>
      <c r="C15" s="17"/>
    </row>
    <row r="16" spans="1:3" x14ac:dyDescent="0.25">
      <c r="A16" s="4" t="s">
        <v>234</v>
      </c>
      <c r="B16" s="39">
        <f>IF('G-Calc'!B$2267,'G-Calc'!B613/'G-Calc'!B$2267,0)</f>
        <v>0.42778715863988925</v>
      </c>
      <c r="C16" s="17"/>
    </row>
    <row r="17" spans="1:3" x14ac:dyDescent="0.25">
      <c r="A17" s="4" t="s">
        <v>235</v>
      </c>
      <c r="B17" s="39">
        <f>IF('G-Calc'!B$2267,'G-Calc'!B614/'G-Calc'!B$2267,0)</f>
        <v>0.69661122043525658</v>
      </c>
      <c r="C17" s="17"/>
    </row>
    <row r="18" spans="1:3" x14ac:dyDescent="0.25">
      <c r="A18" s="4" t="s">
        <v>213</v>
      </c>
      <c r="B18" s="39">
        <f>IF('G-Calc'!B$2267,'G-Calc'!B615/'G-Calc'!B$2267,0)</f>
        <v>0</v>
      </c>
      <c r="C18" s="17"/>
    </row>
    <row r="19" spans="1:3" x14ac:dyDescent="0.25">
      <c r="A19" s="4" t="s">
        <v>237</v>
      </c>
      <c r="B19" s="39">
        <f>IF('G-Calc'!B$2267,'G-Calc'!B616/'G-Calc'!B$2267,0)</f>
        <v>0.42778715863988925</v>
      </c>
      <c r="C19" s="17"/>
    </row>
    <row r="20" spans="1:3" x14ac:dyDescent="0.25">
      <c r="A20" s="4" t="s">
        <v>238</v>
      </c>
      <c r="B20" s="39">
        <f>IF('G-Calc'!B$2267,'G-Calc'!B617/'G-Calc'!B$2267,0)</f>
        <v>0.69661122043525658</v>
      </c>
      <c r="C20" s="17"/>
    </row>
    <row r="21" spans="1:3" x14ac:dyDescent="0.25">
      <c r="A21" s="29" t="s">
        <v>173</v>
      </c>
      <c r="C21" s="17"/>
    </row>
    <row r="22" spans="1:3" x14ac:dyDescent="0.25">
      <c r="A22" s="4" t="s">
        <v>173</v>
      </c>
      <c r="B22" s="39">
        <f>IF('G-Calc'!B$2268,'G-Calc'!B619/'G-Calc'!B$2268,0)</f>
        <v>0</v>
      </c>
      <c r="C22" s="17"/>
    </row>
    <row r="23" spans="1:3" x14ac:dyDescent="0.25">
      <c r="A23" s="4" t="s">
        <v>240</v>
      </c>
      <c r="B23" s="39">
        <f>IF('G-Calc'!B$2268,'G-Calc'!B620/'G-Calc'!B$2268,0)</f>
        <v>0.31152889470060141</v>
      </c>
      <c r="C23" s="17"/>
    </row>
    <row r="24" spans="1:3" x14ac:dyDescent="0.25">
      <c r="A24" s="4" t="s">
        <v>241</v>
      </c>
      <c r="B24" s="39">
        <f>IF('G-Calc'!B$2268,'G-Calc'!B621/'G-Calc'!B$2268,0)</f>
        <v>0.50729555377073643</v>
      </c>
      <c r="C24" s="17"/>
    </row>
    <row r="25" spans="1:3" ht="30" x14ac:dyDescent="0.25">
      <c r="A25" s="29" t="s">
        <v>1568</v>
      </c>
      <c r="C25" s="17"/>
    </row>
    <row r="26" spans="1:3" x14ac:dyDescent="0.25">
      <c r="A26" s="4" t="s">
        <v>174</v>
      </c>
      <c r="B26" s="39">
        <f>IF('G-Calc'!B$2269,'G-Calc'!B623/'G-Calc'!B$2269,0)</f>
        <v>0</v>
      </c>
      <c r="C26" s="17"/>
    </row>
    <row r="27" spans="1:3" x14ac:dyDescent="0.25">
      <c r="A27" s="4" t="s">
        <v>243</v>
      </c>
      <c r="B27" s="39">
        <f>IF('G-Calc'!B$2269,'G-Calc'!B624/'G-Calc'!B$2269,0)</f>
        <v>0.42365750397850377</v>
      </c>
      <c r="C27" s="17"/>
    </row>
    <row r="28" spans="1:3" x14ac:dyDescent="0.25">
      <c r="A28" s="4" t="s">
        <v>244</v>
      </c>
      <c r="B28" s="39">
        <f>IF('G-Calc'!B$2269,'G-Calc'!B625/'G-Calc'!B$2269,0)</f>
        <v>0.68988646557634425</v>
      </c>
      <c r="C28" s="17"/>
    </row>
    <row r="29" spans="1:3" x14ac:dyDescent="0.25">
      <c r="A29" s="4" t="s">
        <v>214</v>
      </c>
      <c r="B29" s="39">
        <f>IF('G-Calc'!B$2269,'G-Calc'!B626/'G-Calc'!B$2269,0)</f>
        <v>0</v>
      </c>
      <c r="C29" s="17"/>
    </row>
    <row r="30" spans="1:3" ht="30" x14ac:dyDescent="0.25">
      <c r="A30" s="4" t="s">
        <v>246</v>
      </c>
      <c r="B30" s="39">
        <f>IF('G-Calc'!B$2269,'G-Calc'!B627/'G-Calc'!B$2269,0)</f>
        <v>0.42365750397850377</v>
      </c>
      <c r="C30" s="17"/>
    </row>
    <row r="31" spans="1:3" ht="30" x14ac:dyDescent="0.25">
      <c r="A31" s="4" t="s">
        <v>247</v>
      </c>
      <c r="B31" s="39">
        <f>IF('G-Calc'!B$2269,'G-Calc'!B628/'G-Calc'!B$2269,0)</f>
        <v>0.68988646557634425</v>
      </c>
      <c r="C31" s="17"/>
    </row>
    <row r="32" spans="1:3" x14ac:dyDescent="0.25">
      <c r="A32" s="29" t="s">
        <v>175</v>
      </c>
      <c r="C32" s="17"/>
    </row>
    <row r="33" spans="1:3" x14ac:dyDescent="0.25">
      <c r="A33" s="4" t="s">
        <v>175</v>
      </c>
      <c r="B33" s="39">
        <f>IF('G-Calc'!B$2270,'G-Calc'!B630/'G-Calc'!B$2270,0)</f>
        <v>0</v>
      </c>
      <c r="C33" s="17"/>
    </row>
    <row r="34" spans="1:3" x14ac:dyDescent="0.25">
      <c r="A34" s="4" t="s">
        <v>249</v>
      </c>
      <c r="B34" s="39">
        <f>IF('G-Calc'!B$2270,'G-Calc'!B631/'G-Calc'!B$2270,0)</f>
        <v>0</v>
      </c>
      <c r="C34" s="17"/>
    </row>
    <row r="35" spans="1:3" x14ac:dyDescent="0.25">
      <c r="A35" s="4" t="s">
        <v>250</v>
      </c>
      <c r="B35" s="39">
        <f>IF('G-Calc'!B$2270,'G-Calc'!B632/'G-Calc'!B$2270,0)</f>
        <v>0</v>
      </c>
      <c r="C35" s="17"/>
    </row>
    <row r="36" spans="1:3" x14ac:dyDescent="0.25">
      <c r="A36" s="29" t="s">
        <v>176</v>
      </c>
      <c r="C36" s="17"/>
    </row>
    <row r="37" spans="1:3" x14ac:dyDescent="0.25">
      <c r="A37" s="4" t="s">
        <v>176</v>
      </c>
      <c r="B37" s="39">
        <f>IF('G-Calc'!B$2271,'G-Calc'!B634/'G-Calc'!B$2271,0)</f>
        <v>0</v>
      </c>
      <c r="C37" s="17"/>
    </row>
    <row r="38" spans="1:3" x14ac:dyDescent="0.25">
      <c r="A38" s="29" t="s">
        <v>192</v>
      </c>
      <c r="C38" s="17"/>
    </row>
    <row r="39" spans="1:3" x14ac:dyDescent="0.25">
      <c r="A39" s="4" t="s">
        <v>192</v>
      </c>
      <c r="B39" s="39">
        <f>IF('G-Calc'!B$2272,'G-Calc'!B636/'G-Calc'!B$2272,0)</f>
        <v>0</v>
      </c>
      <c r="C39" s="17"/>
    </row>
    <row r="40" spans="1:3" x14ac:dyDescent="0.25">
      <c r="A40" s="29" t="s">
        <v>177</v>
      </c>
      <c r="C40" s="17"/>
    </row>
    <row r="41" spans="1:3" x14ac:dyDescent="0.25">
      <c r="A41" s="4" t="s">
        <v>177</v>
      </c>
      <c r="B41" s="39">
        <f>IF('G-Calc'!B$2273,'G-Calc'!B638/'G-Calc'!B$2273,0)</f>
        <v>0</v>
      </c>
      <c r="C41" s="17"/>
    </row>
    <row r="42" spans="1:3" x14ac:dyDescent="0.25">
      <c r="A42" s="4" t="s">
        <v>254</v>
      </c>
      <c r="B42" s="39">
        <f>IF('G-Calc'!B$2273,'G-Calc'!B639/'G-Calc'!B$2273,0)</f>
        <v>0</v>
      </c>
      <c r="C42" s="17"/>
    </row>
    <row r="43" spans="1:3" x14ac:dyDescent="0.25">
      <c r="A43" s="4" t="s">
        <v>255</v>
      </c>
      <c r="B43" s="39">
        <f>IF('G-Calc'!B$2273,'G-Calc'!B640/'G-Calc'!B$2273,0)</f>
        <v>0</v>
      </c>
      <c r="C43" s="17"/>
    </row>
    <row r="44" spans="1:3" x14ac:dyDescent="0.25">
      <c r="A44" s="29" t="s">
        <v>178</v>
      </c>
      <c r="C44" s="17"/>
    </row>
    <row r="45" spans="1:3" x14ac:dyDescent="0.25">
      <c r="A45" s="4" t="s">
        <v>178</v>
      </c>
      <c r="B45" s="39">
        <f>IF('G-Calc'!B$2274,'G-Calc'!B642/'G-Calc'!B$2274,0)</f>
        <v>0</v>
      </c>
      <c r="C45" s="17"/>
    </row>
    <row r="46" spans="1:3" x14ac:dyDescent="0.25">
      <c r="A46" s="4" t="s">
        <v>257</v>
      </c>
      <c r="B46" s="39">
        <f>IF('G-Calc'!B$2274,'G-Calc'!B643/'G-Calc'!B$2274,0)</f>
        <v>0.33986885405813905</v>
      </c>
      <c r="C46" s="17"/>
    </row>
    <row r="47" spans="1:3" x14ac:dyDescent="0.25">
      <c r="A47" s="4" t="s">
        <v>258</v>
      </c>
      <c r="B47" s="39">
        <f>IF('G-Calc'!B$2274,'G-Calc'!B644/'G-Calc'!B$2274,0)</f>
        <v>0.5534445165818398</v>
      </c>
      <c r="C47" s="17"/>
    </row>
    <row r="48" spans="1:3" x14ac:dyDescent="0.25">
      <c r="A48" s="29" t="s">
        <v>179</v>
      </c>
      <c r="C48" s="17"/>
    </row>
    <row r="49" spans="1:3" x14ac:dyDescent="0.25">
      <c r="A49" s="4" t="s">
        <v>179</v>
      </c>
      <c r="B49" s="39">
        <f>IF('G-Calc'!B$2275,'G-Calc'!B646/'G-Calc'!B$2275,0)</f>
        <v>0</v>
      </c>
      <c r="C49" s="17"/>
    </row>
    <row r="50" spans="1:3" x14ac:dyDescent="0.25">
      <c r="A50" s="4" t="s">
        <v>260</v>
      </c>
      <c r="B50" s="39">
        <f>IF('G-Calc'!B$2275,'G-Calc'!B647/'G-Calc'!B$2275,0)</f>
        <v>0.29912878994537362</v>
      </c>
      <c r="C50" s="17"/>
    </row>
    <row r="51" spans="1:3" x14ac:dyDescent="0.25">
      <c r="A51" s="4" t="s">
        <v>261</v>
      </c>
      <c r="B51" s="39">
        <f>IF('G-Calc'!B$2275,'G-Calc'!B648/'G-Calc'!B$2275,0)</f>
        <v>0.48710314749438122</v>
      </c>
      <c r="C51" s="17"/>
    </row>
    <row r="52" spans="1:3" x14ac:dyDescent="0.25">
      <c r="A52" s="29" t="s">
        <v>180</v>
      </c>
      <c r="C52" s="17"/>
    </row>
    <row r="53" spans="1:3" x14ac:dyDescent="0.25">
      <c r="A53" s="4" t="s">
        <v>180</v>
      </c>
      <c r="B53" s="39">
        <f>IF('G-Calc'!B$2276,'G-Calc'!B650/'G-Calc'!B$2276,0)</f>
        <v>0</v>
      </c>
      <c r="C53" s="17"/>
    </row>
    <row r="54" spans="1:3" x14ac:dyDescent="0.25">
      <c r="A54" s="4" t="s">
        <v>263</v>
      </c>
      <c r="B54" s="39">
        <f>IF('G-Calc'!B$2276,'G-Calc'!B651/'G-Calc'!B$2276,0)</f>
        <v>0.35019445476614069</v>
      </c>
      <c r="C54" s="17"/>
    </row>
    <row r="55" spans="1:3" x14ac:dyDescent="0.25">
      <c r="A55" s="29" t="s">
        <v>193</v>
      </c>
      <c r="C55" s="17"/>
    </row>
    <row r="56" spans="1:3" x14ac:dyDescent="0.25">
      <c r="A56" s="4" t="s">
        <v>193</v>
      </c>
      <c r="B56" s="39">
        <f>IF('G-Calc'!B$2277,'G-Calc'!B653/'G-Calc'!B$2277,0)</f>
        <v>0</v>
      </c>
      <c r="C56" s="17"/>
    </row>
    <row r="57" spans="1:3" x14ac:dyDescent="0.25">
      <c r="A57" s="4" t="s">
        <v>265</v>
      </c>
      <c r="B57" s="39">
        <f>IF('G-Calc'!B$2277,'G-Calc'!B654/'G-Calc'!B$2277,0)</f>
        <v>0.34649754016790785</v>
      </c>
      <c r="C57" s="17"/>
    </row>
    <row r="58" spans="1:3" x14ac:dyDescent="0.25">
      <c r="A58" s="29" t="s">
        <v>215</v>
      </c>
      <c r="C58" s="17"/>
    </row>
    <row r="59" spans="1:3" x14ac:dyDescent="0.25">
      <c r="A59" s="4" t="s">
        <v>215</v>
      </c>
      <c r="B59" s="39">
        <f>IF('G-Calc'!B$2278,'G-Calc'!B656/'G-Calc'!B$2278,0)</f>
        <v>0</v>
      </c>
      <c r="C59" s="17"/>
    </row>
    <row r="60" spans="1:3" x14ac:dyDescent="0.25">
      <c r="A60" s="4" t="s">
        <v>267</v>
      </c>
      <c r="B60" s="39">
        <f>IF('G-Calc'!B$2278,'G-Calc'!B657/'G-Calc'!B$2278,0)</f>
        <v>0.23801878582290767</v>
      </c>
      <c r="C60" s="17"/>
    </row>
    <row r="61" spans="1:3" x14ac:dyDescent="0.25">
      <c r="A61" s="4" t="s">
        <v>268</v>
      </c>
      <c r="B61" s="39">
        <f>IF('G-Calc'!B$2278,'G-Calc'!B658/'G-Calc'!B$2278,0)</f>
        <v>0.38759124375257237</v>
      </c>
      <c r="C61" s="17"/>
    </row>
    <row r="62" spans="1:3" x14ac:dyDescent="0.25">
      <c r="A62" s="29" t="s">
        <v>216</v>
      </c>
      <c r="C62" s="17"/>
    </row>
    <row r="63" spans="1:3" x14ac:dyDescent="0.25">
      <c r="A63" s="4" t="s">
        <v>216</v>
      </c>
      <c r="B63" s="39">
        <f>IF('G-Calc'!B$2279,'G-Calc'!B660/'G-Calc'!B$2279,0)</f>
        <v>0</v>
      </c>
      <c r="C63" s="17"/>
    </row>
    <row r="64" spans="1:3" x14ac:dyDescent="0.25">
      <c r="A64" s="4" t="s">
        <v>270</v>
      </c>
      <c r="B64" s="39">
        <f>IF('G-Calc'!B$2279,'G-Calc'!B661/'G-Calc'!B$2279,0)</f>
        <v>0.21052887187098454</v>
      </c>
      <c r="C64" s="17"/>
    </row>
    <row r="65" spans="1:3" x14ac:dyDescent="0.25">
      <c r="A65" s="4" t="s">
        <v>271</v>
      </c>
      <c r="B65" s="39">
        <f>IF('G-Calc'!B$2279,'G-Calc'!B662/'G-Calc'!B$2279,0)</f>
        <v>0.34282650006883403</v>
      </c>
      <c r="C65" s="17"/>
    </row>
    <row r="66" spans="1:3" x14ac:dyDescent="0.25">
      <c r="A66" s="29" t="s">
        <v>217</v>
      </c>
      <c r="C66" s="17"/>
    </row>
    <row r="67" spans="1:3" x14ac:dyDescent="0.25">
      <c r="A67" s="4" t="s">
        <v>217</v>
      </c>
      <c r="B67" s="39">
        <f>IF('G-Calc'!B$2280,'G-Calc'!B664/'G-Calc'!B$2280,0)</f>
        <v>0</v>
      </c>
      <c r="C67" s="17"/>
    </row>
    <row r="68" spans="1:3" x14ac:dyDescent="0.25">
      <c r="A68" s="4" t="s">
        <v>273</v>
      </c>
      <c r="B68" s="39">
        <f>IF('G-Calc'!B$2280,'G-Calc'!B665/'G-Calc'!B$2280,0)</f>
        <v>0.14588134264672414</v>
      </c>
      <c r="C68" s="17"/>
    </row>
    <row r="69" spans="1:3" x14ac:dyDescent="0.25">
      <c r="A69" s="4" t="s">
        <v>274</v>
      </c>
      <c r="B69" s="39">
        <f>IF('G-Calc'!B$2280,'G-Calc'!B666/'G-Calc'!B$2280,0)</f>
        <v>0.23755406885743882</v>
      </c>
      <c r="C69" s="17"/>
    </row>
    <row r="70" spans="1:3" x14ac:dyDescent="0.25">
      <c r="A70" s="29" t="s">
        <v>218</v>
      </c>
      <c r="C70" s="17"/>
    </row>
    <row r="71" spans="1:3" x14ac:dyDescent="0.25">
      <c r="A71" s="4" t="s">
        <v>218</v>
      </c>
      <c r="B71" s="39">
        <f>IF('G-Calc'!B$2281,'G-Calc'!B668/'G-Calc'!B$2281,0)</f>
        <v>0</v>
      </c>
      <c r="C71" s="17"/>
    </row>
    <row r="72" spans="1:3" x14ac:dyDescent="0.25">
      <c r="A72" s="4" t="s">
        <v>276</v>
      </c>
      <c r="B72" s="39">
        <f>IF('G-Calc'!B$2281,'G-Calc'!B669/'G-Calc'!B$2281,0)</f>
        <v>0.25415331976625077</v>
      </c>
      <c r="C72" s="17"/>
    </row>
    <row r="73" spans="1:3" x14ac:dyDescent="0.25">
      <c r="A73" s="4" t="s">
        <v>277</v>
      </c>
      <c r="B73" s="39">
        <f>IF('G-Calc'!B$2281,'G-Calc'!B670/'G-Calc'!B$2281,0)</f>
        <v>0.41386481731462432</v>
      </c>
      <c r="C73" s="17"/>
    </row>
    <row r="74" spans="1:3" x14ac:dyDescent="0.25">
      <c r="A74" s="29" t="s">
        <v>219</v>
      </c>
      <c r="C74" s="17"/>
    </row>
    <row r="75" spans="1:3" x14ac:dyDescent="0.25">
      <c r="A75" s="4" t="s">
        <v>219</v>
      </c>
      <c r="B75" s="39">
        <f>IF('G-Calc'!B$2282,'G-Calc'!B672/'G-Calc'!B$2282,0)</f>
        <v>0</v>
      </c>
      <c r="C75" s="17"/>
    </row>
    <row r="76" spans="1:3" x14ac:dyDescent="0.25">
      <c r="A76" s="4" t="s">
        <v>279</v>
      </c>
      <c r="B76" s="39">
        <f>IF('G-Calc'!B$2282,'G-Calc'!B673/'G-Calc'!B$2282,0)</f>
        <v>0.19941176757787543</v>
      </c>
      <c r="C76" s="17"/>
    </row>
    <row r="77" spans="1:3" x14ac:dyDescent="0.25">
      <c r="A77" s="4" t="s">
        <v>280</v>
      </c>
      <c r="B77" s="39">
        <f>IF('G-Calc'!B$2282,'G-Calc'!B674/'G-Calc'!B$2282,0)</f>
        <v>0.32472333957670735</v>
      </c>
      <c r="C77" s="17"/>
    </row>
    <row r="78" spans="1:3" x14ac:dyDescent="0.25">
      <c r="A78" s="29" t="s">
        <v>181</v>
      </c>
      <c r="C78" s="17"/>
    </row>
    <row r="79" spans="1:3" x14ac:dyDescent="0.25">
      <c r="A79" s="4" t="s">
        <v>181</v>
      </c>
      <c r="B79" s="39">
        <f>IF('G-Calc'!B$2283,'G-Calc'!B676/'G-Calc'!B$2283,0)</f>
        <v>0</v>
      </c>
      <c r="C79" s="17"/>
    </row>
    <row r="80" spans="1:3" x14ac:dyDescent="0.25">
      <c r="A80" s="4" t="s">
        <v>282</v>
      </c>
      <c r="B80" s="39">
        <f>IF('G-Calc'!B$2283,'G-Calc'!B677/'G-Calc'!B$2283,0)</f>
        <v>0</v>
      </c>
      <c r="C80" s="17"/>
    </row>
    <row r="81" spans="1:3" x14ac:dyDescent="0.25">
      <c r="A81" s="4" t="s">
        <v>283</v>
      </c>
      <c r="B81" s="39">
        <f>IF('G-Calc'!B$2283,'G-Calc'!B678/'G-Calc'!B$2283,0)</f>
        <v>0</v>
      </c>
      <c r="C81" s="17"/>
    </row>
    <row r="82" spans="1:3" x14ac:dyDescent="0.25">
      <c r="A82" s="29" t="s">
        <v>182</v>
      </c>
      <c r="C82" s="17"/>
    </row>
    <row r="83" spans="1:3" x14ac:dyDescent="0.25">
      <c r="A83" s="4" t="s">
        <v>182</v>
      </c>
      <c r="B83" s="39">
        <f>IF('G-Calc'!B$2284,'G-Calc'!B680/'G-Calc'!B$2284,0)</f>
        <v>0</v>
      </c>
      <c r="C83" s="17"/>
    </row>
    <row r="84" spans="1:3" x14ac:dyDescent="0.25">
      <c r="A84" s="4" t="s">
        <v>285</v>
      </c>
      <c r="B84" s="39">
        <f>IF('G-Calc'!B$2284,'G-Calc'!B681/'G-Calc'!B$2284,0)</f>
        <v>0</v>
      </c>
      <c r="C84" s="17"/>
    </row>
    <row r="85" spans="1:3" x14ac:dyDescent="0.25">
      <c r="A85" s="29" t="s">
        <v>183</v>
      </c>
      <c r="C85" s="17"/>
    </row>
    <row r="86" spans="1:3" x14ac:dyDescent="0.25">
      <c r="A86" s="4" t="s">
        <v>183</v>
      </c>
      <c r="B86" s="39">
        <f>IF('G-Calc'!B$2285,'G-Calc'!B683/'G-Calc'!B$2285,0)</f>
        <v>0</v>
      </c>
      <c r="C86" s="17"/>
    </row>
    <row r="87" spans="1:3" x14ac:dyDescent="0.25">
      <c r="A87" s="4" t="s">
        <v>287</v>
      </c>
      <c r="B87" s="39">
        <f>IF('G-Calc'!B$2285,'G-Calc'!B684/'G-Calc'!B$2285,0)</f>
        <v>0</v>
      </c>
      <c r="C87" s="17"/>
    </row>
    <row r="88" spans="1:3" x14ac:dyDescent="0.25">
      <c r="A88" s="4" t="s">
        <v>288</v>
      </c>
      <c r="B88" s="39">
        <f>IF('G-Calc'!B$2285,'G-Calc'!B685/'G-Calc'!B$2285,0)</f>
        <v>0</v>
      </c>
      <c r="C88" s="17"/>
    </row>
    <row r="89" spans="1:3" x14ac:dyDescent="0.25">
      <c r="A89" s="29" t="s">
        <v>184</v>
      </c>
      <c r="C89" s="17"/>
    </row>
    <row r="90" spans="1:3" x14ac:dyDescent="0.25">
      <c r="A90" s="4" t="s">
        <v>184</v>
      </c>
      <c r="B90" s="39">
        <f>IF('G-Calc'!B$2286,'G-Calc'!B687/'G-Calc'!B$2286,0)</f>
        <v>0</v>
      </c>
      <c r="C90" s="17"/>
    </row>
    <row r="91" spans="1:3" x14ac:dyDescent="0.25">
      <c r="A91" s="4" t="s">
        <v>290</v>
      </c>
      <c r="B91" s="39">
        <f>IF('G-Calc'!B$2286,'G-Calc'!B688/'G-Calc'!B$2286,0)</f>
        <v>0</v>
      </c>
      <c r="C91" s="17"/>
    </row>
    <row r="92" spans="1:3" x14ac:dyDescent="0.25">
      <c r="A92" s="4" t="s">
        <v>291</v>
      </c>
      <c r="B92" s="39">
        <f>IF('G-Calc'!B$2286,'G-Calc'!B689/'G-Calc'!B$2286,0)</f>
        <v>0</v>
      </c>
      <c r="C92" s="17"/>
    </row>
    <row r="93" spans="1:3" x14ac:dyDescent="0.25">
      <c r="A93" s="29" t="s">
        <v>185</v>
      </c>
      <c r="C93" s="17"/>
    </row>
    <row r="94" spans="1:3" x14ac:dyDescent="0.25">
      <c r="A94" s="4" t="s">
        <v>185</v>
      </c>
      <c r="B94" s="39">
        <f>IF('G-Calc'!B$2287,'G-Calc'!B691/'G-Calc'!B$2287,0)</f>
        <v>0</v>
      </c>
      <c r="C94" s="17"/>
    </row>
    <row r="95" spans="1:3" x14ac:dyDescent="0.25">
      <c r="A95" s="4" t="s">
        <v>293</v>
      </c>
      <c r="B95" s="39">
        <f>IF('G-Calc'!B$2287,'G-Calc'!B692/'G-Calc'!B$2287,0)</f>
        <v>0</v>
      </c>
      <c r="C95" s="17"/>
    </row>
    <row r="96" spans="1:3" x14ac:dyDescent="0.25">
      <c r="A96" s="29" t="s">
        <v>186</v>
      </c>
      <c r="C96" s="17"/>
    </row>
    <row r="97" spans="1:3" x14ac:dyDescent="0.25">
      <c r="A97" s="4" t="s">
        <v>186</v>
      </c>
      <c r="B97" s="39">
        <f>IF('G-Calc'!B$2288,'G-Calc'!B694/'G-Calc'!B$2288,0)</f>
        <v>0</v>
      </c>
      <c r="C97" s="17"/>
    </row>
    <row r="98" spans="1:3" x14ac:dyDescent="0.25">
      <c r="A98" s="4" t="s">
        <v>295</v>
      </c>
      <c r="B98" s="39">
        <f>IF('G-Calc'!B$2288,'G-Calc'!B695/'G-Calc'!B$2288,0)</f>
        <v>0</v>
      </c>
      <c r="C98" s="17"/>
    </row>
    <row r="99" spans="1:3" x14ac:dyDescent="0.25">
      <c r="A99" s="29" t="s">
        <v>194</v>
      </c>
      <c r="C99" s="17"/>
    </row>
    <row r="100" spans="1:3" x14ac:dyDescent="0.25">
      <c r="A100" s="4" t="s">
        <v>194</v>
      </c>
      <c r="B100" s="39">
        <f>IF('G-Calc'!B$2289,'G-Calc'!B697/'G-Calc'!B$2289,0)</f>
        <v>0</v>
      </c>
      <c r="C100" s="17"/>
    </row>
    <row r="101" spans="1:3" x14ac:dyDescent="0.25">
      <c r="A101" s="4" t="s">
        <v>297</v>
      </c>
      <c r="B101" s="39">
        <f>IF('G-Calc'!B$2289,'G-Calc'!B698/'G-Calc'!B$2289,0)</f>
        <v>0</v>
      </c>
      <c r="C101" s="17"/>
    </row>
    <row r="102" spans="1:3" x14ac:dyDescent="0.25">
      <c r="A102" s="29" t="s">
        <v>195</v>
      </c>
      <c r="C102" s="17"/>
    </row>
    <row r="103" spans="1:3" x14ac:dyDescent="0.25">
      <c r="A103" s="4" t="s">
        <v>195</v>
      </c>
      <c r="B103" s="39">
        <f>IF('G-Calc'!B$2290,'G-Calc'!B700/'G-Calc'!B$2290,0)</f>
        <v>0</v>
      </c>
      <c r="C103" s="17"/>
    </row>
    <row r="104" spans="1:3" x14ac:dyDescent="0.25">
      <c r="A104" s="4" t="s">
        <v>299</v>
      </c>
      <c r="B104" s="39">
        <f>IF('G-Calc'!B$2290,'G-Calc'!B701/'G-Calc'!B$2290,0)</f>
        <v>0</v>
      </c>
      <c r="C104" s="17"/>
    </row>
    <row r="106" spans="1:3" ht="21" customHeight="1" x14ac:dyDescent="0.3">
      <c r="A106" s="1" t="s">
        <v>1855</v>
      </c>
    </row>
    <row r="107" spans="1:3" x14ac:dyDescent="0.25">
      <c r="A107" s="2" t="s">
        <v>350</v>
      </c>
    </row>
    <row r="108" spans="1:3" x14ac:dyDescent="0.25">
      <c r="A108" s="32" t="s">
        <v>1852</v>
      </c>
    </row>
    <row r="109" spans="1:3" x14ac:dyDescent="0.25">
      <c r="A109" s="2" t="s">
        <v>1856</v>
      </c>
    </row>
    <row r="111" spans="1:3" ht="60" x14ac:dyDescent="0.25">
      <c r="B111" s="15" t="s">
        <v>1857</v>
      </c>
    </row>
    <row r="112" spans="1:3" x14ac:dyDescent="0.25">
      <c r="A112" s="29" t="s">
        <v>171</v>
      </c>
      <c r="C112" s="17"/>
    </row>
    <row r="113" spans="1:3" x14ac:dyDescent="0.25">
      <c r="A113" s="4" t="s">
        <v>171</v>
      </c>
      <c r="B113" s="37">
        <f>'G-Calc'!B$2266</f>
        <v>2.527910518381578</v>
      </c>
      <c r="C113" s="17"/>
    </row>
    <row r="114" spans="1:3" x14ac:dyDescent="0.25">
      <c r="A114" s="29" t="s">
        <v>1567</v>
      </c>
      <c r="C114" s="17"/>
    </row>
    <row r="115" spans="1:3" x14ac:dyDescent="0.25">
      <c r="A115" s="4" t="s">
        <v>172</v>
      </c>
      <c r="B115" s="37">
        <f>'G-Calc'!B$2267</f>
        <v>1.5842640501993379</v>
      </c>
      <c r="C115" s="17"/>
    </row>
    <row r="116" spans="1:3" x14ac:dyDescent="0.25">
      <c r="A116" s="4" t="s">
        <v>213</v>
      </c>
      <c r="B116" s="37">
        <f>'G-Calc'!B$2267</f>
        <v>1.5842640501993379</v>
      </c>
      <c r="C116" s="17"/>
    </row>
    <row r="117" spans="1:3" x14ac:dyDescent="0.25">
      <c r="A117" s="29" t="s">
        <v>173</v>
      </c>
      <c r="C117" s="17"/>
    </row>
    <row r="118" spans="1:3" x14ac:dyDescent="0.25">
      <c r="A118" s="4" t="s">
        <v>173</v>
      </c>
      <c r="B118" s="37">
        <f>'G-Calc'!B$2268</f>
        <v>2.1754894268200582</v>
      </c>
      <c r="C118" s="17"/>
    </row>
    <row r="119" spans="1:3" ht="30" x14ac:dyDescent="0.25">
      <c r="A119" s="29" t="s">
        <v>1568</v>
      </c>
      <c r="C119" s="17"/>
    </row>
    <row r="120" spans="1:3" x14ac:dyDescent="0.25">
      <c r="A120" s="4" t="s">
        <v>174</v>
      </c>
      <c r="B120" s="37">
        <f>'G-Calc'!B$2269</f>
        <v>1.5997068627503535</v>
      </c>
      <c r="C120" s="17"/>
    </row>
    <row r="121" spans="1:3" x14ac:dyDescent="0.25">
      <c r="A121" s="4" t="s">
        <v>214</v>
      </c>
      <c r="B121" s="37">
        <f>'G-Calc'!B$2269</f>
        <v>1.5997068627503535</v>
      </c>
      <c r="C121" s="17"/>
    </row>
    <row r="122" spans="1:3" x14ac:dyDescent="0.25">
      <c r="A122" s="29" t="s">
        <v>175</v>
      </c>
      <c r="C122" s="17"/>
    </row>
    <row r="123" spans="1:3" x14ac:dyDescent="0.25">
      <c r="A123" s="4" t="s">
        <v>175</v>
      </c>
      <c r="B123" s="37">
        <f>'G-Calc'!B$2270</f>
        <v>0</v>
      </c>
      <c r="C123" s="17"/>
    </row>
    <row r="124" spans="1:3" x14ac:dyDescent="0.25">
      <c r="A124" s="29" t="s">
        <v>176</v>
      </c>
      <c r="C124" s="17"/>
    </row>
    <row r="125" spans="1:3" x14ac:dyDescent="0.25">
      <c r="A125" s="4" t="s">
        <v>176</v>
      </c>
      <c r="B125" s="37">
        <f>'G-Calc'!B$2271</f>
        <v>0</v>
      </c>
      <c r="C125" s="17"/>
    </row>
    <row r="126" spans="1:3" x14ac:dyDescent="0.25">
      <c r="A126" s="29" t="s">
        <v>192</v>
      </c>
      <c r="C126" s="17"/>
    </row>
    <row r="127" spans="1:3" x14ac:dyDescent="0.25">
      <c r="A127" s="4" t="s">
        <v>192</v>
      </c>
      <c r="B127" s="37">
        <f>'G-Calc'!B$2272</f>
        <v>1.4878405258634864</v>
      </c>
      <c r="C127" s="17"/>
    </row>
    <row r="128" spans="1:3" x14ac:dyDescent="0.25">
      <c r="A128" s="29" t="s">
        <v>177</v>
      </c>
      <c r="C128" s="17"/>
    </row>
    <row r="129" spans="1:3" x14ac:dyDescent="0.25">
      <c r="A129" s="4" t="s">
        <v>177</v>
      </c>
      <c r="B129" s="37">
        <f>'G-Calc'!B$2273</f>
        <v>0</v>
      </c>
      <c r="C129" s="17"/>
    </row>
    <row r="130" spans="1:3" x14ac:dyDescent="0.25">
      <c r="A130" s="29" t="s">
        <v>178</v>
      </c>
      <c r="C130" s="17"/>
    </row>
    <row r="131" spans="1:3" x14ac:dyDescent="0.25">
      <c r="A131" s="4" t="s">
        <v>178</v>
      </c>
      <c r="B131" s="37">
        <f>'G-Calc'!B$2274</f>
        <v>1.9940862732133831</v>
      </c>
      <c r="C131" s="17"/>
    </row>
    <row r="132" spans="1:3" x14ac:dyDescent="0.25">
      <c r="A132" s="29" t="s">
        <v>179</v>
      </c>
      <c r="C132" s="17"/>
    </row>
    <row r="133" spans="1:3" x14ac:dyDescent="0.25">
      <c r="A133" s="4" t="s">
        <v>179</v>
      </c>
      <c r="B133" s="37">
        <f>'G-Calc'!B$2275</f>
        <v>2.2656723102241783</v>
      </c>
      <c r="C133" s="17"/>
    </row>
    <row r="134" spans="1:3" x14ac:dyDescent="0.25">
      <c r="A134" s="29" t="s">
        <v>180</v>
      </c>
      <c r="C134" s="17"/>
    </row>
    <row r="135" spans="1:3" x14ac:dyDescent="0.25">
      <c r="A135" s="4" t="s">
        <v>180</v>
      </c>
      <c r="B135" s="37">
        <f>'G-Calc'!B$2276</f>
        <v>1.839174271065283</v>
      </c>
      <c r="C135" s="17"/>
    </row>
    <row r="136" spans="1:3" x14ac:dyDescent="0.25">
      <c r="A136" s="29" t="s">
        <v>193</v>
      </c>
      <c r="C136" s="17"/>
    </row>
    <row r="137" spans="1:3" x14ac:dyDescent="0.25">
      <c r="A137" s="4" t="s">
        <v>193</v>
      </c>
      <c r="B137" s="37">
        <f>'G-Calc'!B$2277</f>
        <v>1.1929879704268023</v>
      </c>
      <c r="C137" s="17"/>
    </row>
    <row r="138" spans="1:3" x14ac:dyDescent="0.25">
      <c r="A138" s="29" t="s">
        <v>215</v>
      </c>
      <c r="C138" s="17"/>
    </row>
    <row r="139" spans="1:3" x14ac:dyDescent="0.25">
      <c r="A139" s="4" t="s">
        <v>215</v>
      </c>
      <c r="B139" s="37">
        <f>'G-Calc'!B$2278</f>
        <v>2.8473711191617674</v>
      </c>
      <c r="C139" s="17"/>
    </row>
    <row r="140" spans="1:3" x14ac:dyDescent="0.25">
      <c r="A140" s="29" t="s">
        <v>216</v>
      </c>
      <c r="C140" s="17"/>
    </row>
    <row r="141" spans="1:3" x14ac:dyDescent="0.25">
      <c r="A141" s="4" t="s">
        <v>216</v>
      </c>
      <c r="B141" s="37">
        <f>'G-Calc'!B$2279</f>
        <v>3.2191680435423606</v>
      </c>
      <c r="C141" s="17"/>
    </row>
    <row r="142" spans="1:3" x14ac:dyDescent="0.25">
      <c r="A142" s="29" t="s">
        <v>217</v>
      </c>
      <c r="C142" s="17"/>
    </row>
    <row r="143" spans="1:3" x14ac:dyDescent="0.25">
      <c r="A143" s="4" t="s">
        <v>217</v>
      </c>
      <c r="B143" s="37">
        <f>'G-Calc'!B$2280</f>
        <v>4.6457470453320946</v>
      </c>
      <c r="C143" s="17"/>
    </row>
    <row r="144" spans="1:3" x14ac:dyDescent="0.25">
      <c r="A144" s="29" t="s">
        <v>218</v>
      </c>
      <c r="C144" s="17"/>
    </row>
    <row r="145" spans="1:3" x14ac:dyDescent="0.25">
      <c r="A145" s="4" t="s">
        <v>218</v>
      </c>
      <c r="B145" s="37">
        <f>'G-Calc'!B$2281</f>
        <v>2.6666101280652783</v>
      </c>
      <c r="C145" s="17"/>
    </row>
    <row r="146" spans="1:3" x14ac:dyDescent="0.25">
      <c r="A146" s="29" t="s">
        <v>219</v>
      </c>
      <c r="C146" s="17"/>
    </row>
    <row r="147" spans="1:3" x14ac:dyDescent="0.25">
      <c r="A147" s="4" t="s">
        <v>219</v>
      </c>
      <c r="B147" s="37">
        <f>'G-Calc'!B$2282</f>
        <v>3.3986350193973758</v>
      </c>
      <c r="C147" s="17"/>
    </row>
    <row r="148" spans="1:3" x14ac:dyDescent="0.25">
      <c r="A148" s="29" t="s">
        <v>181</v>
      </c>
      <c r="C148" s="17"/>
    </row>
    <row r="149" spans="1:3" x14ac:dyDescent="0.25">
      <c r="A149" s="4" t="s">
        <v>181</v>
      </c>
      <c r="B149" s="37">
        <f>'G-Calc'!B$2283</f>
        <v>-0.91165717615701236</v>
      </c>
      <c r="C149" s="17"/>
    </row>
    <row r="150" spans="1:3" x14ac:dyDescent="0.25">
      <c r="A150" s="29" t="s">
        <v>182</v>
      </c>
      <c r="C150" s="17"/>
    </row>
    <row r="151" spans="1:3" x14ac:dyDescent="0.25">
      <c r="A151" s="4" t="s">
        <v>182</v>
      </c>
      <c r="B151" s="37">
        <f>'G-Calc'!B$2284</f>
        <v>0</v>
      </c>
      <c r="C151" s="17"/>
    </row>
    <row r="152" spans="1:3" x14ac:dyDescent="0.25">
      <c r="A152" s="29" t="s">
        <v>183</v>
      </c>
      <c r="C152" s="17"/>
    </row>
    <row r="153" spans="1:3" x14ac:dyDescent="0.25">
      <c r="A153" s="4" t="s">
        <v>183</v>
      </c>
      <c r="B153" s="37">
        <f>'G-Calc'!B$2285</f>
        <v>-0.90476466705003655</v>
      </c>
      <c r="C153" s="17"/>
    </row>
    <row r="154" spans="1:3" x14ac:dyDescent="0.25">
      <c r="A154" s="29" t="s">
        <v>184</v>
      </c>
      <c r="C154" s="17"/>
    </row>
    <row r="155" spans="1:3" x14ac:dyDescent="0.25">
      <c r="A155" s="4" t="s">
        <v>184</v>
      </c>
      <c r="B155" s="37">
        <f>'G-Calc'!B$2286</f>
        <v>-0.8197154716113314</v>
      </c>
      <c r="C155" s="17"/>
    </row>
    <row r="156" spans="1:3" x14ac:dyDescent="0.25">
      <c r="A156" s="29" t="s">
        <v>185</v>
      </c>
      <c r="C156" s="17"/>
    </row>
    <row r="157" spans="1:3" x14ac:dyDescent="0.25">
      <c r="A157" s="4" t="s">
        <v>185</v>
      </c>
      <c r="B157" s="37">
        <f>'G-Calc'!B$2287</f>
        <v>-0.72616726358220818</v>
      </c>
      <c r="C157" s="17"/>
    </row>
    <row r="158" spans="1:3" x14ac:dyDescent="0.25">
      <c r="A158" s="29" t="s">
        <v>186</v>
      </c>
      <c r="C158" s="17"/>
    </row>
    <row r="159" spans="1:3" x14ac:dyDescent="0.25">
      <c r="A159" s="4" t="s">
        <v>186</v>
      </c>
      <c r="B159" s="37">
        <f>'G-Calc'!B$2288</f>
        <v>-0.56588712000899644</v>
      </c>
      <c r="C159" s="17"/>
    </row>
    <row r="160" spans="1:3" x14ac:dyDescent="0.25">
      <c r="A160" s="29" t="s">
        <v>194</v>
      </c>
      <c r="C160" s="17"/>
    </row>
    <row r="161" spans="1:3" x14ac:dyDescent="0.25">
      <c r="A161" s="4" t="s">
        <v>194</v>
      </c>
      <c r="B161" s="37">
        <f>'G-Calc'!B$2289</f>
        <v>-0.52159950538056732</v>
      </c>
      <c r="C161" s="17"/>
    </row>
    <row r="162" spans="1:3" x14ac:dyDescent="0.25">
      <c r="A162" s="29" t="s">
        <v>195</v>
      </c>
      <c r="C162" s="17"/>
    </row>
    <row r="163" spans="1:3" x14ac:dyDescent="0.25">
      <c r="A163" s="4" t="s">
        <v>195</v>
      </c>
      <c r="B163" s="37">
        <f>'G-Calc'!B$2290</f>
        <v>-0.48381930228522751</v>
      </c>
      <c r="C163" s="17"/>
    </row>
  </sheetData>
  <sheetProtection sheet="1" objects="1" scenarios="1"/>
  <hyperlinks>
    <hyperlink ref="A5" location="'G-Calc'!B2265" display="x1 = 4358. All-the-way p/kWh"/>
    <hyperlink ref="A6" location="'G-Calc'!B606" display="x2 = 4313. Discount for each tariff (except for fixed charges)"/>
    <hyperlink ref="A108" location="'G-Calc'!B2265" display="x1 = 4358. All-the-way p/kWh"/>
  </hyperlinks>
  <pageMargins left="0.7" right="0.7" top="0.75" bottom="0.75" header="0.3" footer="0.3"/>
  <pageSetup paperSize="9" fitToHeight="0" orientation="portrait"/>
  <headerFooter>
    <oddHeader>&amp;L&amp;A&amp;C&amp;R&amp;P of &amp;N</oddHeader>
    <oddFooter>&amp;F</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63"/>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x14ac:dyDescent="0.25"/>
  <cols>
    <col min="1" max="1" width="50.7109375" customWidth="1"/>
    <col min="2" max="251" width="20.7109375" customWidth="1"/>
  </cols>
  <sheetData>
    <row r="1" spans="1:10" ht="21" customHeight="1" x14ac:dyDescent="0.3">
      <c r="A1" s="1" t="str">
        <f>"Loss adjustment factors and network use matrices for "&amp;Input!B7&amp;" in "&amp;Input!C7&amp;" ("&amp;Input!D7&amp;")"</f>
        <v>Loss adjustment factors and network use matrices for Electricity North West in 2017/2018 (December 2015)</v>
      </c>
    </row>
    <row r="2" spans="1:10" x14ac:dyDescent="0.25">
      <c r="A2" s="2" t="s">
        <v>347</v>
      </c>
    </row>
    <row r="3" spans="1:10" x14ac:dyDescent="0.25">
      <c r="A3" s="2" t="s">
        <v>348</v>
      </c>
    </row>
    <row r="5" spans="1:10" ht="21" customHeight="1" x14ac:dyDescent="0.3">
      <c r="A5" s="1" t="s">
        <v>349</v>
      </c>
    </row>
    <row r="6" spans="1:10" x14ac:dyDescent="0.25">
      <c r="A6" s="2" t="s">
        <v>350</v>
      </c>
    </row>
    <row r="7" spans="1:10" x14ac:dyDescent="0.25">
      <c r="A7" s="32" t="s">
        <v>351</v>
      </c>
    </row>
    <row r="8" spans="1:10" x14ac:dyDescent="0.25">
      <c r="A8" s="32" t="s">
        <v>352</v>
      </c>
    </row>
    <row r="9" spans="1:10" ht="30" x14ac:dyDescent="0.25">
      <c r="A9" s="33" t="s">
        <v>353</v>
      </c>
      <c r="B9" s="34" t="s">
        <v>354</v>
      </c>
      <c r="C9" s="34"/>
      <c r="D9" s="34"/>
      <c r="E9" s="34"/>
      <c r="F9" s="34"/>
      <c r="G9" s="34"/>
      <c r="H9" s="34"/>
      <c r="I9" s="33" t="s">
        <v>355</v>
      </c>
    </row>
    <row r="10" spans="1:10" ht="30" x14ac:dyDescent="0.25">
      <c r="A10" s="33" t="s">
        <v>356</v>
      </c>
      <c r="B10" s="34" t="s">
        <v>357</v>
      </c>
      <c r="C10" s="34"/>
      <c r="D10" s="34"/>
      <c r="E10" s="34"/>
      <c r="F10" s="34"/>
      <c r="G10" s="34"/>
      <c r="H10" s="34"/>
      <c r="I10" s="33" t="s">
        <v>358</v>
      </c>
    </row>
    <row r="12" spans="1:10" x14ac:dyDescent="0.25">
      <c r="B12" s="35" t="s">
        <v>359</v>
      </c>
      <c r="C12" s="35"/>
      <c r="D12" s="35"/>
      <c r="E12" s="35"/>
      <c r="F12" s="35"/>
      <c r="G12" s="35"/>
      <c r="H12" s="35"/>
    </row>
    <row r="13" spans="1:10" ht="30" x14ac:dyDescent="0.25">
      <c r="B13" s="15" t="s">
        <v>140</v>
      </c>
      <c r="C13" s="15" t="s">
        <v>141</v>
      </c>
      <c r="D13" s="15" t="s">
        <v>142</v>
      </c>
      <c r="E13" s="15" t="s">
        <v>143</v>
      </c>
      <c r="F13" s="15" t="s">
        <v>144</v>
      </c>
      <c r="G13" s="15" t="s">
        <v>145</v>
      </c>
      <c r="H13" s="15" t="s">
        <v>146</v>
      </c>
      <c r="I13" s="15" t="s">
        <v>198</v>
      </c>
    </row>
    <row r="14" spans="1:10" x14ac:dyDescent="0.25">
      <c r="A14" s="4" t="s">
        <v>171</v>
      </c>
      <c r="B14" s="36">
        <v>0</v>
      </c>
      <c r="C14" s="36">
        <v>0</v>
      </c>
      <c r="D14" s="36">
        <v>0</v>
      </c>
      <c r="E14" s="36">
        <v>0</v>
      </c>
      <c r="F14" s="36">
        <v>0</v>
      </c>
      <c r="G14" s="36">
        <v>0</v>
      </c>
      <c r="H14" s="36">
        <v>1</v>
      </c>
      <c r="I14" s="37">
        <f>SUMPRODUCT($B14:$H14,Input!$B$148:$H$148)</f>
        <v>1.1055232290000001</v>
      </c>
      <c r="J14" s="17"/>
    </row>
    <row r="15" spans="1:10" x14ac:dyDescent="0.25">
      <c r="A15" s="4" t="s">
        <v>172</v>
      </c>
      <c r="B15" s="36">
        <v>0</v>
      </c>
      <c r="C15" s="36">
        <v>0</v>
      </c>
      <c r="D15" s="36">
        <v>0</v>
      </c>
      <c r="E15" s="36">
        <v>0</v>
      </c>
      <c r="F15" s="36">
        <v>0</v>
      </c>
      <c r="G15" s="36">
        <v>0</v>
      </c>
      <c r="H15" s="36">
        <v>1</v>
      </c>
      <c r="I15" s="37">
        <f>SUMPRODUCT($B15:$H15,Input!$B$148:$H$148)</f>
        <v>1.1055232290000001</v>
      </c>
      <c r="J15" s="17"/>
    </row>
    <row r="16" spans="1:10" x14ac:dyDescent="0.25">
      <c r="A16" s="4" t="s">
        <v>213</v>
      </c>
      <c r="B16" s="36">
        <v>0</v>
      </c>
      <c r="C16" s="36">
        <v>0</v>
      </c>
      <c r="D16" s="36">
        <v>0</v>
      </c>
      <c r="E16" s="36">
        <v>0</v>
      </c>
      <c r="F16" s="36">
        <v>0</v>
      </c>
      <c r="G16" s="36">
        <v>0</v>
      </c>
      <c r="H16" s="36">
        <v>1</v>
      </c>
      <c r="I16" s="37">
        <f>SUMPRODUCT($B16:$H16,Input!$B$148:$H$148)</f>
        <v>1.1055232290000001</v>
      </c>
      <c r="J16" s="17"/>
    </row>
    <row r="17" spans="1:10" x14ac:dyDescent="0.25">
      <c r="A17" s="4" t="s">
        <v>173</v>
      </c>
      <c r="B17" s="36">
        <v>0</v>
      </c>
      <c r="C17" s="36">
        <v>0</v>
      </c>
      <c r="D17" s="36">
        <v>0</v>
      </c>
      <c r="E17" s="36">
        <v>0</v>
      </c>
      <c r="F17" s="36">
        <v>0</v>
      </c>
      <c r="G17" s="36">
        <v>0</v>
      </c>
      <c r="H17" s="36">
        <v>1</v>
      </c>
      <c r="I17" s="37">
        <f>SUMPRODUCT($B17:$H17,Input!$B$148:$H$148)</f>
        <v>1.1055232290000001</v>
      </c>
      <c r="J17" s="17"/>
    </row>
    <row r="18" spans="1:10" x14ac:dyDescent="0.25">
      <c r="A18" s="4" t="s">
        <v>174</v>
      </c>
      <c r="B18" s="36">
        <v>0</v>
      </c>
      <c r="C18" s="36">
        <v>0</v>
      </c>
      <c r="D18" s="36">
        <v>0</v>
      </c>
      <c r="E18" s="36">
        <v>0</v>
      </c>
      <c r="F18" s="36">
        <v>0</v>
      </c>
      <c r="G18" s="36">
        <v>0</v>
      </c>
      <c r="H18" s="36">
        <v>1</v>
      </c>
      <c r="I18" s="37">
        <f>SUMPRODUCT($B18:$H18,Input!$B$148:$H$148)</f>
        <v>1.1055232290000001</v>
      </c>
      <c r="J18" s="17"/>
    </row>
    <row r="19" spans="1:10" x14ac:dyDescent="0.25">
      <c r="A19" s="4" t="s">
        <v>214</v>
      </c>
      <c r="B19" s="36">
        <v>0</v>
      </c>
      <c r="C19" s="36">
        <v>0</v>
      </c>
      <c r="D19" s="36">
        <v>0</v>
      </c>
      <c r="E19" s="36">
        <v>0</v>
      </c>
      <c r="F19" s="36">
        <v>0</v>
      </c>
      <c r="G19" s="36">
        <v>0</v>
      </c>
      <c r="H19" s="36">
        <v>1</v>
      </c>
      <c r="I19" s="37">
        <f>SUMPRODUCT($B19:$H19,Input!$B$148:$H$148)</f>
        <v>1.1055232290000001</v>
      </c>
      <c r="J19" s="17"/>
    </row>
    <row r="20" spans="1:10" x14ac:dyDescent="0.25">
      <c r="A20" s="4" t="s">
        <v>175</v>
      </c>
      <c r="B20" s="36">
        <v>0</v>
      </c>
      <c r="C20" s="36">
        <v>0</v>
      </c>
      <c r="D20" s="36">
        <v>0</v>
      </c>
      <c r="E20" s="36">
        <v>0</v>
      </c>
      <c r="F20" s="36">
        <v>0</v>
      </c>
      <c r="G20" s="36">
        <v>0</v>
      </c>
      <c r="H20" s="36">
        <v>1</v>
      </c>
      <c r="I20" s="37">
        <f>SUMPRODUCT($B20:$H20,Input!$B$148:$H$148)</f>
        <v>1.1055232290000001</v>
      </c>
      <c r="J20" s="17"/>
    </row>
    <row r="21" spans="1:10" x14ac:dyDescent="0.25">
      <c r="A21" s="4" t="s">
        <v>176</v>
      </c>
      <c r="B21" s="36">
        <v>0</v>
      </c>
      <c r="C21" s="36">
        <v>0</v>
      </c>
      <c r="D21" s="36">
        <v>0</v>
      </c>
      <c r="E21" s="36">
        <v>0</v>
      </c>
      <c r="F21" s="36">
        <v>0</v>
      </c>
      <c r="G21" s="36">
        <v>1</v>
      </c>
      <c r="H21" s="36">
        <v>0</v>
      </c>
      <c r="I21" s="37">
        <f>SUMPRODUCT($B21:$H21,Input!$B$148:$H$148)</f>
        <v>1.0531131030000001</v>
      </c>
      <c r="J21" s="17"/>
    </row>
    <row r="22" spans="1:10" x14ac:dyDescent="0.25">
      <c r="A22" s="4" t="s">
        <v>192</v>
      </c>
      <c r="B22" s="36">
        <v>0</v>
      </c>
      <c r="C22" s="36">
        <v>0</v>
      </c>
      <c r="D22" s="36">
        <v>0</v>
      </c>
      <c r="E22" s="36">
        <v>0</v>
      </c>
      <c r="F22" s="36">
        <v>1</v>
      </c>
      <c r="G22" s="36">
        <v>0</v>
      </c>
      <c r="H22" s="36">
        <v>0</v>
      </c>
      <c r="I22" s="37">
        <f>SUMPRODUCT($B22:$H22,Input!$B$148:$H$148)</f>
        <v>1.039482236</v>
      </c>
      <c r="J22" s="17"/>
    </row>
    <row r="23" spans="1:10" x14ac:dyDescent="0.25">
      <c r="A23" s="4" t="s">
        <v>177</v>
      </c>
      <c r="B23" s="36">
        <v>0</v>
      </c>
      <c r="C23" s="36">
        <v>0</v>
      </c>
      <c r="D23" s="36">
        <v>0</v>
      </c>
      <c r="E23" s="36">
        <v>0</v>
      </c>
      <c r="F23" s="36">
        <v>0</v>
      </c>
      <c r="G23" s="36">
        <v>0</v>
      </c>
      <c r="H23" s="36">
        <v>1</v>
      </c>
      <c r="I23" s="37">
        <f>SUMPRODUCT($B23:$H23,Input!$B$148:$H$148)</f>
        <v>1.1055232290000001</v>
      </c>
      <c r="J23" s="17"/>
    </row>
    <row r="24" spans="1:10" x14ac:dyDescent="0.25">
      <c r="A24" s="4" t="s">
        <v>178</v>
      </c>
      <c r="B24" s="36">
        <v>0</v>
      </c>
      <c r="C24" s="36">
        <v>0</v>
      </c>
      <c r="D24" s="36">
        <v>0</v>
      </c>
      <c r="E24" s="36">
        <v>0</v>
      </c>
      <c r="F24" s="36">
        <v>0</v>
      </c>
      <c r="G24" s="36">
        <v>0</v>
      </c>
      <c r="H24" s="36">
        <v>1</v>
      </c>
      <c r="I24" s="37">
        <f>SUMPRODUCT($B24:$H24,Input!$B$148:$H$148)</f>
        <v>1.1055232290000001</v>
      </c>
      <c r="J24" s="17"/>
    </row>
    <row r="25" spans="1:10" x14ac:dyDescent="0.25">
      <c r="A25" s="4" t="s">
        <v>179</v>
      </c>
      <c r="B25" s="36">
        <v>0</v>
      </c>
      <c r="C25" s="36">
        <v>0</v>
      </c>
      <c r="D25" s="36">
        <v>0</v>
      </c>
      <c r="E25" s="36">
        <v>0</v>
      </c>
      <c r="F25" s="36">
        <v>0</v>
      </c>
      <c r="G25" s="36">
        <v>0</v>
      </c>
      <c r="H25" s="36">
        <v>1</v>
      </c>
      <c r="I25" s="37">
        <f>SUMPRODUCT($B25:$H25,Input!$B$148:$H$148)</f>
        <v>1.1055232290000001</v>
      </c>
      <c r="J25" s="17"/>
    </row>
    <row r="26" spans="1:10" x14ac:dyDescent="0.25">
      <c r="A26" s="4" t="s">
        <v>180</v>
      </c>
      <c r="B26" s="36">
        <v>0</v>
      </c>
      <c r="C26" s="36">
        <v>0</v>
      </c>
      <c r="D26" s="36">
        <v>0</v>
      </c>
      <c r="E26" s="36">
        <v>0</v>
      </c>
      <c r="F26" s="36">
        <v>0</v>
      </c>
      <c r="G26" s="36">
        <v>1</v>
      </c>
      <c r="H26" s="36">
        <v>0</v>
      </c>
      <c r="I26" s="37">
        <f>SUMPRODUCT($B26:$H26,Input!$B$148:$H$148)</f>
        <v>1.0531131030000001</v>
      </c>
      <c r="J26" s="17"/>
    </row>
    <row r="27" spans="1:10" x14ac:dyDescent="0.25">
      <c r="A27" s="4" t="s">
        <v>193</v>
      </c>
      <c r="B27" s="36">
        <v>0</v>
      </c>
      <c r="C27" s="36">
        <v>0</v>
      </c>
      <c r="D27" s="36">
        <v>0</v>
      </c>
      <c r="E27" s="36">
        <v>0</v>
      </c>
      <c r="F27" s="36">
        <v>1</v>
      </c>
      <c r="G27" s="36">
        <v>0</v>
      </c>
      <c r="H27" s="36">
        <v>0</v>
      </c>
      <c r="I27" s="37">
        <f>SUMPRODUCT($B27:$H27,Input!$B$148:$H$148)</f>
        <v>1.039482236</v>
      </c>
      <c r="J27" s="17"/>
    </row>
    <row r="28" spans="1:10" x14ac:dyDescent="0.25">
      <c r="A28" s="4" t="s">
        <v>215</v>
      </c>
      <c r="B28" s="36">
        <v>0</v>
      </c>
      <c r="C28" s="36">
        <v>0</v>
      </c>
      <c r="D28" s="36">
        <v>0</v>
      </c>
      <c r="E28" s="36">
        <v>0</v>
      </c>
      <c r="F28" s="36">
        <v>0</v>
      </c>
      <c r="G28" s="36">
        <v>0</v>
      </c>
      <c r="H28" s="36">
        <v>1</v>
      </c>
      <c r="I28" s="37">
        <f>SUMPRODUCT($B28:$H28,Input!$B$148:$H$148)</f>
        <v>1.1055232290000001</v>
      </c>
      <c r="J28" s="17"/>
    </row>
    <row r="29" spans="1:10" x14ac:dyDescent="0.25">
      <c r="A29" s="4" t="s">
        <v>216</v>
      </c>
      <c r="B29" s="36">
        <v>0</v>
      </c>
      <c r="C29" s="36">
        <v>0</v>
      </c>
      <c r="D29" s="36">
        <v>0</v>
      </c>
      <c r="E29" s="36">
        <v>0</v>
      </c>
      <c r="F29" s="36">
        <v>0</v>
      </c>
      <c r="G29" s="36">
        <v>0</v>
      </c>
      <c r="H29" s="36">
        <v>1</v>
      </c>
      <c r="I29" s="37">
        <f>SUMPRODUCT($B29:$H29,Input!$B$148:$H$148)</f>
        <v>1.1055232290000001</v>
      </c>
      <c r="J29" s="17"/>
    </row>
    <row r="30" spans="1:10" x14ac:dyDescent="0.25">
      <c r="A30" s="4" t="s">
        <v>217</v>
      </c>
      <c r="B30" s="36">
        <v>0</v>
      </c>
      <c r="C30" s="36">
        <v>0</v>
      </c>
      <c r="D30" s="36">
        <v>0</v>
      </c>
      <c r="E30" s="36">
        <v>0</v>
      </c>
      <c r="F30" s="36">
        <v>0</v>
      </c>
      <c r="G30" s="36">
        <v>0</v>
      </c>
      <c r="H30" s="36">
        <v>1</v>
      </c>
      <c r="I30" s="37">
        <f>SUMPRODUCT($B30:$H30,Input!$B$148:$H$148)</f>
        <v>1.1055232290000001</v>
      </c>
      <c r="J30" s="17"/>
    </row>
    <row r="31" spans="1:10" x14ac:dyDescent="0.25">
      <c r="A31" s="4" t="s">
        <v>218</v>
      </c>
      <c r="B31" s="36">
        <v>0</v>
      </c>
      <c r="C31" s="36">
        <v>0</v>
      </c>
      <c r="D31" s="36">
        <v>0</v>
      </c>
      <c r="E31" s="36">
        <v>0</v>
      </c>
      <c r="F31" s="36">
        <v>0</v>
      </c>
      <c r="G31" s="36">
        <v>0</v>
      </c>
      <c r="H31" s="36">
        <v>1</v>
      </c>
      <c r="I31" s="37">
        <f>SUMPRODUCT($B31:$H31,Input!$B$148:$H$148)</f>
        <v>1.1055232290000001</v>
      </c>
      <c r="J31" s="17"/>
    </row>
    <row r="32" spans="1:10" x14ac:dyDescent="0.25">
      <c r="A32" s="4" t="s">
        <v>219</v>
      </c>
      <c r="B32" s="36">
        <v>0</v>
      </c>
      <c r="C32" s="36">
        <v>0</v>
      </c>
      <c r="D32" s="36">
        <v>0</v>
      </c>
      <c r="E32" s="36">
        <v>0</v>
      </c>
      <c r="F32" s="36">
        <v>0</v>
      </c>
      <c r="G32" s="36">
        <v>0</v>
      </c>
      <c r="H32" s="36">
        <v>1</v>
      </c>
      <c r="I32" s="37">
        <f>SUMPRODUCT($B32:$H32,Input!$B$148:$H$148)</f>
        <v>1.1055232290000001</v>
      </c>
      <c r="J32" s="17"/>
    </row>
    <row r="33" spans="1:10" x14ac:dyDescent="0.25">
      <c r="A33" s="4" t="s">
        <v>181</v>
      </c>
      <c r="B33" s="36">
        <v>0</v>
      </c>
      <c r="C33" s="36">
        <v>0</v>
      </c>
      <c r="D33" s="36">
        <v>0</v>
      </c>
      <c r="E33" s="36">
        <v>0</v>
      </c>
      <c r="F33" s="36">
        <v>0</v>
      </c>
      <c r="G33" s="36">
        <v>0</v>
      </c>
      <c r="H33" s="36">
        <v>1</v>
      </c>
      <c r="I33" s="37">
        <f>SUMPRODUCT($B33:$H33,Input!$B$148:$H$148)</f>
        <v>1.1055232290000001</v>
      </c>
      <c r="J33" s="17"/>
    </row>
    <row r="34" spans="1:10" x14ac:dyDescent="0.25">
      <c r="A34" s="4" t="s">
        <v>182</v>
      </c>
      <c r="B34" s="36">
        <v>0</v>
      </c>
      <c r="C34" s="36">
        <v>0</v>
      </c>
      <c r="D34" s="36">
        <v>0</v>
      </c>
      <c r="E34" s="36">
        <v>0</v>
      </c>
      <c r="F34" s="36">
        <v>0</v>
      </c>
      <c r="G34" s="36">
        <v>1</v>
      </c>
      <c r="H34" s="36">
        <v>0</v>
      </c>
      <c r="I34" s="37">
        <f>SUMPRODUCT($B34:$H34,Input!$B$148:$H$148)</f>
        <v>1.0531131030000001</v>
      </c>
      <c r="J34" s="17"/>
    </row>
    <row r="35" spans="1:10" x14ac:dyDescent="0.25">
      <c r="A35" s="4" t="s">
        <v>183</v>
      </c>
      <c r="B35" s="36">
        <v>0</v>
      </c>
      <c r="C35" s="36">
        <v>0</v>
      </c>
      <c r="D35" s="36">
        <v>0</v>
      </c>
      <c r="E35" s="36">
        <v>0</v>
      </c>
      <c r="F35" s="36">
        <v>0</v>
      </c>
      <c r="G35" s="36">
        <v>0</v>
      </c>
      <c r="H35" s="36">
        <v>1</v>
      </c>
      <c r="I35" s="37">
        <f>SUMPRODUCT($B35:$H35,Input!$B$148:$H$148)</f>
        <v>1.1055232290000001</v>
      </c>
      <c r="J35" s="17"/>
    </row>
    <row r="36" spans="1:10" x14ac:dyDescent="0.25">
      <c r="A36" s="4" t="s">
        <v>184</v>
      </c>
      <c r="B36" s="36">
        <v>0</v>
      </c>
      <c r="C36" s="36">
        <v>0</v>
      </c>
      <c r="D36" s="36">
        <v>0</v>
      </c>
      <c r="E36" s="36">
        <v>0</v>
      </c>
      <c r="F36" s="36">
        <v>0</v>
      </c>
      <c r="G36" s="36">
        <v>0</v>
      </c>
      <c r="H36" s="36">
        <v>1</v>
      </c>
      <c r="I36" s="37">
        <f>SUMPRODUCT($B36:$H36,Input!$B$148:$H$148)</f>
        <v>1.1055232290000001</v>
      </c>
      <c r="J36" s="17"/>
    </row>
    <row r="37" spans="1:10" x14ac:dyDescent="0.25">
      <c r="A37" s="4" t="s">
        <v>185</v>
      </c>
      <c r="B37" s="36">
        <v>0</v>
      </c>
      <c r="C37" s="36">
        <v>0</v>
      </c>
      <c r="D37" s="36">
        <v>0</v>
      </c>
      <c r="E37" s="36">
        <v>0</v>
      </c>
      <c r="F37" s="36">
        <v>0</v>
      </c>
      <c r="G37" s="36">
        <v>1</v>
      </c>
      <c r="H37" s="36">
        <v>0</v>
      </c>
      <c r="I37" s="37">
        <f>SUMPRODUCT($B37:$H37,Input!$B$148:$H$148)</f>
        <v>1.0531131030000001</v>
      </c>
      <c r="J37" s="17"/>
    </row>
    <row r="38" spans="1:10" x14ac:dyDescent="0.25">
      <c r="A38" s="4" t="s">
        <v>186</v>
      </c>
      <c r="B38" s="36">
        <v>0</v>
      </c>
      <c r="C38" s="36">
        <v>0</v>
      </c>
      <c r="D38" s="36">
        <v>0</v>
      </c>
      <c r="E38" s="36">
        <v>0</v>
      </c>
      <c r="F38" s="36">
        <v>0</v>
      </c>
      <c r="G38" s="36">
        <v>1</v>
      </c>
      <c r="H38" s="36">
        <v>0</v>
      </c>
      <c r="I38" s="37">
        <f>SUMPRODUCT($B38:$H38,Input!$B$148:$H$148)</f>
        <v>1.0531131030000001</v>
      </c>
      <c r="J38" s="17"/>
    </row>
    <row r="39" spans="1:10" x14ac:dyDescent="0.25">
      <c r="A39" s="4" t="s">
        <v>194</v>
      </c>
      <c r="B39" s="36">
        <v>0</v>
      </c>
      <c r="C39" s="36">
        <v>0</v>
      </c>
      <c r="D39" s="36">
        <v>0</v>
      </c>
      <c r="E39" s="36">
        <v>0</v>
      </c>
      <c r="F39" s="36">
        <v>1</v>
      </c>
      <c r="G39" s="36">
        <v>0</v>
      </c>
      <c r="H39" s="36">
        <v>0</v>
      </c>
      <c r="I39" s="37">
        <f>SUMPRODUCT($B39:$H39,Input!$B$148:$H$148)</f>
        <v>1.039482236</v>
      </c>
      <c r="J39" s="17"/>
    </row>
    <row r="40" spans="1:10" x14ac:dyDescent="0.25">
      <c r="A40" s="4" t="s">
        <v>195</v>
      </c>
      <c r="B40" s="36">
        <v>0</v>
      </c>
      <c r="C40" s="36">
        <v>0</v>
      </c>
      <c r="D40" s="36">
        <v>0</v>
      </c>
      <c r="E40" s="36">
        <v>0</v>
      </c>
      <c r="F40" s="36">
        <v>1</v>
      </c>
      <c r="G40" s="36">
        <v>0</v>
      </c>
      <c r="H40" s="36">
        <v>0</v>
      </c>
      <c r="I40" s="37">
        <f>SUMPRODUCT($B40:$H40,Input!$B$148:$H$148)</f>
        <v>1.039482236</v>
      </c>
      <c r="J40" s="17"/>
    </row>
    <row r="42" spans="1:10" ht="21" customHeight="1" x14ac:dyDescent="0.3">
      <c r="A42" s="1" t="s">
        <v>360</v>
      </c>
    </row>
    <row r="44" spans="1:10" x14ac:dyDescent="0.25">
      <c r="B44" s="15" t="s">
        <v>140</v>
      </c>
      <c r="C44" s="15" t="s">
        <v>141</v>
      </c>
      <c r="D44" s="15" t="s">
        <v>142</v>
      </c>
      <c r="E44" s="15" t="s">
        <v>143</v>
      </c>
      <c r="F44" s="15" t="s">
        <v>144</v>
      </c>
      <c r="G44" s="15" t="s">
        <v>145</v>
      </c>
      <c r="H44" s="15" t="s">
        <v>146</v>
      </c>
    </row>
    <row r="45" spans="1:10" x14ac:dyDescent="0.25">
      <c r="A45" s="4" t="s">
        <v>140</v>
      </c>
      <c r="B45" s="36">
        <v>1</v>
      </c>
      <c r="C45" s="36">
        <v>0</v>
      </c>
      <c r="D45" s="36">
        <v>0</v>
      </c>
      <c r="E45" s="36">
        <v>0</v>
      </c>
      <c r="F45" s="36">
        <v>0</v>
      </c>
      <c r="G45" s="36">
        <v>0</v>
      </c>
      <c r="H45" s="36">
        <v>0</v>
      </c>
      <c r="I45" s="17"/>
    </row>
    <row r="46" spans="1:10" x14ac:dyDescent="0.25">
      <c r="A46" s="4" t="s">
        <v>141</v>
      </c>
      <c r="B46" s="36">
        <v>0</v>
      </c>
      <c r="C46" s="36">
        <v>1</v>
      </c>
      <c r="D46" s="36">
        <v>0</v>
      </c>
      <c r="E46" s="36">
        <v>0</v>
      </c>
      <c r="F46" s="36">
        <v>0</v>
      </c>
      <c r="G46" s="36">
        <v>0</v>
      </c>
      <c r="H46" s="36">
        <v>0</v>
      </c>
      <c r="I46" s="17"/>
    </row>
    <row r="47" spans="1:10" x14ac:dyDescent="0.25">
      <c r="A47" s="4" t="s">
        <v>142</v>
      </c>
      <c r="B47" s="36">
        <v>0</v>
      </c>
      <c r="C47" s="36">
        <v>0</v>
      </c>
      <c r="D47" s="36">
        <v>1</v>
      </c>
      <c r="E47" s="36">
        <v>0</v>
      </c>
      <c r="F47" s="36">
        <v>0</v>
      </c>
      <c r="G47" s="36">
        <v>0</v>
      </c>
      <c r="H47" s="36">
        <v>0</v>
      </c>
      <c r="I47" s="17"/>
    </row>
    <row r="48" spans="1:10" x14ac:dyDescent="0.25">
      <c r="A48" s="4" t="s">
        <v>143</v>
      </c>
      <c r="B48" s="36">
        <v>0</v>
      </c>
      <c r="C48" s="36">
        <v>0</v>
      </c>
      <c r="D48" s="36">
        <v>0</v>
      </c>
      <c r="E48" s="36">
        <v>1</v>
      </c>
      <c r="F48" s="36">
        <v>0</v>
      </c>
      <c r="G48" s="36">
        <v>0</v>
      </c>
      <c r="H48" s="36">
        <v>0</v>
      </c>
      <c r="I48" s="17"/>
    </row>
    <row r="49" spans="1:9" x14ac:dyDescent="0.25">
      <c r="A49" s="4" t="s">
        <v>148</v>
      </c>
      <c r="B49" s="36">
        <v>0</v>
      </c>
      <c r="C49" s="36">
        <v>0</v>
      </c>
      <c r="D49" s="36">
        <v>0</v>
      </c>
      <c r="E49" s="36">
        <v>1</v>
      </c>
      <c r="F49" s="36">
        <v>0</v>
      </c>
      <c r="G49" s="36">
        <v>0</v>
      </c>
      <c r="H49" s="36">
        <v>0</v>
      </c>
      <c r="I49" s="17"/>
    </row>
    <row r="50" spans="1:9" x14ac:dyDescent="0.25">
      <c r="A50" s="4" t="s">
        <v>144</v>
      </c>
      <c r="B50" s="36">
        <v>0</v>
      </c>
      <c r="C50" s="36">
        <v>0</v>
      </c>
      <c r="D50" s="36">
        <v>0</v>
      </c>
      <c r="E50" s="36">
        <v>0</v>
      </c>
      <c r="F50" s="36">
        <v>1</v>
      </c>
      <c r="G50" s="36">
        <v>0</v>
      </c>
      <c r="H50" s="36">
        <v>0</v>
      </c>
      <c r="I50" s="17"/>
    </row>
    <row r="51" spans="1:9" x14ac:dyDescent="0.25">
      <c r="A51" s="4" t="s">
        <v>145</v>
      </c>
      <c r="B51" s="36">
        <v>0</v>
      </c>
      <c r="C51" s="36">
        <v>0</v>
      </c>
      <c r="D51" s="36">
        <v>0</v>
      </c>
      <c r="E51" s="36">
        <v>0</v>
      </c>
      <c r="F51" s="36">
        <v>0</v>
      </c>
      <c r="G51" s="36">
        <v>1</v>
      </c>
      <c r="H51" s="36">
        <v>0</v>
      </c>
      <c r="I51" s="17"/>
    </row>
    <row r="52" spans="1:9" x14ac:dyDescent="0.25">
      <c r="A52" s="4" t="s">
        <v>146</v>
      </c>
      <c r="B52" s="36">
        <v>0</v>
      </c>
      <c r="C52" s="36">
        <v>0</v>
      </c>
      <c r="D52" s="36">
        <v>0</v>
      </c>
      <c r="E52" s="36">
        <v>0</v>
      </c>
      <c r="F52" s="36">
        <v>0</v>
      </c>
      <c r="G52" s="36">
        <v>0</v>
      </c>
      <c r="H52" s="36">
        <v>1</v>
      </c>
      <c r="I52" s="17"/>
    </row>
    <row r="54" spans="1:9" ht="21" customHeight="1" x14ac:dyDescent="0.3">
      <c r="A54" s="1" t="s">
        <v>361</v>
      </c>
    </row>
    <row r="55" spans="1:9" x14ac:dyDescent="0.25">
      <c r="A55" s="2" t="s">
        <v>350</v>
      </c>
    </row>
    <row r="56" spans="1:9" x14ac:dyDescent="0.25">
      <c r="A56" s="32" t="s">
        <v>362</v>
      </c>
    </row>
    <row r="57" spans="1:9" x14ac:dyDescent="0.25">
      <c r="A57" s="32" t="s">
        <v>352</v>
      </c>
    </row>
    <row r="58" spans="1:9" x14ac:dyDescent="0.25">
      <c r="A58" s="2" t="s">
        <v>363</v>
      </c>
    </row>
    <row r="60" spans="1:9" ht="60" x14ac:dyDescent="0.25">
      <c r="B60" s="15" t="s">
        <v>364</v>
      </c>
    </row>
    <row r="61" spans="1:9" x14ac:dyDescent="0.25">
      <c r="A61" s="4" t="s">
        <v>140</v>
      </c>
      <c r="B61" s="37">
        <f>SUMPRODUCT($B45:$H45,Input!$B$148:$H$148)</f>
        <v>1.0102076529999999</v>
      </c>
      <c r="C61" s="17"/>
    </row>
    <row r="62" spans="1:9" x14ac:dyDescent="0.25">
      <c r="A62" s="4" t="s">
        <v>141</v>
      </c>
      <c r="B62" s="37">
        <f>SUMPRODUCT($B46:$H46,Input!$B$148:$H$148)</f>
        <v>1.0151679520000001</v>
      </c>
      <c r="C62" s="17"/>
    </row>
    <row r="63" spans="1:9" x14ac:dyDescent="0.25">
      <c r="A63" s="4" t="s">
        <v>142</v>
      </c>
      <c r="B63" s="37">
        <f>SUMPRODUCT($B47:$H47,Input!$B$148:$H$148)</f>
        <v>1.0216131209999999</v>
      </c>
      <c r="C63" s="17"/>
    </row>
    <row r="64" spans="1:9" x14ac:dyDescent="0.25">
      <c r="A64" s="4" t="s">
        <v>143</v>
      </c>
      <c r="B64" s="37">
        <f>SUMPRODUCT($B48:$H48,Input!$B$148:$H$148)</f>
        <v>1.027143717</v>
      </c>
      <c r="C64" s="17"/>
    </row>
    <row r="65" spans="1:11" x14ac:dyDescent="0.25">
      <c r="A65" s="4" t="s">
        <v>148</v>
      </c>
      <c r="B65" s="37">
        <f>SUMPRODUCT($B49:$H49,Input!$B$148:$H$148)</f>
        <v>1.027143717</v>
      </c>
      <c r="C65" s="17"/>
    </row>
    <row r="66" spans="1:11" x14ac:dyDescent="0.25">
      <c r="A66" s="4" t="s">
        <v>144</v>
      </c>
      <c r="B66" s="37">
        <f>SUMPRODUCT($B50:$H50,Input!$B$148:$H$148)</f>
        <v>1.039482236</v>
      </c>
      <c r="C66" s="17"/>
    </row>
    <row r="67" spans="1:11" x14ac:dyDescent="0.25">
      <c r="A67" s="4" t="s">
        <v>145</v>
      </c>
      <c r="B67" s="37">
        <f>SUMPRODUCT($B51:$H51,Input!$B$148:$H$148)</f>
        <v>1.0531131030000001</v>
      </c>
      <c r="C67" s="17"/>
    </row>
    <row r="68" spans="1:11" x14ac:dyDescent="0.25">
      <c r="A68" s="4" t="s">
        <v>146</v>
      </c>
      <c r="B68" s="37">
        <f>SUMPRODUCT($B52:$H52,Input!$B$148:$H$148)</f>
        <v>1.1055232290000001</v>
      </c>
      <c r="C68" s="17"/>
    </row>
    <row r="70" spans="1:11" ht="21" customHeight="1" x14ac:dyDescent="0.3">
      <c r="A70" s="1" t="s">
        <v>365</v>
      </c>
    </row>
    <row r="71" spans="1:11" x14ac:dyDescent="0.25">
      <c r="A71" s="2" t="s">
        <v>350</v>
      </c>
    </row>
    <row r="72" spans="1:11" x14ac:dyDescent="0.25">
      <c r="A72" s="32" t="s">
        <v>366</v>
      </c>
    </row>
    <row r="73" spans="1:11" x14ac:dyDescent="0.25">
      <c r="A73" s="2" t="s">
        <v>367</v>
      </c>
    </row>
    <row r="74" spans="1:11" x14ac:dyDescent="0.25">
      <c r="A74" s="2" t="s">
        <v>368</v>
      </c>
    </row>
    <row r="76" spans="1:11" x14ac:dyDescent="0.25">
      <c r="B76" s="15" t="s">
        <v>139</v>
      </c>
      <c r="C76" s="15" t="s">
        <v>140</v>
      </c>
      <c r="D76" s="15" t="s">
        <v>141</v>
      </c>
      <c r="E76" s="15" t="s">
        <v>142</v>
      </c>
      <c r="F76" s="15" t="s">
        <v>143</v>
      </c>
      <c r="G76" s="15" t="s">
        <v>148</v>
      </c>
      <c r="H76" s="15" t="s">
        <v>144</v>
      </c>
      <c r="I76" s="15" t="s">
        <v>145</v>
      </c>
      <c r="J76" s="15" t="s">
        <v>146</v>
      </c>
    </row>
    <row r="77" spans="1:11" ht="30" x14ac:dyDescent="0.25">
      <c r="A77" s="4" t="s">
        <v>369</v>
      </c>
      <c r="B77" s="28">
        <v>1</v>
      </c>
      <c r="C77" s="38">
        <f>$B$61</f>
        <v>1.0102076529999999</v>
      </c>
      <c r="D77" s="38">
        <f>$B$62</f>
        <v>1.0151679520000001</v>
      </c>
      <c r="E77" s="38">
        <f>$B$63</f>
        <v>1.0216131209999999</v>
      </c>
      <c r="F77" s="38">
        <f>$B$64</f>
        <v>1.027143717</v>
      </c>
      <c r="G77" s="38">
        <f>$B$65</f>
        <v>1.027143717</v>
      </c>
      <c r="H77" s="38">
        <f>$B$66</f>
        <v>1.039482236</v>
      </c>
      <c r="I77" s="38">
        <f>$B$67</f>
        <v>1.0531131030000001</v>
      </c>
      <c r="J77" s="38">
        <f>$B$68</f>
        <v>1.1055232290000001</v>
      </c>
      <c r="K77" s="17"/>
    </row>
    <row r="79" spans="1:11" ht="21" customHeight="1" x14ac:dyDescent="0.3">
      <c r="A79" s="1" t="s">
        <v>370</v>
      </c>
    </row>
    <row r="80" spans="1:11" x14ac:dyDescent="0.25">
      <c r="A80" s="2" t="s">
        <v>371</v>
      </c>
    </row>
    <row r="81" spans="1:10" x14ac:dyDescent="0.25">
      <c r="A81" s="2" t="s">
        <v>372</v>
      </c>
    </row>
    <row r="82" spans="1:10" x14ac:dyDescent="0.25">
      <c r="A82" s="2" t="s">
        <v>373</v>
      </c>
    </row>
    <row r="84" spans="1:10" x14ac:dyDescent="0.25">
      <c r="B84" s="15" t="s">
        <v>139</v>
      </c>
      <c r="C84" s="15" t="s">
        <v>140</v>
      </c>
      <c r="D84" s="15" t="s">
        <v>141</v>
      </c>
      <c r="E84" s="15" t="s">
        <v>142</v>
      </c>
      <c r="F84" s="15" t="s">
        <v>143</v>
      </c>
      <c r="G84" s="15" t="s">
        <v>144</v>
      </c>
      <c r="H84" s="15" t="s">
        <v>145</v>
      </c>
      <c r="I84" s="15" t="s">
        <v>146</v>
      </c>
    </row>
    <row r="85" spans="1:10" x14ac:dyDescent="0.25">
      <c r="A85" s="4" t="s">
        <v>171</v>
      </c>
      <c r="B85" s="28">
        <v>1</v>
      </c>
      <c r="C85" s="28">
        <v>1</v>
      </c>
      <c r="D85" s="28">
        <v>1</v>
      </c>
      <c r="E85" s="28">
        <v>1</v>
      </c>
      <c r="F85" s="28">
        <v>1</v>
      </c>
      <c r="G85" s="28">
        <v>1</v>
      </c>
      <c r="H85" s="28">
        <v>1</v>
      </c>
      <c r="I85" s="28">
        <v>1</v>
      </c>
      <c r="J85" s="17"/>
    </row>
    <row r="86" spans="1:10" x14ac:dyDescent="0.25">
      <c r="A86" s="4" t="s">
        <v>172</v>
      </c>
      <c r="B86" s="28">
        <v>1</v>
      </c>
      <c r="C86" s="28">
        <v>1</v>
      </c>
      <c r="D86" s="28">
        <v>1</v>
      </c>
      <c r="E86" s="28">
        <v>1</v>
      </c>
      <c r="F86" s="28">
        <v>1</v>
      </c>
      <c r="G86" s="28">
        <v>1</v>
      </c>
      <c r="H86" s="28">
        <v>1</v>
      </c>
      <c r="I86" s="28">
        <v>1</v>
      </c>
      <c r="J86" s="17"/>
    </row>
    <row r="87" spans="1:10" x14ac:dyDescent="0.25">
      <c r="A87" s="4" t="s">
        <v>213</v>
      </c>
      <c r="B87" s="28">
        <v>1</v>
      </c>
      <c r="C87" s="28">
        <v>1</v>
      </c>
      <c r="D87" s="28">
        <v>1</v>
      </c>
      <c r="E87" s="28">
        <v>1</v>
      </c>
      <c r="F87" s="28">
        <v>1</v>
      </c>
      <c r="G87" s="28">
        <v>1</v>
      </c>
      <c r="H87" s="28">
        <v>1</v>
      </c>
      <c r="I87" s="28">
        <v>1</v>
      </c>
      <c r="J87" s="17"/>
    </row>
    <row r="88" spans="1:10" x14ac:dyDescent="0.25">
      <c r="A88" s="4" t="s">
        <v>173</v>
      </c>
      <c r="B88" s="28">
        <v>1</v>
      </c>
      <c r="C88" s="28">
        <v>1</v>
      </c>
      <c r="D88" s="28">
        <v>1</v>
      </c>
      <c r="E88" s="28">
        <v>1</v>
      </c>
      <c r="F88" s="28">
        <v>1</v>
      </c>
      <c r="G88" s="28">
        <v>1</v>
      </c>
      <c r="H88" s="28">
        <v>1</v>
      </c>
      <c r="I88" s="28">
        <v>1</v>
      </c>
      <c r="J88" s="17"/>
    </row>
    <row r="89" spans="1:10" x14ac:dyDescent="0.25">
      <c r="A89" s="4" t="s">
        <v>174</v>
      </c>
      <c r="B89" s="28">
        <v>1</v>
      </c>
      <c r="C89" s="28">
        <v>1</v>
      </c>
      <c r="D89" s="28">
        <v>1</v>
      </c>
      <c r="E89" s="28">
        <v>1</v>
      </c>
      <c r="F89" s="28">
        <v>1</v>
      </c>
      <c r="G89" s="28">
        <v>1</v>
      </c>
      <c r="H89" s="28">
        <v>1</v>
      </c>
      <c r="I89" s="28">
        <v>1</v>
      </c>
      <c r="J89" s="17"/>
    </row>
    <row r="90" spans="1:10" x14ac:dyDescent="0.25">
      <c r="A90" s="4" t="s">
        <v>214</v>
      </c>
      <c r="B90" s="28">
        <v>1</v>
      </c>
      <c r="C90" s="28">
        <v>1</v>
      </c>
      <c r="D90" s="28">
        <v>1</v>
      </c>
      <c r="E90" s="28">
        <v>1</v>
      </c>
      <c r="F90" s="28">
        <v>1</v>
      </c>
      <c r="G90" s="28">
        <v>1</v>
      </c>
      <c r="H90" s="28">
        <v>1</v>
      </c>
      <c r="I90" s="28">
        <v>1</v>
      </c>
      <c r="J90" s="17"/>
    </row>
    <row r="91" spans="1:10" x14ac:dyDescent="0.25">
      <c r="A91" s="4" t="s">
        <v>175</v>
      </c>
      <c r="B91" s="28">
        <v>1</v>
      </c>
      <c r="C91" s="28">
        <v>1</v>
      </c>
      <c r="D91" s="28">
        <v>1</v>
      </c>
      <c r="E91" s="28">
        <v>1</v>
      </c>
      <c r="F91" s="28">
        <v>1</v>
      </c>
      <c r="G91" s="28">
        <v>1</v>
      </c>
      <c r="H91" s="28">
        <v>1</v>
      </c>
      <c r="I91" s="28">
        <v>1</v>
      </c>
      <c r="J91" s="17"/>
    </row>
    <row r="92" spans="1:10" x14ac:dyDescent="0.25">
      <c r="A92" s="4" t="s">
        <v>176</v>
      </c>
      <c r="B92" s="28">
        <v>1</v>
      </c>
      <c r="C92" s="28">
        <v>1</v>
      </c>
      <c r="D92" s="28">
        <v>1</v>
      </c>
      <c r="E92" s="28">
        <v>1</v>
      </c>
      <c r="F92" s="28">
        <v>1</v>
      </c>
      <c r="G92" s="28">
        <v>1</v>
      </c>
      <c r="H92" s="28">
        <v>1</v>
      </c>
      <c r="I92" s="28">
        <v>0</v>
      </c>
      <c r="J92" s="17"/>
    </row>
    <row r="93" spans="1:10" x14ac:dyDescent="0.25">
      <c r="A93" s="4" t="s">
        <v>192</v>
      </c>
      <c r="B93" s="28">
        <v>1</v>
      </c>
      <c r="C93" s="28">
        <v>1</v>
      </c>
      <c r="D93" s="28">
        <v>1</v>
      </c>
      <c r="E93" s="28">
        <v>1</v>
      </c>
      <c r="F93" s="28">
        <v>1</v>
      </c>
      <c r="G93" s="28">
        <v>1</v>
      </c>
      <c r="H93" s="28">
        <v>0</v>
      </c>
      <c r="I93" s="28">
        <v>0</v>
      </c>
      <c r="J93" s="17"/>
    </row>
    <row r="94" spans="1:10" x14ac:dyDescent="0.25">
      <c r="A94" s="4" t="s">
        <v>177</v>
      </c>
      <c r="B94" s="28">
        <v>1</v>
      </c>
      <c r="C94" s="28">
        <v>1</v>
      </c>
      <c r="D94" s="28">
        <v>1</v>
      </c>
      <c r="E94" s="28">
        <v>1</v>
      </c>
      <c r="F94" s="28">
        <v>1</v>
      </c>
      <c r="G94" s="28">
        <v>1</v>
      </c>
      <c r="H94" s="28">
        <v>1</v>
      </c>
      <c r="I94" s="28">
        <v>1</v>
      </c>
      <c r="J94" s="17"/>
    </row>
    <row r="95" spans="1:10" x14ac:dyDescent="0.25">
      <c r="A95" s="4" t="s">
        <v>178</v>
      </c>
      <c r="B95" s="28">
        <v>1</v>
      </c>
      <c r="C95" s="28">
        <v>1</v>
      </c>
      <c r="D95" s="28">
        <v>1</v>
      </c>
      <c r="E95" s="28">
        <v>1</v>
      </c>
      <c r="F95" s="28">
        <v>1</v>
      </c>
      <c r="G95" s="28">
        <v>1</v>
      </c>
      <c r="H95" s="28">
        <v>1</v>
      </c>
      <c r="I95" s="28">
        <v>1</v>
      </c>
      <c r="J95" s="17"/>
    </row>
    <row r="96" spans="1:10" x14ac:dyDescent="0.25">
      <c r="A96" s="4" t="s">
        <v>179</v>
      </c>
      <c r="B96" s="28">
        <v>1</v>
      </c>
      <c r="C96" s="28">
        <v>1</v>
      </c>
      <c r="D96" s="28">
        <v>1</v>
      </c>
      <c r="E96" s="28">
        <v>1</v>
      </c>
      <c r="F96" s="28">
        <v>1</v>
      </c>
      <c r="G96" s="28">
        <v>1</v>
      </c>
      <c r="H96" s="28">
        <v>1</v>
      </c>
      <c r="I96" s="28">
        <v>1</v>
      </c>
      <c r="J96" s="17"/>
    </row>
    <row r="97" spans="1:10" x14ac:dyDescent="0.25">
      <c r="A97" s="4" t="s">
        <v>180</v>
      </c>
      <c r="B97" s="28">
        <v>1</v>
      </c>
      <c r="C97" s="28">
        <v>1</v>
      </c>
      <c r="D97" s="28">
        <v>1</v>
      </c>
      <c r="E97" s="28">
        <v>1</v>
      </c>
      <c r="F97" s="28">
        <v>1</v>
      </c>
      <c r="G97" s="28">
        <v>1</v>
      </c>
      <c r="H97" s="28">
        <v>1</v>
      </c>
      <c r="I97" s="28">
        <v>0</v>
      </c>
      <c r="J97" s="17"/>
    </row>
    <row r="98" spans="1:10" x14ac:dyDescent="0.25">
      <c r="A98" s="4" t="s">
        <v>193</v>
      </c>
      <c r="B98" s="28">
        <v>1</v>
      </c>
      <c r="C98" s="28">
        <v>1</v>
      </c>
      <c r="D98" s="28">
        <v>1</v>
      </c>
      <c r="E98" s="28">
        <v>1</v>
      </c>
      <c r="F98" s="28">
        <v>1</v>
      </c>
      <c r="G98" s="28">
        <v>1</v>
      </c>
      <c r="H98" s="28">
        <v>0</v>
      </c>
      <c r="I98" s="28">
        <v>0</v>
      </c>
      <c r="J98" s="17"/>
    </row>
    <row r="99" spans="1:10" x14ac:dyDescent="0.25">
      <c r="A99" s="4" t="s">
        <v>215</v>
      </c>
      <c r="B99" s="28">
        <v>1</v>
      </c>
      <c r="C99" s="28">
        <v>1</v>
      </c>
      <c r="D99" s="28">
        <v>1</v>
      </c>
      <c r="E99" s="28">
        <v>1</v>
      </c>
      <c r="F99" s="28">
        <v>1</v>
      </c>
      <c r="G99" s="28">
        <v>1</v>
      </c>
      <c r="H99" s="28">
        <v>1</v>
      </c>
      <c r="I99" s="28">
        <v>1</v>
      </c>
      <c r="J99" s="17"/>
    </row>
    <row r="100" spans="1:10" x14ac:dyDescent="0.25">
      <c r="A100" s="4" t="s">
        <v>216</v>
      </c>
      <c r="B100" s="28">
        <v>1</v>
      </c>
      <c r="C100" s="28">
        <v>1</v>
      </c>
      <c r="D100" s="28">
        <v>1</v>
      </c>
      <c r="E100" s="28">
        <v>1</v>
      </c>
      <c r="F100" s="28">
        <v>1</v>
      </c>
      <c r="G100" s="28">
        <v>1</v>
      </c>
      <c r="H100" s="28">
        <v>1</v>
      </c>
      <c r="I100" s="28">
        <v>1</v>
      </c>
      <c r="J100" s="17"/>
    </row>
    <row r="101" spans="1:10" x14ac:dyDescent="0.25">
      <c r="A101" s="4" t="s">
        <v>217</v>
      </c>
      <c r="B101" s="28">
        <v>1</v>
      </c>
      <c r="C101" s="28">
        <v>1</v>
      </c>
      <c r="D101" s="28">
        <v>1</v>
      </c>
      <c r="E101" s="28">
        <v>1</v>
      </c>
      <c r="F101" s="28">
        <v>1</v>
      </c>
      <c r="G101" s="28">
        <v>1</v>
      </c>
      <c r="H101" s="28">
        <v>1</v>
      </c>
      <c r="I101" s="28">
        <v>1</v>
      </c>
      <c r="J101" s="17"/>
    </row>
    <row r="102" spans="1:10" x14ac:dyDescent="0.25">
      <c r="A102" s="4" t="s">
        <v>218</v>
      </c>
      <c r="B102" s="28">
        <v>1</v>
      </c>
      <c r="C102" s="28">
        <v>1</v>
      </c>
      <c r="D102" s="28">
        <v>1</v>
      </c>
      <c r="E102" s="28">
        <v>1</v>
      </c>
      <c r="F102" s="28">
        <v>1</v>
      </c>
      <c r="G102" s="28">
        <v>1</v>
      </c>
      <c r="H102" s="28">
        <v>1</v>
      </c>
      <c r="I102" s="28">
        <v>1</v>
      </c>
      <c r="J102" s="17"/>
    </row>
    <row r="103" spans="1:10" x14ac:dyDescent="0.25">
      <c r="A103" s="4" t="s">
        <v>219</v>
      </c>
      <c r="B103" s="28">
        <v>1</v>
      </c>
      <c r="C103" s="28">
        <v>1</v>
      </c>
      <c r="D103" s="28">
        <v>1</v>
      </c>
      <c r="E103" s="28">
        <v>1</v>
      </c>
      <c r="F103" s="28">
        <v>1</v>
      </c>
      <c r="G103" s="28">
        <v>1</v>
      </c>
      <c r="H103" s="28">
        <v>1</v>
      </c>
      <c r="I103" s="28">
        <v>1</v>
      </c>
      <c r="J103" s="17"/>
    </row>
    <row r="104" spans="1:10" x14ac:dyDescent="0.25">
      <c r="A104" s="4" t="s">
        <v>181</v>
      </c>
      <c r="B104" s="28">
        <v>1</v>
      </c>
      <c r="C104" s="28">
        <v>1</v>
      </c>
      <c r="D104" s="28">
        <v>1</v>
      </c>
      <c r="E104" s="28">
        <v>1</v>
      </c>
      <c r="F104" s="28">
        <v>1</v>
      </c>
      <c r="G104" s="28">
        <v>1</v>
      </c>
      <c r="H104" s="28">
        <v>1</v>
      </c>
      <c r="I104" s="28">
        <v>0</v>
      </c>
      <c r="J104" s="17"/>
    </row>
    <row r="105" spans="1:10" x14ac:dyDescent="0.25">
      <c r="A105" s="4" t="s">
        <v>182</v>
      </c>
      <c r="B105" s="28">
        <v>1</v>
      </c>
      <c r="C105" s="28">
        <v>1</v>
      </c>
      <c r="D105" s="28">
        <v>1</v>
      </c>
      <c r="E105" s="28">
        <v>1</v>
      </c>
      <c r="F105" s="28">
        <v>1</v>
      </c>
      <c r="G105" s="28">
        <v>1</v>
      </c>
      <c r="H105" s="28">
        <v>0</v>
      </c>
      <c r="I105" s="28">
        <v>0</v>
      </c>
      <c r="J105" s="17"/>
    </row>
    <row r="106" spans="1:10" x14ac:dyDescent="0.25">
      <c r="A106" s="4" t="s">
        <v>183</v>
      </c>
      <c r="B106" s="28">
        <v>1</v>
      </c>
      <c r="C106" s="28">
        <v>1</v>
      </c>
      <c r="D106" s="28">
        <v>1</v>
      </c>
      <c r="E106" s="28">
        <v>1</v>
      </c>
      <c r="F106" s="28">
        <v>1</v>
      </c>
      <c r="G106" s="28">
        <v>1</v>
      </c>
      <c r="H106" s="28">
        <v>1</v>
      </c>
      <c r="I106" s="28">
        <v>0</v>
      </c>
      <c r="J106" s="17"/>
    </row>
    <row r="107" spans="1:10" x14ac:dyDescent="0.25">
      <c r="A107" s="4" t="s">
        <v>184</v>
      </c>
      <c r="B107" s="28">
        <v>1</v>
      </c>
      <c r="C107" s="28">
        <v>1</v>
      </c>
      <c r="D107" s="28">
        <v>1</v>
      </c>
      <c r="E107" s="28">
        <v>1</v>
      </c>
      <c r="F107" s="28">
        <v>1</v>
      </c>
      <c r="G107" s="28">
        <v>1</v>
      </c>
      <c r="H107" s="28">
        <v>1</v>
      </c>
      <c r="I107" s="28">
        <v>0</v>
      </c>
      <c r="J107" s="17"/>
    </row>
    <row r="108" spans="1:10" x14ac:dyDescent="0.25">
      <c r="A108" s="4" t="s">
        <v>185</v>
      </c>
      <c r="B108" s="28">
        <v>1</v>
      </c>
      <c r="C108" s="28">
        <v>1</v>
      </c>
      <c r="D108" s="28">
        <v>1</v>
      </c>
      <c r="E108" s="28">
        <v>1</v>
      </c>
      <c r="F108" s="28">
        <v>1</v>
      </c>
      <c r="G108" s="28">
        <v>1</v>
      </c>
      <c r="H108" s="28">
        <v>0</v>
      </c>
      <c r="I108" s="28">
        <v>0</v>
      </c>
      <c r="J108" s="17"/>
    </row>
    <row r="109" spans="1:10" x14ac:dyDescent="0.25">
      <c r="A109" s="4" t="s">
        <v>186</v>
      </c>
      <c r="B109" s="28">
        <v>1</v>
      </c>
      <c r="C109" s="28">
        <v>1</v>
      </c>
      <c r="D109" s="28">
        <v>1</v>
      </c>
      <c r="E109" s="28">
        <v>1</v>
      </c>
      <c r="F109" s="28">
        <v>1</v>
      </c>
      <c r="G109" s="28">
        <v>1</v>
      </c>
      <c r="H109" s="28">
        <v>0</v>
      </c>
      <c r="I109" s="28">
        <v>0</v>
      </c>
      <c r="J109" s="17"/>
    </row>
    <row r="110" spans="1:10" x14ac:dyDescent="0.25">
      <c r="A110" s="4" t="s">
        <v>194</v>
      </c>
      <c r="B110" s="28">
        <v>1</v>
      </c>
      <c r="C110" s="28">
        <v>1</v>
      </c>
      <c r="D110" s="28">
        <v>1</v>
      </c>
      <c r="E110" s="28">
        <v>1</v>
      </c>
      <c r="F110" s="28">
        <v>1</v>
      </c>
      <c r="G110" s="28">
        <v>0</v>
      </c>
      <c r="H110" s="28">
        <v>0</v>
      </c>
      <c r="I110" s="28">
        <v>0</v>
      </c>
      <c r="J110" s="17"/>
    </row>
    <row r="111" spans="1:10" x14ac:dyDescent="0.25">
      <c r="A111" s="4" t="s">
        <v>195</v>
      </c>
      <c r="B111" s="28">
        <v>1</v>
      </c>
      <c r="C111" s="28">
        <v>1</v>
      </c>
      <c r="D111" s="28">
        <v>1</v>
      </c>
      <c r="E111" s="28">
        <v>1</v>
      </c>
      <c r="F111" s="28">
        <v>1</v>
      </c>
      <c r="G111" s="28">
        <v>0</v>
      </c>
      <c r="H111" s="28">
        <v>0</v>
      </c>
      <c r="I111" s="28">
        <v>0</v>
      </c>
      <c r="J111" s="17"/>
    </row>
    <row r="113" spans="1:3" ht="21" customHeight="1" x14ac:dyDescent="0.3">
      <c r="A113" s="1" t="s">
        <v>374</v>
      </c>
    </row>
    <row r="114" spans="1:3" x14ac:dyDescent="0.25">
      <c r="A114" s="2" t="s">
        <v>350</v>
      </c>
    </row>
    <row r="115" spans="1:3" x14ac:dyDescent="0.25">
      <c r="A115" s="32" t="s">
        <v>375</v>
      </c>
    </row>
    <row r="116" spans="1:3" x14ac:dyDescent="0.25">
      <c r="A116" s="2" t="s">
        <v>376</v>
      </c>
    </row>
    <row r="118" spans="1:3" x14ac:dyDescent="0.25">
      <c r="B118" s="15" t="s">
        <v>141</v>
      </c>
    </row>
    <row r="119" spans="1:3" x14ac:dyDescent="0.25">
      <c r="A119" s="4" t="s">
        <v>141</v>
      </c>
      <c r="B119" s="39">
        <f>1-Input!$B$80</f>
        <v>1</v>
      </c>
      <c r="C119" s="17"/>
    </row>
    <row r="121" spans="1:3" ht="21" customHeight="1" x14ac:dyDescent="0.3">
      <c r="A121" s="1" t="s">
        <v>377</v>
      </c>
    </row>
    <row r="122" spans="1:3" x14ac:dyDescent="0.25">
      <c r="A122" s="2" t="s">
        <v>350</v>
      </c>
    </row>
    <row r="123" spans="1:3" x14ac:dyDescent="0.25">
      <c r="A123" s="32" t="s">
        <v>375</v>
      </c>
    </row>
    <row r="124" spans="1:3" x14ac:dyDescent="0.25">
      <c r="A124" s="2" t="s">
        <v>376</v>
      </c>
    </row>
    <row r="126" spans="1:3" x14ac:dyDescent="0.25">
      <c r="B126" s="15" t="s">
        <v>142</v>
      </c>
    </row>
    <row r="127" spans="1:3" x14ac:dyDescent="0.25">
      <c r="A127" s="4" t="s">
        <v>142</v>
      </c>
      <c r="B127" s="39">
        <f>1-Input!$B$80</f>
        <v>1</v>
      </c>
      <c r="C127" s="17"/>
    </row>
    <row r="129" spans="1:3" ht="21" customHeight="1" x14ac:dyDescent="0.3">
      <c r="A129" s="1" t="s">
        <v>378</v>
      </c>
    </row>
    <row r="130" spans="1:3" x14ac:dyDescent="0.25">
      <c r="A130" s="2" t="s">
        <v>350</v>
      </c>
    </row>
    <row r="131" spans="1:3" x14ac:dyDescent="0.25">
      <c r="A131" s="32" t="s">
        <v>375</v>
      </c>
    </row>
    <row r="132" spans="1:3" x14ac:dyDescent="0.25">
      <c r="A132" s="2" t="s">
        <v>376</v>
      </c>
    </row>
    <row r="134" spans="1:3" x14ac:dyDescent="0.25">
      <c r="B134" s="15" t="s">
        <v>143</v>
      </c>
    </row>
    <row r="135" spans="1:3" x14ac:dyDescent="0.25">
      <c r="A135" s="4" t="s">
        <v>143</v>
      </c>
      <c r="B135" s="39">
        <f>1-Input!$B$80</f>
        <v>1</v>
      </c>
      <c r="C135" s="17"/>
    </row>
    <row r="137" spans="1:3" ht="21" customHeight="1" x14ac:dyDescent="0.3">
      <c r="A137" s="1" t="s">
        <v>379</v>
      </c>
    </row>
    <row r="138" spans="1:3" x14ac:dyDescent="0.25">
      <c r="A138" s="2" t="s">
        <v>350</v>
      </c>
    </row>
    <row r="139" spans="1:3" x14ac:dyDescent="0.25">
      <c r="A139" s="32" t="s">
        <v>375</v>
      </c>
    </row>
    <row r="140" spans="1:3" x14ac:dyDescent="0.25">
      <c r="A140" s="32" t="s">
        <v>380</v>
      </c>
    </row>
    <row r="141" spans="1:3" x14ac:dyDescent="0.25">
      <c r="A141" s="32" t="s">
        <v>381</v>
      </c>
    </row>
    <row r="142" spans="1:3" x14ac:dyDescent="0.25">
      <c r="A142" s="32" t="s">
        <v>382</v>
      </c>
    </row>
    <row r="143" spans="1:3" x14ac:dyDescent="0.25">
      <c r="A143" s="2" t="s">
        <v>383</v>
      </c>
    </row>
    <row r="144" spans="1:3" x14ac:dyDescent="0.25">
      <c r="A144" s="2" t="s">
        <v>384</v>
      </c>
    </row>
    <row r="145" spans="1:10" x14ac:dyDescent="0.25">
      <c r="A145" s="2" t="s">
        <v>385</v>
      </c>
    </row>
    <row r="147" spans="1:10" x14ac:dyDescent="0.25">
      <c r="B147" s="15" t="s">
        <v>139</v>
      </c>
      <c r="C147" s="15" t="s">
        <v>140</v>
      </c>
      <c r="D147" s="15" t="s">
        <v>141</v>
      </c>
      <c r="E147" s="15" t="s">
        <v>142</v>
      </c>
      <c r="F147" s="15" t="s">
        <v>143</v>
      </c>
      <c r="G147" s="15" t="s">
        <v>144</v>
      </c>
      <c r="H147" s="15" t="s">
        <v>145</v>
      </c>
      <c r="I147" s="15" t="s">
        <v>146</v>
      </c>
    </row>
    <row r="148" spans="1:10" x14ac:dyDescent="0.25">
      <c r="A148" s="4" t="s">
        <v>139</v>
      </c>
      <c r="B148" s="28">
        <v>1</v>
      </c>
      <c r="C148" s="10"/>
      <c r="D148" s="10"/>
      <c r="E148" s="10"/>
      <c r="F148" s="10"/>
      <c r="G148" s="10"/>
      <c r="H148" s="10"/>
      <c r="I148" s="10"/>
      <c r="J148" s="17"/>
    </row>
    <row r="149" spans="1:10" x14ac:dyDescent="0.25">
      <c r="A149" s="4" t="s">
        <v>140</v>
      </c>
      <c r="B149" s="10"/>
      <c r="C149" s="40">
        <v>1</v>
      </c>
      <c r="D149" s="40">
        <v>0</v>
      </c>
      <c r="E149" s="40">
        <v>0</v>
      </c>
      <c r="F149" s="40">
        <v>0</v>
      </c>
      <c r="G149" s="40">
        <v>0</v>
      </c>
      <c r="H149" s="40">
        <v>0</v>
      </c>
      <c r="I149" s="40">
        <v>0</v>
      </c>
      <c r="J149" s="17"/>
    </row>
    <row r="150" spans="1:10" x14ac:dyDescent="0.25">
      <c r="A150" s="4" t="s">
        <v>141</v>
      </c>
      <c r="B150" s="10"/>
      <c r="C150" s="40">
        <v>0</v>
      </c>
      <c r="D150" s="41">
        <f>$B$119</f>
        <v>1</v>
      </c>
      <c r="E150" s="40">
        <v>0</v>
      </c>
      <c r="F150" s="40">
        <v>0</v>
      </c>
      <c r="G150" s="40">
        <v>0</v>
      </c>
      <c r="H150" s="40">
        <v>0</v>
      </c>
      <c r="I150" s="40">
        <v>0</v>
      </c>
      <c r="J150" s="17"/>
    </row>
    <row r="151" spans="1:10" x14ac:dyDescent="0.25">
      <c r="A151" s="4" t="s">
        <v>142</v>
      </c>
      <c r="B151" s="10"/>
      <c r="C151" s="40">
        <v>0</v>
      </c>
      <c r="D151" s="40">
        <v>0</v>
      </c>
      <c r="E151" s="41">
        <f>$B$127</f>
        <v>1</v>
      </c>
      <c r="F151" s="40">
        <v>0</v>
      </c>
      <c r="G151" s="40">
        <v>0</v>
      </c>
      <c r="H151" s="40">
        <v>0</v>
      </c>
      <c r="I151" s="40">
        <v>0</v>
      </c>
      <c r="J151" s="17"/>
    </row>
    <row r="152" spans="1:10" x14ac:dyDescent="0.25">
      <c r="A152" s="4" t="s">
        <v>143</v>
      </c>
      <c r="B152" s="10"/>
      <c r="C152" s="40">
        <v>0</v>
      </c>
      <c r="D152" s="40">
        <v>0</v>
      </c>
      <c r="E152" s="40">
        <v>0</v>
      </c>
      <c r="F152" s="41">
        <f>$B$135</f>
        <v>1</v>
      </c>
      <c r="G152" s="40">
        <v>0</v>
      </c>
      <c r="H152" s="40">
        <v>0</v>
      </c>
      <c r="I152" s="40">
        <v>0</v>
      </c>
      <c r="J152" s="17"/>
    </row>
    <row r="153" spans="1:10" x14ac:dyDescent="0.25">
      <c r="A153" s="4" t="s">
        <v>148</v>
      </c>
      <c r="B153" s="10"/>
      <c r="C153" s="40">
        <v>0</v>
      </c>
      <c r="D153" s="40">
        <v>0</v>
      </c>
      <c r="E153" s="40">
        <v>0</v>
      </c>
      <c r="F153" s="41">
        <f>Input!$B$80</f>
        <v>0</v>
      </c>
      <c r="G153" s="40">
        <v>0</v>
      </c>
      <c r="H153" s="40">
        <v>0</v>
      </c>
      <c r="I153" s="40">
        <v>0</v>
      </c>
      <c r="J153" s="17"/>
    </row>
    <row r="154" spans="1:10" x14ac:dyDescent="0.25">
      <c r="A154" s="4" t="s">
        <v>144</v>
      </c>
      <c r="B154" s="10"/>
      <c r="C154" s="40">
        <v>0</v>
      </c>
      <c r="D154" s="40">
        <v>0</v>
      </c>
      <c r="E154" s="40">
        <v>0</v>
      </c>
      <c r="F154" s="40">
        <v>0</v>
      </c>
      <c r="G154" s="40">
        <v>1</v>
      </c>
      <c r="H154" s="40">
        <v>0</v>
      </c>
      <c r="I154" s="40">
        <v>0</v>
      </c>
      <c r="J154" s="17"/>
    </row>
    <row r="155" spans="1:10" x14ac:dyDescent="0.25">
      <c r="A155" s="4" t="s">
        <v>145</v>
      </c>
      <c r="B155" s="10"/>
      <c r="C155" s="40">
        <v>0</v>
      </c>
      <c r="D155" s="40">
        <v>0</v>
      </c>
      <c r="E155" s="40">
        <v>0</v>
      </c>
      <c r="F155" s="40">
        <v>0</v>
      </c>
      <c r="G155" s="40">
        <v>0</v>
      </c>
      <c r="H155" s="40">
        <v>1</v>
      </c>
      <c r="I155" s="40">
        <v>0</v>
      </c>
      <c r="J155" s="17"/>
    </row>
    <row r="156" spans="1:10" x14ac:dyDescent="0.25">
      <c r="A156" s="4" t="s">
        <v>146</v>
      </c>
      <c r="B156" s="10"/>
      <c r="C156" s="40">
        <v>0</v>
      </c>
      <c r="D156" s="40">
        <v>0</v>
      </c>
      <c r="E156" s="40">
        <v>0</v>
      </c>
      <c r="F156" s="40">
        <v>0</v>
      </c>
      <c r="G156" s="40">
        <v>0</v>
      </c>
      <c r="H156" s="40">
        <v>0</v>
      </c>
      <c r="I156" s="40">
        <v>1</v>
      </c>
      <c r="J156" s="17"/>
    </row>
    <row r="158" spans="1:10" ht="21" customHeight="1" x14ac:dyDescent="0.3">
      <c r="A158" s="1" t="s">
        <v>386</v>
      </c>
    </row>
    <row r="159" spans="1:10" x14ac:dyDescent="0.25">
      <c r="A159" s="2" t="s">
        <v>350</v>
      </c>
    </row>
    <row r="160" spans="1:10" x14ac:dyDescent="0.25">
      <c r="A160" s="32" t="s">
        <v>387</v>
      </c>
    </row>
    <row r="161" spans="1:11" x14ac:dyDescent="0.25">
      <c r="A161" s="32" t="s">
        <v>388</v>
      </c>
    </row>
    <row r="162" spans="1:11" x14ac:dyDescent="0.25">
      <c r="A162" s="2" t="s">
        <v>363</v>
      </c>
    </row>
    <row r="164" spans="1:11" x14ac:dyDescent="0.25">
      <c r="B164" s="15" t="s">
        <v>139</v>
      </c>
      <c r="C164" s="15" t="s">
        <v>140</v>
      </c>
      <c r="D164" s="15" t="s">
        <v>141</v>
      </c>
      <c r="E164" s="15" t="s">
        <v>142</v>
      </c>
      <c r="F164" s="15" t="s">
        <v>143</v>
      </c>
      <c r="G164" s="15" t="s">
        <v>148</v>
      </c>
      <c r="H164" s="15" t="s">
        <v>144</v>
      </c>
      <c r="I164" s="15" t="s">
        <v>145</v>
      </c>
      <c r="J164" s="15" t="s">
        <v>146</v>
      </c>
    </row>
    <row r="165" spans="1:11" x14ac:dyDescent="0.25">
      <c r="A165" s="4" t="s">
        <v>171</v>
      </c>
      <c r="B165" s="37">
        <f t="shared" ref="B165:B191" si="0">SUMPRODUCT($B85:$I85,$B$148:$I$148)</f>
        <v>1</v>
      </c>
      <c r="C165" s="37">
        <f t="shared" ref="C165:C191" si="1">SUMPRODUCT($B85:$I85,$B$149:$I$149)</f>
        <v>1</v>
      </c>
      <c r="D165" s="37">
        <f t="shared" ref="D165:D191" si="2">SUMPRODUCT($B85:$I85,$B$150:$I$150)</f>
        <v>1</v>
      </c>
      <c r="E165" s="37">
        <f t="shared" ref="E165:E191" si="3">SUMPRODUCT($B85:$I85,$B$151:$I$151)</f>
        <v>1</v>
      </c>
      <c r="F165" s="37">
        <f t="shared" ref="F165:F191" si="4">SUMPRODUCT($B85:$I85,$B$152:$I$152)</f>
        <v>1</v>
      </c>
      <c r="G165" s="37">
        <f t="shared" ref="G165:G191" si="5">SUMPRODUCT($B85:$I85,$B$153:$I$153)</f>
        <v>0</v>
      </c>
      <c r="H165" s="37">
        <f t="shared" ref="H165:H191" si="6">SUMPRODUCT($B85:$I85,$B$154:$I$154)</f>
        <v>1</v>
      </c>
      <c r="I165" s="37">
        <f t="shared" ref="I165:I191" si="7">SUMPRODUCT($B85:$I85,$B$155:$I$155)</f>
        <v>1</v>
      </c>
      <c r="J165" s="37">
        <f t="shared" ref="J165:J191" si="8">SUMPRODUCT($B85:$I85,$B$156:$I$156)</f>
        <v>1</v>
      </c>
      <c r="K165" s="17"/>
    </row>
    <row r="166" spans="1:11" x14ac:dyDescent="0.25">
      <c r="A166" s="4" t="s">
        <v>172</v>
      </c>
      <c r="B166" s="37">
        <f t="shared" si="0"/>
        <v>1</v>
      </c>
      <c r="C166" s="37">
        <f t="shared" si="1"/>
        <v>1</v>
      </c>
      <c r="D166" s="37">
        <f t="shared" si="2"/>
        <v>1</v>
      </c>
      <c r="E166" s="37">
        <f t="shared" si="3"/>
        <v>1</v>
      </c>
      <c r="F166" s="37">
        <f t="shared" si="4"/>
        <v>1</v>
      </c>
      <c r="G166" s="37">
        <f t="shared" si="5"/>
        <v>0</v>
      </c>
      <c r="H166" s="37">
        <f t="shared" si="6"/>
        <v>1</v>
      </c>
      <c r="I166" s="37">
        <f t="shared" si="7"/>
        <v>1</v>
      </c>
      <c r="J166" s="37">
        <f t="shared" si="8"/>
        <v>1</v>
      </c>
      <c r="K166" s="17"/>
    </row>
    <row r="167" spans="1:11" x14ac:dyDescent="0.25">
      <c r="A167" s="4" t="s">
        <v>213</v>
      </c>
      <c r="B167" s="37">
        <f t="shared" si="0"/>
        <v>1</v>
      </c>
      <c r="C167" s="37">
        <f t="shared" si="1"/>
        <v>1</v>
      </c>
      <c r="D167" s="37">
        <f t="shared" si="2"/>
        <v>1</v>
      </c>
      <c r="E167" s="37">
        <f t="shared" si="3"/>
        <v>1</v>
      </c>
      <c r="F167" s="37">
        <f t="shared" si="4"/>
        <v>1</v>
      </c>
      <c r="G167" s="37">
        <f t="shared" si="5"/>
        <v>0</v>
      </c>
      <c r="H167" s="37">
        <f t="shared" si="6"/>
        <v>1</v>
      </c>
      <c r="I167" s="37">
        <f t="shared" si="7"/>
        <v>1</v>
      </c>
      <c r="J167" s="37">
        <f t="shared" si="8"/>
        <v>1</v>
      </c>
      <c r="K167" s="17"/>
    </row>
    <row r="168" spans="1:11" x14ac:dyDescent="0.25">
      <c r="A168" s="4" t="s">
        <v>173</v>
      </c>
      <c r="B168" s="37">
        <f t="shared" si="0"/>
        <v>1</v>
      </c>
      <c r="C168" s="37">
        <f t="shared" si="1"/>
        <v>1</v>
      </c>
      <c r="D168" s="37">
        <f t="shared" si="2"/>
        <v>1</v>
      </c>
      <c r="E168" s="37">
        <f t="shared" si="3"/>
        <v>1</v>
      </c>
      <c r="F168" s="37">
        <f t="shared" si="4"/>
        <v>1</v>
      </c>
      <c r="G168" s="37">
        <f t="shared" si="5"/>
        <v>0</v>
      </c>
      <c r="H168" s="37">
        <f t="shared" si="6"/>
        <v>1</v>
      </c>
      <c r="I168" s="37">
        <f t="shared" si="7"/>
        <v>1</v>
      </c>
      <c r="J168" s="37">
        <f t="shared" si="8"/>
        <v>1</v>
      </c>
      <c r="K168" s="17"/>
    </row>
    <row r="169" spans="1:11" x14ac:dyDescent="0.25">
      <c r="A169" s="4" t="s">
        <v>174</v>
      </c>
      <c r="B169" s="37">
        <f t="shared" si="0"/>
        <v>1</v>
      </c>
      <c r="C169" s="37">
        <f t="shared" si="1"/>
        <v>1</v>
      </c>
      <c r="D169" s="37">
        <f t="shared" si="2"/>
        <v>1</v>
      </c>
      <c r="E169" s="37">
        <f t="shared" si="3"/>
        <v>1</v>
      </c>
      <c r="F169" s="37">
        <f t="shared" si="4"/>
        <v>1</v>
      </c>
      <c r="G169" s="37">
        <f t="shared" si="5"/>
        <v>0</v>
      </c>
      <c r="H169" s="37">
        <f t="shared" si="6"/>
        <v>1</v>
      </c>
      <c r="I169" s="37">
        <f t="shared" si="7"/>
        <v>1</v>
      </c>
      <c r="J169" s="37">
        <f t="shared" si="8"/>
        <v>1</v>
      </c>
      <c r="K169" s="17"/>
    </row>
    <row r="170" spans="1:11" x14ac:dyDescent="0.25">
      <c r="A170" s="4" t="s">
        <v>214</v>
      </c>
      <c r="B170" s="37">
        <f t="shared" si="0"/>
        <v>1</v>
      </c>
      <c r="C170" s="37">
        <f t="shared" si="1"/>
        <v>1</v>
      </c>
      <c r="D170" s="37">
        <f t="shared" si="2"/>
        <v>1</v>
      </c>
      <c r="E170" s="37">
        <f t="shared" si="3"/>
        <v>1</v>
      </c>
      <c r="F170" s="37">
        <f t="shared" si="4"/>
        <v>1</v>
      </c>
      <c r="G170" s="37">
        <f t="shared" si="5"/>
        <v>0</v>
      </c>
      <c r="H170" s="37">
        <f t="shared" si="6"/>
        <v>1</v>
      </c>
      <c r="I170" s="37">
        <f t="shared" si="7"/>
        <v>1</v>
      </c>
      <c r="J170" s="37">
        <f t="shared" si="8"/>
        <v>1</v>
      </c>
      <c r="K170" s="17"/>
    </row>
    <row r="171" spans="1:11" x14ac:dyDescent="0.25">
      <c r="A171" s="4" t="s">
        <v>175</v>
      </c>
      <c r="B171" s="37">
        <f t="shared" si="0"/>
        <v>1</v>
      </c>
      <c r="C171" s="37">
        <f t="shared" si="1"/>
        <v>1</v>
      </c>
      <c r="D171" s="37">
        <f t="shared" si="2"/>
        <v>1</v>
      </c>
      <c r="E171" s="37">
        <f t="shared" si="3"/>
        <v>1</v>
      </c>
      <c r="F171" s="37">
        <f t="shared" si="4"/>
        <v>1</v>
      </c>
      <c r="G171" s="37">
        <f t="shared" si="5"/>
        <v>0</v>
      </c>
      <c r="H171" s="37">
        <f t="shared" si="6"/>
        <v>1</v>
      </c>
      <c r="I171" s="37">
        <f t="shared" si="7"/>
        <v>1</v>
      </c>
      <c r="J171" s="37">
        <f t="shared" si="8"/>
        <v>1</v>
      </c>
      <c r="K171" s="17"/>
    </row>
    <row r="172" spans="1:11" x14ac:dyDescent="0.25">
      <c r="A172" s="4" t="s">
        <v>176</v>
      </c>
      <c r="B172" s="37">
        <f t="shared" si="0"/>
        <v>1</v>
      </c>
      <c r="C172" s="37">
        <f t="shared" si="1"/>
        <v>1</v>
      </c>
      <c r="D172" s="37">
        <f t="shared" si="2"/>
        <v>1</v>
      </c>
      <c r="E172" s="37">
        <f t="shared" si="3"/>
        <v>1</v>
      </c>
      <c r="F172" s="37">
        <f t="shared" si="4"/>
        <v>1</v>
      </c>
      <c r="G172" s="37">
        <f t="shared" si="5"/>
        <v>0</v>
      </c>
      <c r="H172" s="37">
        <f t="shared" si="6"/>
        <v>1</v>
      </c>
      <c r="I172" s="37">
        <f t="shared" si="7"/>
        <v>1</v>
      </c>
      <c r="J172" s="37">
        <f t="shared" si="8"/>
        <v>0</v>
      </c>
      <c r="K172" s="17"/>
    </row>
    <row r="173" spans="1:11" x14ac:dyDescent="0.25">
      <c r="A173" s="4" t="s">
        <v>192</v>
      </c>
      <c r="B173" s="37">
        <f t="shared" si="0"/>
        <v>1</v>
      </c>
      <c r="C173" s="37">
        <f t="shared" si="1"/>
        <v>1</v>
      </c>
      <c r="D173" s="37">
        <f t="shared" si="2"/>
        <v>1</v>
      </c>
      <c r="E173" s="37">
        <f t="shared" si="3"/>
        <v>1</v>
      </c>
      <c r="F173" s="37">
        <f t="shared" si="4"/>
        <v>1</v>
      </c>
      <c r="G173" s="37">
        <f t="shared" si="5"/>
        <v>0</v>
      </c>
      <c r="H173" s="37">
        <f t="shared" si="6"/>
        <v>1</v>
      </c>
      <c r="I173" s="37">
        <f t="shared" si="7"/>
        <v>0</v>
      </c>
      <c r="J173" s="37">
        <f t="shared" si="8"/>
        <v>0</v>
      </c>
      <c r="K173" s="17"/>
    </row>
    <row r="174" spans="1:11" x14ac:dyDescent="0.25">
      <c r="A174" s="4" t="s">
        <v>177</v>
      </c>
      <c r="B174" s="37">
        <f t="shared" si="0"/>
        <v>1</v>
      </c>
      <c r="C174" s="37">
        <f t="shared" si="1"/>
        <v>1</v>
      </c>
      <c r="D174" s="37">
        <f t="shared" si="2"/>
        <v>1</v>
      </c>
      <c r="E174" s="37">
        <f t="shared" si="3"/>
        <v>1</v>
      </c>
      <c r="F174" s="37">
        <f t="shared" si="4"/>
        <v>1</v>
      </c>
      <c r="G174" s="37">
        <f t="shared" si="5"/>
        <v>0</v>
      </c>
      <c r="H174" s="37">
        <f t="shared" si="6"/>
        <v>1</v>
      </c>
      <c r="I174" s="37">
        <f t="shared" si="7"/>
        <v>1</v>
      </c>
      <c r="J174" s="37">
        <f t="shared" si="8"/>
        <v>1</v>
      </c>
      <c r="K174" s="17"/>
    </row>
    <row r="175" spans="1:11" x14ac:dyDescent="0.25">
      <c r="A175" s="4" t="s">
        <v>178</v>
      </c>
      <c r="B175" s="37">
        <f t="shared" si="0"/>
        <v>1</v>
      </c>
      <c r="C175" s="37">
        <f t="shared" si="1"/>
        <v>1</v>
      </c>
      <c r="D175" s="37">
        <f t="shared" si="2"/>
        <v>1</v>
      </c>
      <c r="E175" s="37">
        <f t="shared" si="3"/>
        <v>1</v>
      </c>
      <c r="F175" s="37">
        <f t="shared" si="4"/>
        <v>1</v>
      </c>
      <c r="G175" s="37">
        <f t="shared" si="5"/>
        <v>0</v>
      </c>
      <c r="H175" s="37">
        <f t="shared" si="6"/>
        <v>1</v>
      </c>
      <c r="I175" s="37">
        <f t="shared" si="7"/>
        <v>1</v>
      </c>
      <c r="J175" s="37">
        <f t="shared" si="8"/>
        <v>1</v>
      </c>
      <c r="K175" s="17"/>
    </row>
    <row r="176" spans="1:11" x14ac:dyDescent="0.25">
      <c r="A176" s="4" t="s">
        <v>179</v>
      </c>
      <c r="B176" s="37">
        <f t="shared" si="0"/>
        <v>1</v>
      </c>
      <c r="C176" s="37">
        <f t="shared" si="1"/>
        <v>1</v>
      </c>
      <c r="D176" s="37">
        <f t="shared" si="2"/>
        <v>1</v>
      </c>
      <c r="E176" s="37">
        <f t="shared" si="3"/>
        <v>1</v>
      </c>
      <c r="F176" s="37">
        <f t="shared" si="4"/>
        <v>1</v>
      </c>
      <c r="G176" s="37">
        <f t="shared" si="5"/>
        <v>0</v>
      </c>
      <c r="H176" s="37">
        <f t="shared" si="6"/>
        <v>1</v>
      </c>
      <c r="I176" s="37">
        <f t="shared" si="7"/>
        <v>1</v>
      </c>
      <c r="J176" s="37">
        <f t="shared" si="8"/>
        <v>1</v>
      </c>
      <c r="K176" s="17"/>
    </row>
    <row r="177" spans="1:11" x14ac:dyDescent="0.25">
      <c r="A177" s="4" t="s">
        <v>180</v>
      </c>
      <c r="B177" s="37">
        <f t="shared" si="0"/>
        <v>1</v>
      </c>
      <c r="C177" s="37">
        <f t="shared" si="1"/>
        <v>1</v>
      </c>
      <c r="D177" s="37">
        <f t="shared" si="2"/>
        <v>1</v>
      </c>
      <c r="E177" s="37">
        <f t="shared" si="3"/>
        <v>1</v>
      </c>
      <c r="F177" s="37">
        <f t="shared" si="4"/>
        <v>1</v>
      </c>
      <c r="G177" s="37">
        <f t="shared" si="5"/>
        <v>0</v>
      </c>
      <c r="H177" s="37">
        <f t="shared" si="6"/>
        <v>1</v>
      </c>
      <c r="I177" s="37">
        <f t="shared" si="7"/>
        <v>1</v>
      </c>
      <c r="J177" s="37">
        <f t="shared" si="8"/>
        <v>0</v>
      </c>
      <c r="K177" s="17"/>
    </row>
    <row r="178" spans="1:11" x14ac:dyDescent="0.25">
      <c r="A178" s="4" t="s">
        <v>193</v>
      </c>
      <c r="B178" s="37">
        <f t="shared" si="0"/>
        <v>1</v>
      </c>
      <c r="C178" s="37">
        <f t="shared" si="1"/>
        <v>1</v>
      </c>
      <c r="D178" s="37">
        <f t="shared" si="2"/>
        <v>1</v>
      </c>
      <c r="E178" s="37">
        <f t="shared" si="3"/>
        <v>1</v>
      </c>
      <c r="F178" s="37">
        <f t="shared" si="4"/>
        <v>1</v>
      </c>
      <c r="G178" s="37">
        <f t="shared" si="5"/>
        <v>0</v>
      </c>
      <c r="H178" s="37">
        <f t="shared" si="6"/>
        <v>1</v>
      </c>
      <c r="I178" s="37">
        <f t="shared" si="7"/>
        <v>0</v>
      </c>
      <c r="J178" s="37">
        <f t="shared" si="8"/>
        <v>0</v>
      </c>
      <c r="K178" s="17"/>
    </row>
    <row r="179" spans="1:11" x14ac:dyDescent="0.25">
      <c r="A179" s="4" t="s">
        <v>215</v>
      </c>
      <c r="B179" s="37">
        <f t="shared" si="0"/>
        <v>1</v>
      </c>
      <c r="C179" s="37">
        <f t="shared" si="1"/>
        <v>1</v>
      </c>
      <c r="D179" s="37">
        <f t="shared" si="2"/>
        <v>1</v>
      </c>
      <c r="E179" s="37">
        <f t="shared" si="3"/>
        <v>1</v>
      </c>
      <c r="F179" s="37">
        <f t="shared" si="4"/>
        <v>1</v>
      </c>
      <c r="G179" s="37">
        <f t="shared" si="5"/>
        <v>0</v>
      </c>
      <c r="H179" s="37">
        <f t="shared" si="6"/>
        <v>1</v>
      </c>
      <c r="I179" s="37">
        <f t="shared" si="7"/>
        <v>1</v>
      </c>
      <c r="J179" s="37">
        <f t="shared" si="8"/>
        <v>1</v>
      </c>
      <c r="K179" s="17"/>
    </row>
    <row r="180" spans="1:11" x14ac:dyDescent="0.25">
      <c r="A180" s="4" t="s">
        <v>216</v>
      </c>
      <c r="B180" s="37">
        <f t="shared" si="0"/>
        <v>1</v>
      </c>
      <c r="C180" s="37">
        <f t="shared" si="1"/>
        <v>1</v>
      </c>
      <c r="D180" s="37">
        <f t="shared" si="2"/>
        <v>1</v>
      </c>
      <c r="E180" s="37">
        <f t="shared" si="3"/>
        <v>1</v>
      </c>
      <c r="F180" s="37">
        <f t="shared" si="4"/>
        <v>1</v>
      </c>
      <c r="G180" s="37">
        <f t="shared" si="5"/>
        <v>0</v>
      </c>
      <c r="H180" s="37">
        <f t="shared" si="6"/>
        <v>1</v>
      </c>
      <c r="I180" s="37">
        <f t="shared" si="7"/>
        <v>1</v>
      </c>
      <c r="J180" s="37">
        <f t="shared" si="8"/>
        <v>1</v>
      </c>
      <c r="K180" s="17"/>
    </row>
    <row r="181" spans="1:11" x14ac:dyDescent="0.25">
      <c r="A181" s="4" t="s">
        <v>217</v>
      </c>
      <c r="B181" s="37">
        <f t="shared" si="0"/>
        <v>1</v>
      </c>
      <c r="C181" s="37">
        <f t="shared" si="1"/>
        <v>1</v>
      </c>
      <c r="D181" s="37">
        <f t="shared" si="2"/>
        <v>1</v>
      </c>
      <c r="E181" s="37">
        <f t="shared" si="3"/>
        <v>1</v>
      </c>
      <c r="F181" s="37">
        <f t="shared" si="4"/>
        <v>1</v>
      </c>
      <c r="G181" s="37">
        <f t="shared" si="5"/>
        <v>0</v>
      </c>
      <c r="H181" s="37">
        <f t="shared" si="6"/>
        <v>1</v>
      </c>
      <c r="I181" s="37">
        <f t="shared" si="7"/>
        <v>1</v>
      </c>
      <c r="J181" s="37">
        <f t="shared" si="8"/>
        <v>1</v>
      </c>
      <c r="K181" s="17"/>
    </row>
    <row r="182" spans="1:11" x14ac:dyDescent="0.25">
      <c r="A182" s="4" t="s">
        <v>218</v>
      </c>
      <c r="B182" s="37">
        <f t="shared" si="0"/>
        <v>1</v>
      </c>
      <c r="C182" s="37">
        <f t="shared" si="1"/>
        <v>1</v>
      </c>
      <c r="D182" s="37">
        <f t="shared" si="2"/>
        <v>1</v>
      </c>
      <c r="E182" s="37">
        <f t="shared" si="3"/>
        <v>1</v>
      </c>
      <c r="F182" s="37">
        <f t="shared" si="4"/>
        <v>1</v>
      </c>
      <c r="G182" s="37">
        <f t="shared" si="5"/>
        <v>0</v>
      </c>
      <c r="H182" s="37">
        <f t="shared" si="6"/>
        <v>1</v>
      </c>
      <c r="I182" s="37">
        <f t="shared" si="7"/>
        <v>1</v>
      </c>
      <c r="J182" s="37">
        <f t="shared" si="8"/>
        <v>1</v>
      </c>
      <c r="K182" s="17"/>
    </row>
    <row r="183" spans="1:11" x14ac:dyDescent="0.25">
      <c r="A183" s="4" t="s">
        <v>219</v>
      </c>
      <c r="B183" s="37">
        <f t="shared" si="0"/>
        <v>1</v>
      </c>
      <c r="C183" s="37">
        <f t="shared" si="1"/>
        <v>1</v>
      </c>
      <c r="D183" s="37">
        <f t="shared" si="2"/>
        <v>1</v>
      </c>
      <c r="E183" s="37">
        <f t="shared" si="3"/>
        <v>1</v>
      </c>
      <c r="F183" s="37">
        <f t="shared" si="4"/>
        <v>1</v>
      </c>
      <c r="G183" s="37">
        <f t="shared" si="5"/>
        <v>0</v>
      </c>
      <c r="H183" s="37">
        <f t="shared" si="6"/>
        <v>1</v>
      </c>
      <c r="I183" s="37">
        <f t="shared" si="7"/>
        <v>1</v>
      </c>
      <c r="J183" s="37">
        <f t="shared" si="8"/>
        <v>1</v>
      </c>
      <c r="K183" s="17"/>
    </row>
    <row r="184" spans="1:11" x14ac:dyDescent="0.25">
      <c r="A184" s="4" t="s">
        <v>181</v>
      </c>
      <c r="B184" s="37">
        <f t="shared" si="0"/>
        <v>1</v>
      </c>
      <c r="C184" s="37">
        <f t="shared" si="1"/>
        <v>1</v>
      </c>
      <c r="D184" s="37">
        <f t="shared" si="2"/>
        <v>1</v>
      </c>
      <c r="E184" s="37">
        <f t="shared" si="3"/>
        <v>1</v>
      </c>
      <c r="F184" s="37">
        <f t="shared" si="4"/>
        <v>1</v>
      </c>
      <c r="G184" s="37">
        <f t="shared" si="5"/>
        <v>0</v>
      </c>
      <c r="H184" s="37">
        <f t="shared" si="6"/>
        <v>1</v>
      </c>
      <c r="I184" s="37">
        <f t="shared" si="7"/>
        <v>1</v>
      </c>
      <c r="J184" s="37">
        <f t="shared" si="8"/>
        <v>0</v>
      </c>
      <c r="K184" s="17"/>
    </row>
    <row r="185" spans="1:11" x14ac:dyDescent="0.25">
      <c r="A185" s="4" t="s">
        <v>182</v>
      </c>
      <c r="B185" s="37">
        <f t="shared" si="0"/>
        <v>1</v>
      </c>
      <c r="C185" s="37">
        <f t="shared" si="1"/>
        <v>1</v>
      </c>
      <c r="D185" s="37">
        <f t="shared" si="2"/>
        <v>1</v>
      </c>
      <c r="E185" s="37">
        <f t="shared" si="3"/>
        <v>1</v>
      </c>
      <c r="F185" s="37">
        <f t="shared" si="4"/>
        <v>1</v>
      </c>
      <c r="G185" s="37">
        <f t="shared" si="5"/>
        <v>0</v>
      </c>
      <c r="H185" s="37">
        <f t="shared" si="6"/>
        <v>1</v>
      </c>
      <c r="I185" s="37">
        <f t="shared" si="7"/>
        <v>0</v>
      </c>
      <c r="J185" s="37">
        <f t="shared" si="8"/>
        <v>0</v>
      </c>
      <c r="K185" s="17"/>
    </row>
    <row r="186" spans="1:11" x14ac:dyDescent="0.25">
      <c r="A186" s="4" t="s">
        <v>183</v>
      </c>
      <c r="B186" s="37">
        <f t="shared" si="0"/>
        <v>1</v>
      </c>
      <c r="C186" s="37">
        <f t="shared" si="1"/>
        <v>1</v>
      </c>
      <c r="D186" s="37">
        <f t="shared" si="2"/>
        <v>1</v>
      </c>
      <c r="E186" s="37">
        <f t="shared" si="3"/>
        <v>1</v>
      </c>
      <c r="F186" s="37">
        <f t="shared" si="4"/>
        <v>1</v>
      </c>
      <c r="G186" s="37">
        <f t="shared" si="5"/>
        <v>0</v>
      </c>
      <c r="H186" s="37">
        <f t="shared" si="6"/>
        <v>1</v>
      </c>
      <c r="I186" s="37">
        <f t="shared" si="7"/>
        <v>1</v>
      </c>
      <c r="J186" s="37">
        <f t="shared" si="8"/>
        <v>0</v>
      </c>
      <c r="K186" s="17"/>
    </row>
    <row r="187" spans="1:11" x14ac:dyDescent="0.25">
      <c r="A187" s="4" t="s">
        <v>184</v>
      </c>
      <c r="B187" s="37">
        <f t="shared" si="0"/>
        <v>1</v>
      </c>
      <c r="C187" s="37">
        <f t="shared" si="1"/>
        <v>1</v>
      </c>
      <c r="D187" s="37">
        <f t="shared" si="2"/>
        <v>1</v>
      </c>
      <c r="E187" s="37">
        <f t="shared" si="3"/>
        <v>1</v>
      </c>
      <c r="F187" s="37">
        <f t="shared" si="4"/>
        <v>1</v>
      </c>
      <c r="G187" s="37">
        <f t="shared" si="5"/>
        <v>0</v>
      </c>
      <c r="H187" s="37">
        <f t="shared" si="6"/>
        <v>1</v>
      </c>
      <c r="I187" s="37">
        <f t="shared" si="7"/>
        <v>1</v>
      </c>
      <c r="J187" s="37">
        <f t="shared" si="8"/>
        <v>0</v>
      </c>
      <c r="K187" s="17"/>
    </row>
    <row r="188" spans="1:11" x14ac:dyDescent="0.25">
      <c r="A188" s="4" t="s">
        <v>185</v>
      </c>
      <c r="B188" s="37">
        <f t="shared" si="0"/>
        <v>1</v>
      </c>
      <c r="C188" s="37">
        <f t="shared" si="1"/>
        <v>1</v>
      </c>
      <c r="D188" s="37">
        <f t="shared" si="2"/>
        <v>1</v>
      </c>
      <c r="E188" s="37">
        <f t="shared" si="3"/>
        <v>1</v>
      </c>
      <c r="F188" s="37">
        <f t="shared" si="4"/>
        <v>1</v>
      </c>
      <c r="G188" s="37">
        <f t="shared" si="5"/>
        <v>0</v>
      </c>
      <c r="H188" s="37">
        <f t="shared" si="6"/>
        <v>1</v>
      </c>
      <c r="I188" s="37">
        <f t="shared" si="7"/>
        <v>0</v>
      </c>
      <c r="J188" s="37">
        <f t="shared" si="8"/>
        <v>0</v>
      </c>
      <c r="K188" s="17"/>
    </row>
    <row r="189" spans="1:11" x14ac:dyDescent="0.25">
      <c r="A189" s="4" t="s">
        <v>186</v>
      </c>
      <c r="B189" s="37">
        <f t="shared" si="0"/>
        <v>1</v>
      </c>
      <c r="C189" s="37">
        <f t="shared" si="1"/>
        <v>1</v>
      </c>
      <c r="D189" s="37">
        <f t="shared" si="2"/>
        <v>1</v>
      </c>
      <c r="E189" s="37">
        <f t="shared" si="3"/>
        <v>1</v>
      </c>
      <c r="F189" s="37">
        <f t="shared" si="4"/>
        <v>1</v>
      </c>
      <c r="G189" s="37">
        <f t="shared" si="5"/>
        <v>0</v>
      </c>
      <c r="H189" s="37">
        <f t="shared" si="6"/>
        <v>1</v>
      </c>
      <c r="I189" s="37">
        <f t="shared" si="7"/>
        <v>0</v>
      </c>
      <c r="J189" s="37">
        <f t="shared" si="8"/>
        <v>0</v>
      </c>
      <c r="K189" s="17"/>
    </row>
    <row r="190" spans="1:11" x14ac:dyDescent="0.25">
      <c r="A190" s="4" t="s">
        <v>194</v>
      </c>
      <c r="B190" s="37">
        <f t="shared" si="0"/>
        <v>1</v>
      </c>
      <c r="C190" s="37">
        <f t="shared" si="1"/>
        <v>1</v>
      </c>
      <c r="D190" s="37">
        <f t="shared" si="2"/>
        <v>1</v>
      </c>
      <c r="E190" s="37">
        <f t="shared" si="3"/>
        <v>1</v>
      </c>
      <c r="F190" s="37">
        <f t="shared" si="4"/>
        <v>1</v>
      </c>
      <c r="G190" s="37">
        <f t="shared" si="5"/>
        <v>0</v>
      </c>
      <c r="H190" s="37">
        <f t="shared" si="6"/>
        <v>0</v>
      </c>
      <c r="I190" s="37">
        <f t="shared" si="7"/>
        <v>0</v>
      </c>
      <c r="J190" s="37">
        <f t="shared" si="8"/>
        <v>0</v>
      </c>
      <c r="K190" s="17"/>
    </row>
    <row r="191" spans="1:11" x14ac:dyDescent="0.25">
      <c r="A191" s="4" t="s">
        <v>195</v>
      </c>
      <c r="B191" s="37">
        <f t="shared" si="0"/>
        <v>1</v>
      </c>
      <c r="C191" s="37">
        <f t="shared" si="1"/>
        <v>1</v>
      </c>
      <c r="D191" s="37">
        <f t="shared" si="2"/>
        <v>1</v>
      </c>
      <c r="E191" s="37">
        <f t="shared" si="3"/>
        <v>1</v>
      </c>
      <c r="F191" s="37">
        <f t="shared" si="4"/>
        <v>1</v>
      </c>
      <c r="G191" s="37">
        <f t="shared" si="5"/>
        <v>0</v>
      </c>
      <c r="H191" s="37">
        <f t="shared" si="6"/>
        <v>0</v>
      </c>
      <c r="I191" s="37">
        <f t="shared" si="7"/>
        <v>0</v>
      </c>
      <c r="J191" s="37">
        <f t="shared" si="8"/>
        <v>0</v>
      </c>
      <c r="K191" s="17"/>
    </row>
    <row r="193" spans="1:11" ht="21" customHeight="1" x14ac:dyDescent="0.3">
      <c r="A193" s="1" t="s">
        <v>389</v>
      </c>
    </row>
    <row r="194" spans="1:11" x14ac:dyDescent="0.25">
      <c r="A194" s="2" t="s">
        <v>350</v>
      </c>
    </row>
    <row r="195" spans="1:11" x14ac:dyDescent="0.25">
      <c r="A195" s="2" t="s">
        <v>390</v>
      </c>
    </row>
    <row r="196" spans="1:11" x14ac:dyDescent="0.25">
      <c r="A196" s="2" t="s">
        <v>391</v>
      </c>
    </row>
    <row r="197" spans="1:11" x14ac:dyDescent="0.25">
      <c r="A197" s="32" t="s">
        <v>392</v>
      </c>
    </row>
    <row r="198" spans="1:11" x14ac:dyDescent="0.25">
      <c r="A198" s="2" t="s">
        <v>393</v>
      </c>
    </row>
    <row r="200" spans="1:11" x14ac:dyDescent="0.25">
      <c r="B200" s="15" t="s">
        <v>139</v>
      </c>
      <c r="C200" s="15" t="s">
        <v>140</v>
      </c>
      <c r="D200" s="15" t="s">
        <v>141</v>
      </c>
      <c r="E200" s="15" t="s">
        <v>142</v>
      </c>
      <c r="F200" s="15" t="s">
        <v>143</v>
      </c>
      <c r="G200" s="15" t="s">
        <v>148</v>
      </c>
      <c r="H200" s="15" t="s">
        <v>144</v>
      </c>
      <c r="I200" s="15" t="s">
        <v>145</v>
      </c>
      <c r="J200" s="15" t="s">
        <v>146</v>
      </c>
    </row>
    <row r="201" spans="1:11" x14ac:dyDescent="0.25">
      <c r="A201" s="4" t="s">
        <v>171</v>
      </c>
      <c r="B201" s="38">
        <f t="shared" ref="B201:J201" si="9">B165</f>
        <v>1</v>
      </c>
      <c r="C201" s="38">
        <f t="shared" si="9"/>
        <v>1</v>
      </c>
      <c r="D201" s="38">
        <f t="shared" si="9"/>
        <v>1</v>
      </c>
      <c r="E201" s="38">
        <f t="shared" si="9"/>
        <v>1</v>
      </c>
      <c r="F201" s="38">
        <f t="shared" si="9"/>
        <v>1</v>
      </c>
      <c r="G201" s="38">
        <f t="shared" si="9"/>
        <v>0</v>
      </c>
      <c r="H201" s="38">
        <f t="shared" si="9"/>
        <v>1</v>
      </c>
      <c r="I201" s="38">
        <f t="shared" si="9"/>
        <v>1</v>
      </c>
      <c r="J201" s="38">
        <f t="shared" si="9"/>
        <v>1</v>
      </c>
      <c r="K201" s="17"/>
    </row>
    <row r="202" spans="1:11" x14ac:dyDescent="0.25">
      <c r="A202" s="4" t="s">
        <v>172</v>
      </c>
      <c r="B202" s="38">
        <f t="shared" ref="B202:J202" si="10">B166</f>
        <v>1</v>
      </c>
      <c r="C202" s="38">
        <f t="shared" si="10"/>
        <v>1</v>
      </c>
      <c r="D202" s="38">
        <f t="shared" si="10"/>
        <v>1</v>
      </c>
      <c r="E202" s="38">
        <f t="shared" si="10"/>
        <v>1</v>
      </c>
      <c r="F202" s="38">
        <f t="shared" si="10"/>
        <v>1</v>
      </c>
      <c r="G202" s="38">
        <f t="shared" si="10"/>
        <v>0</v>
      </c>
      <c r="H202" s="38">
        <f t="shared" si="10"/>
        <v>1</v>
      </c>
      <c r="I202" s="38">
        <f t="shared" si="10"/>
        <v>1</v>
      </c>
      <c r="J202" s="38">
        <f t="shared" si="10"/>
        <v>1</v>
      </c>
      <c r="K202" s="17"/>
    </row>
    <row r="203" spans="1:11" x14ac:dyDescent="0.25">
      <c r="A203" s="4" t="s">
        <v>213</v>
      </c>
      <c r="B203" s="38">
        <f t="shared" ref="B203:J203" si="11">B167</f>
        <v>1</v>
      </c>
      <c r="C203" s="38">
        <f t="shared" si="11"/>
        <v>1</v>
      </c>
      <c r="D203" s="38">
        <f t="shared" si="11"/>
        <v>1</v>
      </c>
      <c r="E203" s="38">
        <f t="shared" si="11"/>
        <v>1</v>
      </c>
      <c r="F203" s="38">
        <f t="shared" si="11"/>
        <v>1</v>
      </c>
      <c r="G203" s="38">
        <f t="shared" si="11"/>
        <v>0</v>
      </c>
      <c r="H203" s="38">
        <f t="shared" si="11"/>
        <v>1</v>
      </c>
      <c r="I203" s="38">
        <f t="shared" si="11"/>
        <v>1</v>
      </c>
      <c r="J203" s="38">
        <f t="shared" si="11"/>
        <v>1</v>
      </c>
      <c r="K203" s="17"/>
    </row>
    <row r="204" spans="1:11" x14ac:dyDescent="0.25">
      <c r="A204" s="4" t="s">
        <v>173</v>
      </c>
      <c r="B204" s="38">
        <f t="shared" ref="B204:J204" si="12">B168</f>
        <v>1</v>
      </c>
      <c r="C204" s="38">
        <f t="shared" si="12"/>
        <v>1</v>
      </c>
      <c r="D204" s="38">
        <f t="shared" si="12"/>
        <v>1</v>
      </c>
      <c r="E204" s="38">
        <f t="shared" si="12"/>
        <v>1</v>
      </c>
      <c r="F204" s="38">
        <f t="shared" si="12"/>
        <v>1</v>
      </c>
      <c r="G204" s="38">
        <f t="shared" si="12"/>
        <v>0</v>
      </c>
      <c r="H204" s="38">
        <f t="shared" si="12"/>
        <v>1</v>
      </c>
      <c r="I204" s="38">
        <f t="shared" si="12"/>
        <v>1</v>
      </c>
      <c r="J204" s="38">
        <f t="shared" si="12"/>
        <v>1</v>
      </c>
      <c r="K204" s="17"/>
    </row>
    <row r="205" spans="1:11" x14ac:dyDescent="0.25">
      <c r="A205" s="4" t="s">
        <v>174</v>
      </c>
      <c r="B205" s="38">
        <f t="shared" ref="B205:J205" si="13">B169</f>
        <v>1</v>
      </c>
      <c r="C205" s="38">
        <f t="shared" si="13"/>
        <v>1</v>
      </c>
      <c r="D205" s="38">
        <f t="shared" si="13"/>
        <v>1</v>
      </c>
      <c r="E205" s="38">
        <f t="shared" si="13"/>
        <v>1</v>
      </c>
      <c r="F205" s="38">
        <f t="shared" si="13"/>
        <v>1</v>
      </c>
      <c r="G205" s="38">
        <f t="shared" si="13"/>
        <v>0</v>
      </c>
      <c r="H205" s="38">
        <f t="shared" si="13"/>
        <v>1</v>
      </c>
      <c r="I205" s="38">
        <f t="shared" si="13"/>
        <v>1</v>
      </c>
      <c r="J205" s="38">
        <f t="shared" si="13"/>
        <v>1</v>
      </c>
      <c r="K205" s="17"/>
    </row>
    <row r="206" spans="1:11" x14ac:dyDescent="0.25">
      <c r="A206" s="4" t="s">
        <v>214</v>
      </c>
      <c r="B206" s="38">
        <f t="shared" ref="B206:J206" si="14">B170</f>
        <v>1</v>
      </c>
      <c r="C206" s="38">
        <f t="shared" si="14"/>
        <v>1</v>
      </c>
      <c r="D206" s="38">
        <f t="shared" si="14"/>
        <v>1</v>
      </c>
      <c r="E206" s="38">
        <f t="shared" si="14"/>
        <v>1</v>
      </c>
      <c r="F206" s="38">
        <f t="shared" si="14"/>
        <v>1</v>
      </c>
      <c r="G206" s="38">
        <f t="shared" si="14"/>
        <v>0</v>
      </c>
      <c r="H206" s="38">
        <f t="shared" si="14"/>
        <v>1</v>
      </c>
      <c r="I206" s="38">
        <f t="shared" si="14"/>
        <v>1</v>
      </c>
      <c r="J206" s="38">
        <f t="shared" si="14"/>
        <v>1</v>
      </c>
      <c r="K206" s="17"/>
    </row>
    <row r="207" spans="1:11" x14ac:dyDescent="0.25">
      <c r="A207" s="4" t="s">
        <v>175</v>
      </c>
      <c r="B207" s="38">
        <f t="shared" ref="B207:J207" si="15">B171</f>
        <v>1</v>
      </c>
      <c r="C207" s="38">
        <f t="shared" si="15"/>
        <v>1</v>
      </c>
      <c r="D207" s="38">
        <f t="shared" si="15"/>
        <v>1</v>
      </c>
      <c r="E207" s="38">
        <f t="shared" si="15"/>
        <v>1</v>
      </c>
      <c r="F207" s="38">
        <f t="shared" si="15"/>
        <v>1</v>
      </c>
      <c r="G207" s="38">
        <f t="shared" si="15"/>
        <v>0</v>
      </c>
      <c r="H207" s="38">
        <f t="shared" si="15"/>
        <v>1</v>
      </c>
      <c r="I207" s="38">
        <f t="shared" si="15"/>
        <v>1</v>
      </c>
      <c r="J207" s="38">
        <f t="shared" si="15"/>
        <v>1</v>
      </c>
      <c r="K207" s="17"/>
    </row>
    <row r="208" spans="1:11" x14ac:dyDescent="0.25">
      <c r="A208" s="4" t="s">
        <v>176</v>
      </c>
      <c r="B208" s="38">
        <f t="shared" ref="B208:J208" si="16">B172</f>
        <v>1</v>
      </c>
      <c r="C208" s="38">
        <f t="shared" si="16"/>
        <v>1</v>
      </c>
      <c r="D208" s="38">
        <f t="shared" si="16"/>
        <v>1</v>
      </c>
      <c r="E208" s="38">
        <f t="shared" si="16"/>
        <v>1</v>
      </c>
      <c r="F208" s="38">
        <f t="shared" si="16"/>
        <v>1</v>
      </c>
      <c r="G208" s="38">
        <f t="shared" si="16"/>
        <v>0</v>
      </c>
      <c r="H208" s="38">
        <f t="shared" si="16"/>
        <v>1</v>
      </c>
      <c r="I208" s="38">
        <f t="shared" si="16"/>
        <v>1</v>
      </c>
      <c r="J208" s="38">
        <f t="shared" si="16"/>
        <v>0</v>
      </c>
      <c r="K208" s="17"/>
    </row>
    <row r="209" spans="1:11" x14ac:dyDescent="0.25">
      <c r="A209" s="4" t="s">
        <v>192</v>
      </c>
      <c r="B209" s="38">
        <f t="shared" ref="B209:J209" si="17">B173</f>
        <v>1</v>
      </c>
      <c r="C209" s="38">
        <f t="shared" si="17"/>
        <v>1</v>
      </c>
      <c r="D209" s="38">
        <f t="shared" si="17"/>
        <v>1</v>
      </c>
      <c r="E209" s="38">
        <f t="shared" si="17"/>
        <v>1</v>
      </c>
      <c r="F209" s="38">
        <f t="shared" si="17"/>
        <v>1</v>
      </c>
      <c r="G209" s="38">
        <f t="shared" si="17"/>
        <v>0</v>
      </c>
      <c r="H209" s="38">
        <f t="shared" si="17"/>
        <v>1</v>
      </c>
      <c r="I209" s="38">
        <f t="shared" si="17"/>
        <v>0</v>
      </c>
      <c r="J209" s="38">
        <f t="shared" si="17"/>
        <v>0</v>
      </c>
      <c r="K209" s="17"/>
    </row>
    <row r="210" spans="1:11" x14ac:dyDescent="0.25">
      <c r="A210" s="4" t="s">
        <v>177</v>
      </c>
      <c r="B210" s="38">
        <f t="shared" ref="B210:J210" si="18">B174</f>
        <v>1</v>
      </c>
      <c r="C210" s="38">
        <f t="shared" si="18"/>
        <v>1</v>
      </c>
      <c r="D210" s="38">
        <f t="shared" si="18"/>
        <v>1</v>
      </c>
      <c r="E210" s="38">
        <f t="shared" si="18"/>
        <v>1</v>
      </c>
      <c r="F210" s="38">
        <f t="shared" si="18"/>
        <v>1</v>
      </c>
      <c r="G210" s="38">
        <f t="shared" si="18"/>
        <v>0</v>
      </c>
      <c r="H210" s="38">
        <f t="shared" si="18"/>
        <v>1</v>
      </c>
      <c r="I210" s="38">
        <f t="shared" si="18"/>
        <v>1</v>
      </c>
      <c r="J210" s="38">
        <f t="shared" si="18"/>
        <v>1</v>
      </c>
      <c r="K210" s="17"/>
    </row>
    <row r="211" spans="1:11" x14ac:dyDescent="0.25">
      <c r="A211" s="4" t="s">
        <v>178</v>
      </c>
      <c r="B211" s="38">
        <f t="shared" ref="B211:J211" si="19">B175</f>
        <v>1</v>
      </c>
      <c r="C211" s="38">
        <f t="shared" si="19"/>
        <v>1</v>
      </c>
      <c r="D211" s="38">
        <f t="shared" si="19"/>
        <v>1</v>
      </c>
      <c r="E211" s="38">
        <f t="shared" si="19"/>
        <v>1</v>
      </c>
      <c r="F211" s="38">
        <f t="shared" si="19"/>
        <v>1</v>
      </c>
      <c r="G211" s="38">
        <f t="shared" si="19"/>
        <v>0</v>
      </c>
      <c r="H211" s="38">
        <f t="shared" si="19"/>
        <v>1</v>
      </c>
      <c r="I211" s="38">
        <f t="shared" si="19"/>
        <v>1</v>
      </c>
      <c r="J211" s="38">
        <f t="shared" si="19"/>
        <v>1</v>
      </c>
      <c r="K211" s="17"/>
    </row>
    <row r="212" spans="1:11" x14ac:dyDescent="0.25">
      <c r="A212" s="4" t="s">
        <v>179</v>
      </c>
      <c r="B212" s="38">
        <f t="shared" ref="B212:J212" si="20">B176</f>
        <v>1</v>
      </c>
      <c r="C212" s="38">
        <f t="shared" si="20"/>
        <v>1</v>
      </c>
      <c r="D212" s="38">
        <f t="shared" si="20"/>
        <v>1</v>
      </c>
      <c r="E212" s="38">
        <f t="shared" si="20"/>
        <v>1</v>
      </c>
      <c r="F212" s="38">
        <f t="shared" si="20"/>
        <v>1</v>
      </c>
      <c r="G212" s="38">
        <f t="shared" si="20"/>
        <v>0</v>
      </c>
      <c r="H212" s="38">
        <f t="shared" si="20"/>
        <v>1</v>
      </c>
      <c r="I212" s="38">
        <f t="shared" si="20"/>
        <v>1</v>
      </c>
      <c r="J212" s="38">
        <f t="shared" si="20"/>
        <v>1</v>
      </c>
      <c r="K212" s="17"/>
    </row>
    <row r="213" spans="1:11" x14ac:dyDescent="0.25">
      <c r="A213" s="4" t="s">
        <v>180</v>
      </c>
      <c r="B213" s="38">
        <f t="shared" ref="B213:J213" si="21">B177</f>
        <v>1</v>
      </c>
      <c r="C213" s="38">
        <f t="shared" si="21"/>
        <v>1</v>
      </c>
      <c r="D213" s="38">
        <f t="shared" si="21"/>
        <v>1</v>
      </c>
      <c r="E213" s="38">
        <f t="shared" si="21"/>
        <v>1</v>
      </c>
      <c r="F213" s="38">
        <f t="shared" si="21"/>
        <v>1</v>
      </c>
      <c r="G213" s="38">
        <f t="shared" si="21"/>
        <v>0</v>
      </c>
      <c r="H213" s="38">
        <f t="shared" si="21"/>
        <v>1</v>
      </c>
      <c r="I213" s="38">
        <f t="shared" si="21"/>
        <v>1</v>
      </c>
      <c r="J213" s="38">
        <f t="shared" si="21"/>
        <v>0</v>
      </c>
      <c r="K213" s="17"/>
    </row>
    <row r="214" spans="1:11" x14ac:dyDescent="0.25">
      <c r="A214" s="4" t="s">
        <v>193</v>
      </c>
      <c r="B214" s="38">
        <f t="shared" ref="B214:J214" si="22">B178</f>
        <v>1</v>
      </c>
      <c r="C214" s="38">
        <f t="shared" si="22"/>
        <v>1</v>
      </c>
      <c r="D214" s="38">
        <f t="shared" si="22"/>
        <v>1</v>
      </c>
      <c r="E214" s="38">
        <f t="shared" si="22"/>
        <v>1</v>
      </c>
      <c r="F214" s="38">
        <f t="shared" si="22"/>
        <v>1</v>
      </c>
      <c r="G214" s="38">
        <f t="shared" si="22"/>
        <v>0</v>
      </c>
      <c r="H214" s="38">
        <f t="shared" si="22"/>
        <v>1</v>
      </c>
      <c r="I214" s="38">
        <f t="shared" si="22"/>
        <v>0</v>
      </c>
      <c r="J214" s="38">
        <f t="shared" si="22"/>
        <v>0</v>
      </c>
      <c r="K214" s="17"/>
    </row>
    <row r="215" spans="1:11" x14ac:dyDescent="0.25">
      <c r="A215" s="4" t="s">
        <v>215</v>
      </c>
      <c r="B215" s="38">
        <f t="shared" ref="B215:J215" si="23">B179</f>
        <v>1</v>
      </c>
      <c r="C215" s="38">
        <f t="shared" si="23"/>
        <v>1</v>
      </c>
      <c r="D215" s="38">
        <f t="shared" si="23"/>
        <v>1</v>
      </c>
      <c r="E215" s="38">
        <f t="shared" si="23"/>
        <v>1</v>
      </c>
      <c r="F215" s="38">
        <f t="shared" si="23"/>
        <v>1</v>
      </c>
      <c r="G215" s="38">
        <f t="shared" si="23"/>
        <v>0</v>
      </c>
      <c r="H215" s="38">
        <f t="shared" si="23"/>
        <v>1</v>
      </c>
      <c r="I215" s="38">
        <f t="shared" si="23"/>
        <v>1</v>
      </c>
      <c r="J215" s="38">
        <f t="shared" si="23"/>
        <v>1</v>
      </c>
      <c r="K215" s="17"/>
    </row>
    <row r="216" spans="1:11" x14ac:dyDescent="0.25">
      <c r="A216" s="4" t="s">
        <v>216</v>
      </c>
      <c r="B216" s="38">
        <f t="shared" ref="B216:J216" si="24">B180</f>
        <v>1</v>
      </c>
      <c r="C216" s="38">
        <f t="shared" si="24"/>
        <v>1</v>
      </c>
      <c r="D216" s="38">
        <f t="shared" si="24"/>
        <v>1</v>
      </c>
      <c r="E216" s="38">
        <f t="shared" si="24"/>
        <v>1</v>
      </c>
      <c r="F216" s="38">
        <f t="shared" si="24"/>
        <v>1</v>
      </c>
      <c r="G216" s="38">
        <f t="shared" si="24"/>
        <v>0</v>
      </c>
      <c r="H216" s="38">
        <f t="shared" si="24"/>
        <v>1</v>
      </c>
      <c r="I216" s="38">
        <f t="shared" si="24"/>
        <v>1</v>
      </c>
      <c r="J216" s="38">
        <f t="shared" si="24"/>
        <v>1</v>
      </c>
      <c r="K216" s="17"/>
    </row>
    <row r="217" spans="1:11" x14ac:dyDescent="0.25">
      <c r="A217" s="4" t="s">
        <v>217</v>
      </c>
      <c r="B217" s="38">
        <f t="shared" ref="B217:J217" si="25">B181</f>
        <v>1</v>
      </c>
      <c r="C217" s="38">
        <f t="shared" si="25"/>
        <v>1</v>
      </c>
      <c r="D217" s="38">
        <f t="shared" si="25"/>
        <v>1</v>
      </c>
      <c r="E217" s="38">
        <f t="shared" si="25"/>
        <v>1</v>
      </c>
      <c r="F217" s="38">
        <f t="shared" si="25"/>
        <v>1</v>
      </c>
      <c r="G217" s="38">
        <f t="shared" si="25"/>
        <v>0</v>
      </c>
      <c r="H217" s="38">
        <f t="shared" si="25"/>
        <v>1</v>
      </c>
      <c r="I217" s="38">
        <f t="shared" si="25"/>
        <v>1</v>
      </c>
      <c r="J217" s="38">
        <f t="shared" si="25"/>
        <v>1</v>
      </c>
      <c r="K217" s="17"/>
    </row>
    <row r="218" spans="1:11" x14ac:dyDescent="0.25">
      <c r="A218" s="4" t="s">
        <v>218</v>
      </c>
      <c r="B218" s="38">
        <f t="shared" ref="B218:J218" si="26">B182</f>
        <v>1</v>
      </c>
      <c r="C218" s="38">
        <f t="shared" si="26"/>
        <v>1</v>
      </c>
      <c r="D218" s="38">
        <f t="shared" si="26"/>
        <v>1</v>
      </c>
      <c r="E218" s="38">
        <f t="shared" si="26"/>
        <v>1</v>
      </c>
      <c r="F218" s="38">
        <f t="shared" si="26"/>
        <v>1</v>
      </c>
      <c r="G218" s="38">
        <f t="shared" si="26"/>
        <v>0</v>
      </c>
      <c r="H218" s="38">
        <f t="shared" si="26"/>
        <v>1</v>
      </c>
      <c r="I218" s="38">
        <f t="shared" si="26"/>
        <v>1</v>
      </c>
      <c r="J218" s="38">
        <f t="shared" si="26"/>
        <v>1</v>
      </c>
      <c r="K218" s="17"/>
    </row>
    <row r="219" spans="1:11" x14ac:dyDescent="0.25">
      <c r="A219" s="4" t="s">
        <v>219</v>
      </c>
      <c r="B219" s="38">
        <f t="shared" ref="B219:J219" si="27">B183</f>
        <v>1</v>
      </c>
      <c r="C219" s="38">
        <f t="shared" si="27"/>
        <v>1</v>
      </c>
      <c r="D219" s="38">
        <f t="shared" si="27"/>
        <v>1</v>
      </c>
      <c r="E219" s="38">
        <f t="shared" si="27"/>
        <v>1</v>
      </c>
      <c r="F219" s="38">
        <f t="shared" si="27"/>
        <v>1</v>
      </c>
      <c r="G219" s="38">
        <f t="shared" si="27"/>
        <v>0</v>
      </c>
      <c r="H219" s="38">
        <f t="shared" si="27"/>
        <v>1</v>
      </c>
      <c r="I219" s="38">
        <f t="shared" si="27"/>
        <v>1</v>
      </c>
      <c r="J219" s="38">
        <f t="shared" si="27"/>
        <v>1</v>
      </c>
      <c r="K219" s="17"/>
    </row>
    <row r="220" spans="1:11" x14ac:dyDescent="0.25">
      <c r="A220" s="4" t="s">
        <v>181</v>
      </c>
      <c r="B220" s="38">
        <f t="shared" ref="B220:J220" si="28">B184</f>
        <v>1</v>
      </c>
      <c r="C220" s="38">
        <f t="shared" si="28"/>
        <v>1</v>
      </c>
      <c r="D220" s="38">
        <f t="shared" si="28"/>
        <v>1</v>
      </c>
      <c r="E220" s="38">
        <f t="shared" si="28"/>
        <v>1</v>
      </c>
      <c r="F220" s="38">
        <f t="shared" si="28"/>
        <v>1</v>
      </c>
      <c r="G220" s="38">
        <f t="shared" si="28"/>
        <v>0</v>
      </c>
      <c r="H220" s="38">
        <f t="shared" si="28"/>
        <v>1</v>
      </c>
      <c r="I220" s="38">
        <f t="shared" si="28"/>
        <v>1</v>
      </c>
      <c r="J220" s="38">
        <f t="shared" si="28"/>
        <v>0</v>
      </c>
      <c r="K220" s="17"/>
    </row>
    <row r="221" spans="1:11" x14ac:dyDescent="0.25">
      <c r="A221" s="4" t="s">
        <v>182</v>
      </c>
      <c r="B221" s="38">
        <f t="shared" ref="B221:J221" si="29">B185</f>
        <v>1</v>
      </c>
      <c r="C221" s="38">
        <f t="shared" si="29"/>
        <v>1</v>
      </c>
      <c r="D221" s="38">
        <f t="shared" si="29"/>
        <v>1</v>
      </c>
      <c r="E221" s="38">
        <f t="shared" si="29"/>
        <v>1</v>
      </c>
      <c r="F221" s="38">
        <f t="shared" si="29"/>
        <v>1</v>
      </c>
      <c r="G221" s="38">
        <f t="shared" si="29"/>
        <v>0</v>
      </c>
      <c r="H221" s="38">
        <f t="shared" si="29"/>
        <v>1</v>
      </c>
      <c r="I221" s="38">
        <f t="shared" si="29"/>
        <v>0</v>
      </c>
      <c r="J221" s="38">
        <f t="shared" si="29"/>
        <v>0</v>
      </c>
      <c r="K221" s="17"/>
    </row>
    <row r="222" spans="1:11" x14ac:dyDescent="0.25">
      <c r="A222" s="4" t="s">
        <v>183</v>
      </c>
      <c r="B222" s="38">
        <f t="shared" ref="B222:J222" si="30">B186</f>
        <v>1</v>
      </c>
      <c r="C222" s="38">
        <f t="shared" si="30"/>
        <v>1</v>
      </c>
      <c r="D222" s="38">
        <f t="shared" si="30"/>
        <v>1</v>
      </c>
      <c r="E222" s="38">
        <f t="shared" si="30"/>
        <v>1</v>
      </c>
      <c r="F222" s="38">
        <f t="shared" si="30"/>
        <v>1</v>
      </c>
      <c r="G222" s="38">
        <f t="shared" si="30"/>
        <v>0</v>
      </c>
      <c r="H222" s="38">
        <f t="shared" si="30"/>
        <v>1</v>
      </c>
      <c r="I222" s="38">
        <f t="shared" si="30"/>
        <v>1</v>
      </c>
      <c r="J222" s="38">
        <f t="shared" si="30"/>
        <v>0</v>
      </c>
      <c r="K222" s="17"/>
    </row>
    <row r="223" spans="1:11" x14ac:dyDescent="0.25">
      <c r="A223" s="4" t="s">
        <v>184</v>
      </c>
      <c r="B223" s="38">
        <f t="shared" ref="B223:J223" si="31">B187</f>
        <v>1</v>
      </c>
      <c r="C223" s="38">
        <f t="shared" si="31"/>
        <v>1</v>
      </c>
      <c r="D223" s="38">
        <f t="shared" si="31"/>
        <v>1</v>
      </c>
      <c r="E223" s="38">
        <f t="shared" si="31"/>
        <v>1</v>
      </c>
      <c r="F223" s="38">
        <f t="shared" si="31"/>
        <v>1</v>
      </c>
      <c r="G223" s="38">
        <f t="shared" si="31"/>
        <v>0</v>
      </c>
      <c r="H223" s="38">
        <f t="shared" si="31"/>
        <v>1</v>
      </c>
      <c r="I223" s="38">
        <f t="shared" si="31"/>
        <v>1</v>
      </c>
      <c r="J223" s="38">
        <f t="shared" si="31"/>
        <v>0</v>
      </c>
      <c r="K223" s="17"/>
    </row>
    <row r="224" spans="1:11" x14ac:dyDescent="0.25">
      <c r="A224" s="4" t="s">
        <v>185</v>
      </c>
      <c r="B224" s="38">
        <f t="shared" ref="B224:J224" si="32">B188</f>
        <v>1</v>
      </c>
      <c r="C224" s="38">
        <f t="shared" si="32"/>
        <v>1</v>
      </c>
      <c r="D224" s="38">
        <f t="shared" si="32"/>
        <v>1</v>
      </c>
      <c r="E224" s="38">
        <f t="shared" si="32"/>
        <v>1</v>
      </c>
      <c r="F224" s="38">
        <f t="shared" si="32"/>
        <v>1</v>
      </c>
      <c r="G224" s="38">
        <f t="shared" si="32"/>
        <v>0</v>
      </c>
      <c r="H224" s="38">
        <f t="shared" si="32"/>
        <v>1</v>
      </c>
      <c r="I224" s="38">
        <f t="shared" si="32"/>
        <v>0</v>
      </c>
      <c r="J224" s="38">
        <f t="shared" si="32"/>
        <v>0</v>
      </c>
      <c r="K224" s="17"/>
    </row>
    <row r="225" spans="1:11" x14ac:dyDescent="0.25">
      <c r="A225" s="4" t="s">
        <v>186</v>
      </c>
      <c r="B225" s="38">
        <f t="shared" ref="B225:J225" si="33">B189</f>
        <v>1</v>
      </c>
      <c r="C225" s="38">
        <f t="shared" si="33"/>
        <v>1</v>
      </c>
      <c r="D225" s="38">
        <f t="shared" si="33"/>
        <v>1</v>
      </c>
      <c r="E225" s="38">
        <f t="shared" si="33"/>
        <v>1</v>
      </c>
      <c r="F225" s="38">
        <f t="shared" si="33"/>
        <v>1</v>
      </c>
      <c r="G225" s="38">
        <f t="shared" si="33"/>
        <v>0</v>
      </c>
      <c r="H225" s="38">
        <f t="shared" si="33"/>
        <v>1</v>
      </c>
      <c r="I225" s="38">
        <f t="shared" si="33"/>
        <v>0</v>
      </c>
      <c r="J225" s="38">
        <f t="shared" si="33"/>
        <v>0</v>
      </c>
      <c r="K225" s="17"/>
    </row>
    <row r="226" spans="1:11" x14ac:dyDescent="0.25">
      <c r="A226" s="4" t="s">
        <v>194</v>
      </c>
      <c r="B226" s="38">
        <f t="shared" ref="B226:J226" si="34">B190</f>
        <v>1</v>
      </c>
      <c r="C226" s="38">
        <f t="shared" si="34"/>
        <v>1</v>
      </c>
      <c r="D226" s="38">
        <f t="shared" si="34"/>
        <v>1</v>
      </c>
      <c r="E226" s="38">
        <f t="shared" si="34"/>
        <v>1</v>
      </c>
      <c r="F226" s="38">
        <f t="shared" si="34"/>
        <v>1</v>
      </c>
      <c r="G226" s="38">
        <f t="shared" si="34"/>
        <v>0</v>
      </c>
      <c r="H226" s="38">
        <f t="shared" si="34"/>
        <v>0</v>
      </c>
      <c r="I226" s="38">
        <f t="shared" si="34"/>
        <v>0</v>
      </c>
      <c r="J226" s="38">
        <f t="shared" si="34"/>
        <v>0</v>
      </c>
      <c r="K226" s="17"/>
    </row>
    <row r="227" spans="1:11" x14ac:dyDescent="0.25">
      <c r="A227" s="4" t="s">
        <v>195</v>
      </c>
      <c r="B227" s="38">
        <f t="shared" ref="B227:J227" si="35">B191</f>
        <v>1</v>
      </c>
      <c r="C227" s="38">
        <f t="shared" si="35"/>
        <v>1</v>
      </c>
      <c r="D227" s="38">
        <f t="shared" si="35"/>
        <v>1</v>
      </c>
      <c r="E227" s="38">
        <f t="shared" si="35"/>
        <v>1</v>
      </c>
      <c r="F227" s="38">
        <f t="shared" si="35"/>
        <v>1</v>
      </c>
      <c r="G227" s="38">
        <f t="shared" si="35"/>
        <v>0</v>
      </c>
      <c r="H227" s="38">
        <f t="shared" si="35"/>
        <v>0</v>
      </c>
      <c r="I227" s="38">
        <f t="shared" si="35"/>
        <v>0</v>
      </c>
      <c r="J227" s="38">
        <f t="shared" si="35"/>
        <v>0</v>
      </c>
      <c r="K227" s="17"/>
    </row>
    <row r="229" spans="1:11" ht="21" customHeight="1" x14ac:dyDescent="0.3">
      <c r="A229" s="1" t="s">
        <v>394</v>
      </c>
    </row>
    <row r="230" spans="1:11" x14ac:dyDescent="0.25">
      <c r="A230" s="2" t="s">
        <v>350</v>
      </c>
    </row>
    <row r="231" spans="1:11" x14ac:dyDescent="0.25">
      <c r="A231" s="32" t="s">
        <v>395</v>
      </c>
    </row>
    <row r="232" spans="1:11" x14ac:dyDescent="0.25">
      <c r="A232" s="32" t="s">
        <v>396</v>
      </c>
    </row>
    <row r="233" spans="1:11" x14ac:dyDescent="0.25">
      <c r="A233" s="32" t="s">
        <v>397</v>
      </c>
    </row>
    <row r="234" spans="1:11" x14ac:dyDescent="0.25">
      <c r="A234" s="2" t="s">
        <v>398</v>
      </c>
    </row>
    <row r="236" spans="1:11" x14ac:dyDescent="0.25">
      <c r="B236" s="15" t="s">
        <v>139</v>
      </c>
      <c r="C236" s="15" t="s">
        <v>140</v>
      </c>
      <c r="D236" s="15" t="s">
        <v>141</v>
      </c>
      <c r="E236" s="15" t="s">
        <v>142</v>
      </c>
      <c r="F236" s="15" t="s">
        <v>143</v>
      </c>
      <c r="G236" s="15" t="s">
        <v>148</v>
      </c>
      <c r="H236" s="15" t="s">
        <v>144</v>
      </c>
      <c r="I236" s="15" t="s">
        <v>145</v>
      </c>
      <c r="J236" s="15" t="s">
        <v>146</v>
      </c>
    </row>
    <row r="237" spans="1:11" x14ac:dyDescent="0.25">
      <c r="A237" s="4" t="s">
        <v>171</v>
      </c>
      <c r="B237" s="37">
        <f t="shared" ref="B237:J237" si="36">IF(B$77="",B201,B201*$I14/B$77)</f>
        <v>1.1055232290000001</v>
      </c>
      <c r="C237" s="37">
        <f t="shared" si="36"/>
        <v>1.0943524588404601</v>
      </c>
      <c r="D237" s="37">
        <f t="shared" si="36"/>
        <v>1.0890052496456271</v>
      </c>
      <c r="E237" s="37">
        <f t="shared" si="36"/>
        <v>1.0821349161195828</v>
      </c>
      <c r="F237" s="37">
        <f t="shared" si="36"/>
        <v>1.0763082231850911</v>
      </c>
      <c r="G237" s="37">
        <f t="shared" si="36"/>
        <v>0</v>
      </c>
      <c r="H237" s="37">
        <f t="shared" si="36"/>
        <v>1.0635325845048882</v>
      </c>
      <c r="I237" s="37">
        <f t="shared" si="36"/>
        <v>1.049766853959655</v>
      </c>
      <c r="J237" s="37">
        <f t="shared" si="36"/>
        <v>1</v>
      </c>
      <c r="K237" s="17"/>
    </row>
    <row r="238" spans="1:11" x14ac:dyDescent="0.25">
      <c r="A238" s="4" t="s">
        <v>172</v>
      </c>
      <c r="B238" s="37">
        <f t="shared" ref="B238:J238" si="37">IF(B$77="",B202,B202*$I15/B$77)</f>
        <v>1.1055232290000001</v>
      </c>
      <c r="C238" s="37">
        <f t="shared" si="37"/>
        <v>1.0943524588404601</v>
      </c>
      <c r="D238" s="37">
        <f t="shared" si="37"/>
        <v>1.0890052496456271</v>
      </c>
      <c r="E238" s="37">
        <f t="shared" si="37"/>
        <v>1.0821349161195828</v>
      </c>
      <c r="F238" s="37">
        <f t="shared" si="37"/>
        <v>1.0763082231850911</v>
      </c>
      <c r="G238" s="37">
        <f t="shared" si="37"/>
        <v>0</v>
      </c>
      <c r="H238" s="37">
        <f t="shared" si="37"/>
        <v>1.0635325845048882</v>
      </c>
      <c r="I238" s="37">
        <f t="shared" si="37"/>
        <v>1.049766853959655</v>
      </c>
      <c r="J238" s="37">
        <f t="shared" si="37"/>
        <v>1</v>
      </c>
      <c r="K238" s="17"/>
    </row>
    <row r="239" spans="1:11" x14ac:dyDescent="0.25">
      <c r="A239" s="4" t="s">
        <v>213</v>
      </c>
      <c r="B239" s="37">
        <f t="shared" ref="B239:J239" si="38">IF(B$77="",B203,B203*$I16/B$77)</f>
        <v>1.1055232290000001</v>
      </c>
      <c r="C239" s="37">
        <f t="shared" si="38"/>
        <v>1.0943524588404601</v>
      </c>
      <c r="D239" s="37">
        <f t="shared" si="38"/>
        <v>1.0890052496456271</v>
      </c>
      <c r="E239" s="37">
        <f t="shared" si="38"/>
        <v>1.0821349161195828</v>
      </c>
      <c r="F239" s="37">
        <f t="shared" si="38"/>
        <v>1.0763082231850911</v>
      </c>
      <c r="G239" s="37">
        <f t="shared" si="38"/>
        <v>0</v>
      </c>
      <c r="H239" s="37">
        <f t="shared" si="38"/>
        <v>1.0635325845048882</v>
      </c>
      <c r="I239" s="37">
        <f t="shared" si="38"/>
        <v>1.049766853959655</v>
      </c>
      <c r="J239" s="37">
        <f t="shared" si="38"/>
        <v>1</v>
      </c>
      <c r="K239" s="17"/>
    </row>
    <row r="240" spans="1:11" x14ac:dyDescent="0.25">
      <c r="A240" s="4" t="s">
        <v>173</v>
      </c>
      <c r="B240" s="37">
        <f t="shared" ref="B240:J240" si="39">IF(B$77="",B204,B204*$I17/B$77)</f>
        <v>1.1055232290000001</v>
      </c>
      <c r="C240" s="37">
        <f t="shared" si="39"/>
        <v>1.0943524588404601</v>
      </c>
      <c r="D240" s="37">
        <f t="shared" si="39"/>
        <v>1.0890052496456271</v>
      </c>
      <c r="E240" s="37">
        <f t="shared" si="39"/>
        <v>1.0821349161195828</v>
      </c>
      <c r="F240" s="37">
        <f t="shared" si="39"/>
        <v>1.0763082231850911</v>
      </c>
      <c r="G240" s="37">
        <f t="shared" si="39"/>
        <v>0</v>
      </c>
      <c r="H240" s="37">
        <f t="shared" si="39"/>
        <v>1.0635325845048882</v>
      </c>
      <c r="I240" s="37">
        <f t="shared" si="39"/>
        <v>1.049766853959655</v>
      </c>
      <c r="J240" s="37">
        <f t="shared" si="39"/>
        <v>1</v>
      </c>
      <c r="K240" s="17"/>
    </row>
    <row r="241" spans="1:11" x14ac:dyDescent="0.25">
      <c r="A241" s="4" t="s">
        <v>174</v>
      </c>
      <c r="B241" s="37">
        <f t="shared" ref="B241:J241" si="40">IF(B$77="",B205,B205*$I18/B$77)</f>
        <v>1.1055232290000001</v>
      </c>
      <c r="C241" s="37">
        <f t="shared" si="40"/>
        <v>1.0943524588404601</v>
      </c>
      <c r="D241" s="37">
        <f t="shared" si="40"/>
        <v>1.0890052496456271</v>
      </c>
      <c r="E241" s="37">
        <f t="shared" si="40"/>
        <v>1.0821349161195828</v>
      </c>
      <c r="F241" s="37">
        <f t="shared" si="40"/>
        <v>1.0763082231850911</v>
      </c>
      <c r="G241" s="37">
        <f t="shared" si="40"/>
        <v>0</v>
      </c>
      <c r="H241" s="37">
        <f t="shared" si="40"/>
        <v>1.0635325845048882</v>
      </c>
      <c r="I241" s="37">
        <f t="shared" si="40"/>
        <v>1.049766853959655</v>
      </c>
      <c r="J241" s="37">
        <f t="shared" si="40"/>
        <v>1</v>
      </c>
      <c r="K241" s="17"/>
    </row>
    <row r="242" spans="1:11" x14ac:dyDescent="0.25">
      <c r="A242" s="4" t="s">
        <v>214</v>
      </c>
      <c r="B242" s="37">
        <f t="shared" ref="B242:J242" si="41">IF(B$77="",B206,B206*$I19/B$77)</f>
        <v>1.1055232290000001</v>
      </c>
      <c r="C242" s="37">
        <f t="shared" si="41"/>
        <v>1.0943524588404601</v>
      </c>
      <c r="D242" s="37">
        <f t="shared" si="41"/>
        <v>1.0890052496456271</v>
      </c>
      <c r="E242" s="37">
        <f t="shared" si="41"/>
        <v>1.0821349161195828</v>
      </c>
      <c r="F242" s="37">
        <f t="shared" si="41"/>
        <v>1.0763082231850911</v>
      </c>
      <c r="G242" s="37">
        <f t="shared" si="41"/>
        <v>0</v>
      </c>
      <c r="H242" s="37">
        <f t="shared" si="41"/>
        <v>1.0635325845048882</v>
      </c>
      <c r="I242" s="37">
        <f t="shared" si="41"/>
        <v>1.049766853959655</v>
      </c>
      <c r="J242" s="37">
        <f t="shared" si="41"/>
        <v>1</v>
      </c>
      <c r="K242" s="17"/>
    </row>
    <row r="243" spans="1:11" x14ac:dyDescent="0.25">
      <c r="A243" s="4" t="s">
        <v>175</v>
      </c>
      <c r="B243" s="37">
        <f t="shared" ref="B243:J243" si="42">IF(B$77="",B207,B207*$I20/B$77)</f>
        <v>1.1055232290000001</v>
      </c>
      <c r="C243" s="37">
        <f t="shared" si="42"/>
        <v>1.0943524588404601</v>
      </c>
      <c r="D243" s="37">
        <f t="shared" si="42"/>
        <v>1.0890052496456271</v>
      </c>
      <c r="E243" s="37">
        <f t="shared" si="42"/>
        <v>1.0821349161195828</v>
      </c>
      <c r="F243" s="37">
        <f t="shared" si="42"/>
        <v>1.0763082231850911</v>
      </c>
      <c r="G243" s="37">
        <f t="shared" si="42"/>
        <v>0</v>
      </c>
      <c r="H243" s="37">
        <f t="shared" si="42"/>
        <v>1.0635325845048882</v>
      </c>
      <c r="I243" s="37">
        <f t="shared" si="42"/>
        <v>1.049766853959655</v>
      </c>
      <c r="J243" s="37">
        <f t="shared" si="42"/>
        <v>1</v>
      </c>
      <c r="K243" s="17"/>
    </row>
    <row r="244" spans="1:11" x14ac:dyDescent="0.25">
      <c r="A244" s="4" t="s">
        <v>176</v>
      </c>
      <c r="B244" s="37">
        <f t="shared" ref="B244:J244" si="43">IF(B$77="",B208,B208*$I21/B$77)</f>
        <v>1.0531131030000001</v>
      </c>
      <c r="C244" s="37">
        <f t="shared" si="43"/>
        <v>1.0424719114655134</v>
      </c>
      <c r="D244" s="37">
        <f t="shared" si="43"/>
        <v>1.0373782002527203</v>
      </c>
      <c r="E244" s="37">
        <f t="shared" si="43"/>
        <v>1.0308335722716311</v>
      </c>
      <c r="F244" s="37">
        <f t="shared" si="43"/>
        <v>1.0252831084591059</v>
      </c>
      <c r="G244" s="37">
        <f t="shared" si="43"/>
        <v>0</v>
      </c>
      <c r="H244" s="37">
        <f t="shared" si="43"/>
        <v>1.0131131312570116</v>
      </c>
      <c r="I244" s="37">
        <f t="shared" si="43"/>
        <v>1</v>
      </c>
      <c r="J244" s="37">
        <f t="shared" si="43"/>
        <v>0</v>
      </c>
      <c r="K244" s="17"/>
    </row>
    <row r="245" spans="1:11" x14ac:dyDescent="0.25">
      <c r="A245" s="4" t="s">
        <v>192</v>
      </c>
      <c r="B245" s="37">
        <f t="shared" ref="B245:J245" si="44">IF(B$77="",B209,B209*$I22/B$77)</f>
        <v>1.039482236</v>
      </c>
      <c r="C245" s="37">
        <f t="shared" si="44"/>
        <v>1.0289787776929464</v>
      </c>
      <c r="D245" s="37">
        <f t="shared" si="44"/>
        <v>1.023950996435711</v>
      </c>
      <c r="E245" s="37">
        <f t="shared" si="44"/>
        <v>1.017491078210222</v>
      </c>
      <c r="F245" s="37">
        <f t="shared" si="44"/>
        <v>1.0120124562860955</v>
      </c>
      <c r="G245" s="37">
        <f t="shared" si="44"/>
        <v>0</v>
      </c>
      <c r="H245" s="37">
        <f t="shared" si="44"/>
        <v>1</v>
      </c>
      <c r="I245" s="37">
        <f t="shared" si="44"/>
        <v>0</v>
      </c>
      <c r="J245" s="37">
        <f t="shared" si="44"/>
        <v>0</v>
      </c>
      <c r="K245" s="17"/>
    </row>
    <row r="246" spans="1:11" x14ac:dyDescent="0.25">
      <c r="A246" s="4" t="s">
        <v>177</v>
      </c>
      <c r="B246" s="37">
        <f t="shared" ref="B246:J246" si="45">IF(B$77="",B210,B210*$I23/B$77)</f>
        <v>1.1055232290000001</v>
      </c>
      <c r="C246" s="37">
        <f t="shared" si="45"/>
        <v>1.0943524588404601</v>
      </c>
      <c r="D246" s="37">
        <f t="shared" si="45"/>
        <v>1.0890052496456271</v>
      </c>
      <c r="E246" s="37">
        <f t="shared" si="45"/>
        <v>1.0821349161195828</v>
      </c>
      <c r="F246" s="37">
        <f t="shared" si="45"/>
        <v>1.0763082231850911</v>
      </c>
      <c r="G246" s="37">
        <f t="shared" si="45"/>
        <v>0</v>
      </c>
      <c r="H246" s="37">
        <f t="shared" si="45"/>
        <v>1.0635325845048882</v>
      </c>
      <c r="I246" s="37">
        <f t="shared" si="45"/>
        <v>1.049766853959655</v>
      </c>
      <c r="J246" s="37">
        <f t="shared" si="45"/>
        <v>1</v>
      </c>
      <c r="K246" s="17"/>
    </row>
    <row r="247" spans="1:11" x14ac:dyDescent="0.25">
      <c r="A247" s="4" t="s">
        <v>178</v>
      </c>
      <c r="B247" s="37">
        <f t="shared" ref="B247:J247" si="46">IF(B$77="",B211,B211*$I24/B$77)</f>
        <v>1.1055232290000001</v>
      </c>
      <c r="C247" s="37">
        <f t="shared" si="46"/>
        <v>1.0943524588404601</v>
      </c>
      <c r="D247" s="37">
        <f t="shared" si="46"/>
        <v>1.0890052496456271</v>
      </c>
      <c r="E247" s="37">
        <f t="shared" si="46"/>
        <v>1.0821349161195828</v>
      </c>
      <c r="F247" s="37">
        <f t="shared" si="46"/>
        <v>1.0763082231850911</v>
      </c>
      <c r="G247" s="37">
        <f t="shared" si="46"/>
        <v>0</v>
      </c>
      <c r="H247" s="37">
        <f t="shared" si="46"/>
        <v>1.0635325845048882</v>
      </c>
      <c r="I247" s="37">
        <f t="shared" si="46"/>
        <v>1.049766853959655</v>
      </c>
      <c r="J247" s="37">
        <f t="shared" si="46"/>
        <v>1</v>
      </c>
      <c r="K247" s="17"/>
    </row>
    <row r="248" spans="1:11" x14ac:dyDescent="0.25">
      <c r="A248" s="4" t="s">
        <v>179</v>
      </c>
      <c r="B248" s="37">
        <f t="shared" ref="B248:J248" si="47">IF(B$77="",B212,B212*$I25/B$77)</f>
        <v>1.1055232290000001</v>
      </c>
      <c r="C248" s="37">
        <f t="shared" si="47"/>
        <v>1.0943524588404601</v>
      </c>
      <c r="D248" s="37">
        <f t="shared" si="47"/>
        <v>1.0890052496456271</v>
      </c>
      <c r="E248" s="37">
        <f t="shared" si="47"/>
        <v>1.0821349161195828</v>
      </c>
      <c r="F248" s="37">
        <f t="shared" si="47"/>
        <v>1.0763082231850911</v>
      </c>
      <c r="G248" s="37">
        <f t="shared" si="47"/>
        <v>0</v>
      </c>
      <c r="H248" s="37">
        <f t="shared" si="47"/>
        <v>1.0635325845048882</v>
      </c>
      <c r="I248" s="37">
        <f t="shared" si="47"/>
        <v>1.049766853959655</v>
      </c>
      <c r="J248" s="37">
        <f t="shared" si="47"/>
        <v>1</v>
      </c>
      <c r="K248" s="17"/>
    </row>
    <row r="249" spans="1:11" x14ac:dyDescent="0.25">
      <c r="A249" s="4" t="s">
        <v>180</v>
      </c>
      <c r="B249" s="37">
        <f t="shared" ref="B249:J249" si="48">IF(B$77="",B213,B213*$I26/B$77)</f>
        <v>1.0531131030000001</v>
      </c>
      <c r="C249" s="37">
        <f t="shared" si="48"/>
        <v>1.0424719114655134</v>
      </c>
      <c r="D249" s="37">
        <f t="shared" si="48"/>
        <v>1.0373782002527203</v>
      </c>
      <c r="E249" s="37">
        <f t="shared" si="48"/>
        <v>1.0308335722716311</v>
      </c>
      <c r="F249" s="37">
        <f t="shared" si="48"/>
        <v>1.0252831084591059</v>
      </c>
      <c r="G249" s="37">
        <f t="shared" si="48"/>
        <v>0</v>
      </c>
      <c r="H249" s="37">
        <f t="shared" si="48"/>
        <v>1.0131131312570116</v>
      </c>
      <c r="I249" s="37">
        <f t="shared" si="48"/>
        <v>1</v>
      </c>
      <c r="J249" s="37">
        <f t="shared" si="48"/>
        <v>0</v>
      </c>
      <c r="K249" s="17"/>
    </row>
    <row r="250" spans="1:11" x14ac:dyDescent="0.25">
      <c r="A250" s="4" t="s">
        <v>193</v>
      </c>
      <c r="B250" s="37">
        <f t="shared" ref="B250:J250" si="49">IF(B$77="",B214,B214*$I27/B$77)</f>
        <v>1.039482236</v>
      </c>
      <c r="C250" s="37">
        <f t="shared" si="49"/>
        <v>1.0289787776929464</v>
      </c>
      <c r="D250" s="37">
        <f t="shared" si="49"/>
        <v>1.023950996435711</v>
      </c>
      <c r="E250" s="37">
        <f t="shared" si="49"/>
        <v>1.017491078210222</v>
      </c>
      <c r="F250" s="37">
        <f t="shared" si="49"/>
        <v>1.0120124562860955</v>
      </c>
      <c r="G250" s="37">
        <f t="shared" si="49"/>
        <v>0</v>
      </c>
      <c r="H250" s="37">
        <f t="shared" si="49"/>
        <v>1</v>
      </c>
      <c r="I250" s="37">
        <f t="shared" si="49"/>
        <v>0</v>
      </c>
      <c r="J250" s="37">
        <f t="shared" si="49"/>
        <v>0</v>
      </c>
      <c r="K250" s="17"/>
    </row>
    <row r="251" spans="1:11" x14ac:dyDescent="0.25">
      <c r="A251" s="4" t="s">
        <v>215</v>
      </c>
      <c r="B251" s="37">
        <f t="shared" ref="B251:J251" si="50">IF(B$77="",B215,B215*$I28/B$77)</f>
        <v>1.1055232290000001</v>
      </c>
      <c r="C251" s="37">
        <f t="shared" si="50"/>
        <v>1.0943524588404601</v>
      </c>
      <c r="D251" s="37">
        <f t="shared" si="50"/>
        <v>1.0890052496456271</v>
      </c>
      <c r="E251" s="37">
        <f t="shared" si="50"/>
        <v>1.0821349161195828</v>
      </c>
      <c r="F251" s="37">
        <f t="shared" si="50"/>
        <v>1.0763082231850911</v>
      </c>
      <c r="G251" s="37">
        <f t="shared" si="50"/>
        <v>0</v>
      </c>
      <c r="H251" s="37">
        <f t="shared" si="50"/>
        <v>1.0635325845048882</v>
      </c>
      <c r="I251" s="37">
        <f t="shared" si="50"/>
        <v>1.049766853959655</v>
      </c>
      <c r="J251" s="37">
        <f t="shared" si="50"/>
        <v>1</v>
      </c>
      <c r="K251" s="17"/>
    </row>
    <row r="252" spans="1:11" x14ac:dyDescent="0.25">
      <c r="A252" s="4" t="s">
        <v>216</v>
      </c>
      <c r="B252" s="37">
        <f t="shared" ref="B252:J252" si="51">IF(B$77="",B216,B216*$I29/B$77)</f>
        <v>1.1055232290000001</v>
      </c>
      <c r="C252" s="37">
        <f t="shared" si="51"/>
        <v>1.0943524588404601</v>
      </c>
      <c r="D252" s="37">
        <f t="shared" si="51"/>
        <v>1.0890052496456271</v>
      </c>
      <c r="E252" s="37">
        <f t="shared" si="51"/>
        <v>1.0821349161195828</v>
      </c>
      <c r="F252" s="37">
        <f t="shared" si="51"/>
        <v>1.0763082231850911</v>
      </c>
      <c r="G252" s="37">
        <f t="shared" si="51"/>
        <v>0</v>
      </c>
      <c r="H252" s="37">
        <f t="shared" si="51"/>
        <v>1.0635325845048882</v>
      </c>
      <c r="I252" s="37">
        <f t="shared" si="51"/>
        <v>1.049766853959655</v>
      </c>
      <c r="J252" s="37">
        <f t="shared" si="51"/>
        <v>1</v>
      </c>
      <c r="K252" s="17"/>
    </row>
    <row r="253" spans="1:11" x14ac:dyDescent="0.25">
      <c r="A253" s="4" t="s">
        <v>217</v>
      </c>
      <c r="B253" s="37">
        <f t="shared" ref="B253:J253" si="52">IF(B$77="",B217,B217*$I30/B$77)</f>
        <v>1.1055232290000001</v>
      </c>
      <c r="C253" s="37">
        <f t="shared" si="52"/>
        <v>1.0943524588404601</v>
      </c>
      <c r="D253" s="37">
        <f t="shared" si="52"/>
        <v>1.0890052496456271</v>
      </c>
      <c r="E253" s="37">
        <f t="shared" si="52"/>
        <v>1.0821349161195828</v>
      </c>
      <c r="F253" s="37">
        <f t="shared" si="52"/>
        <v>1.0763082231850911</v>
      </c>
      <c r="G253" s="37">
        <f t="shared" si="52"/>
        <v>0</v>
      </c>
      <c r="H253" s="37">
        <f t="shared" si="52"/>
        <v>1.0635325845048882</v>
      </c>
      <c r="I253" s="37">
        <f t="shared" si="52"/>
        <v>1.049766853959655</v>
      </c>
      <c r="J253" s="37">
        <f t="shared" si="52"/>
        <v>1</v>
      </c>
      <c r="K253" s="17"/>
    </row>
    <row r="254" spans="1:11" x14ac:dyDescent="0.25">
      <c r="A254" s="4" t="s">
        <v>218</v>
      </c>
      <c r="B254" s="37">
        <f t="shared" ref="B254:J254" si="53">IF(B$77="",B218,B218*$I31/B$77)</f>
        <v>1.1055232290000001</v>
      </c>
      <c r="C254" s="37">
        <f t="shared" si="53"/>
        <v>1.0943524588404601</v>
      </c>
      <c r="D254" s="37">
        <f t="shared" si="53"/>
        <v>1.0890052496456271</v>
      </c>
      <c r="E254" s="37">
        <f t="shared" si="53"/>
        <v>1.0821349161195828</v>
      </c>
      <c r="F254" s="37">
        <f t="shared" si="53"/>
        <v>1.0763082231850911</v>
      </c>
      <c r="G254" s="37">
        <f t="shared" si="53"/>
        <v>0</v>
      </c>
      <c r="H254" s="37">
        <f t="shared" si="53"/>
        <v>1.0635325845048882</v>
      </c>
      <c r="I254" s="37">
        <f t="shared" si="53"/>
        <v>1.049766853959655</v>
      </c>
      <c r="J254" s="37">
        <f t="shared" si="53"/>
        <v>1</v>
      </c>
      <c r="K254" s="17"/>
    </row>
    <row r="255" spans="1:11" x14ac:dyDescent="0.25">
      <c r="A255" s="4" t="s">
        <v>219</v>
      </c>
      <c r="B255" s="37">
        <f t="shared" ref="B255:J255" si="54">IF(B$77="",B219,B219*$I32/B$77)</f>
        <v>1.1055232290000001</v>
      </c>
      <c r="C255" s="37">
        <f t="shared" si="54"/>
        <v>1.0943524588404601</v>
      </c>
      <c r="D255" s="37">
        <f t="shared" si="54"/>
        <v>1.0890052496456271</v>
      </c>
      <c r="E255" s="37">
        <f t="shared" si="54"/>
        <v>1.0821349161195828</v>
      </c>
      <c r="F255" s="37">
        <f t="shared" si="54"/>
        <v>1.0763082231850911</v>
      </c>
      <c r="G255" s="37">
        <f t="shared" si="54"/>
        <v>0</v>
      </c>
      <c r="H255" s="37">
        <f t="shared" si="54"/>
        <v>1.0635325845048882</v>
      </c>
      <c r="I255" s="37">
        <f t="shared" si="54"/>
        <v>1.049766853959655</v>
      </c>
      <c r="J255" s="37">
        <f t="shared" si="54"/>
        <v>1</v>
      </c>
      <c r="K255" s="17"/>
    </row>
    <row r="256" spans="1:11" x14ac:dyDescent="0.25">
      <c r="A256" s="4" t="s">
        <v>181</v>
      </c>
      <c r="B256" s="37">
        <f t="shared" ref="B256:J256" si="55">IF(B$77="",B220,B220*$I33/B$77)</f>
        <v>1.1055232290000001</v>
      </c>
      <c r="C256" s="37">
        <f t="shared" si="55"/>
        <v>1.0943524588404601</v>
      </c>
      <c r="D256" s="37">
        <f t="shared" si="55"/>
        <v>1.0890052496456271</v>
      </c>
      <c r="E256" s="37">
        <f t="shared" si="55"/>
        <v>1.0821349161195828</v>
      </c>
      <c r="F256" s="37">
        <f t="shared" si="55"/>
        <v>1.0763082231850911</v>
      </c>
      <c r="G256" s="37">
        <f t="shared" si="55"/>
        <v>0</v>
      </c>
      <c r="H256" s="37">
        <f t="shared" si="55"/>
        <v>1.0635325845048882</v>
      </c>
      <c r="I256" s="37">
        <f t="shared" si="55"/>
        <v>1.049766853959655</v>
      </c>
      <c r="J256" s="37">
        <f t="shared" si="55"/>
        <v>0</v>
      </c>
      <c r="K256" s="17"/>
    </row>
    <row r="257" spans="1:11" x14ac:dyDescent="0.25">
      <c r="A257" s="4" t="s">
        <v>182</v>
      </c>
      <c r="B257" s="37">
        <f t="shared" ref="B257:J257" si="56">IF(B$77="",B221,B221*$I34/B$77)</f>
        <v>1.0531131030000001</v>
      </c>
      <c r="C257" s="37">
        <f t="shared" si="56"/>
        <v>1.0424719114655134</v>
      </c>
      <c r="D257" s="37">
        <f t="shared" si="56"/>
        <v>1.0373782002527203</v>
      </c>
      <c r="E257" s="37">
        <f t="shared" si="56"/>
        <v>1.0308335722716311</v>
      </c>
      <c r="F257" s="37">
        <f t="shared" si="56"/>
        <v>1.0252831084591059</v>
      </c>
      <c r="G257" s="37">
        <f t="shared" si="56"/>
        <v>0</v>
      </c>
      <c r="H257" s="37">
        <f t="shared" si="56"/>
        <v>1.0131131312570116</v>
      </c>
      <c r="I257" s="37">
        <f t="shared" si="56"/>
        <v>0</v>
      </c>
      <c r="J257" s="37">
        <f t="shared" si="56"/>
        <v>0</v>
      </c>
      <c r="K257" s="17"/>
    </row>
    <row r="258" spans="1:11" x14ac:dyDescent="0.25">
      <c r="A258" s="4" t="s">
        <v>183</v>
      </c>
      <c r="B258" s="37">
        <f t="shared" ref="B258:J258" si="57">IF(B$77="",B222,B222*$I35/B$77)</f>
        <v>1.1055232290000001</v>
      </c>
      <c r="C258" s="37">
        <f t="shared" si="57"/>
        <v>1.0943524588404601</v>
      </c>
      <c r="D258" s="37">
        <f t="shared" si="57"/>
        <v>1.0890052496456271</v>
      </c>
      <c r="E258" s="37">
        <f t="shared" si="57"/>
        <v>1.0821349161195828</v>
      </c>
      <c r="F258" s="37">
        <f t="shared" si="57"/>
        <v>1.0763082231850911</v>
      </c>
      <c r="G258" s="37">
        <f t="shared" si="57"/>
        <v>0</v>
      </c>
      <c r="H258" s="37">
        <f t="shared" si="57"/>
        <v>1.0635325845048882</v>
      </c>
      <c r="I258" s="37">
        <f t="shared" si="57"/>
        <v>1.049766853959655</v>
      </c>
      <c r="J258" s="37">
        <f t="shared" si="57"/>
        <v>0</v>
      </c>
      <c r="K258" s="17"/>
    </row>
    <row r="259" spans="1:11" x14ac:dyDescent="0.25">
      <c r="A259" s="4" t="s">
        <v>184</v>
      </c>
      <c r="B259" s="37">
        <f t="shared" ref="B259:J259" si="58">IF(B$77="",B223,B223*$I36/B$77)</f>
        <v>1.1055232290000001</v>
      </c>
      <c r="C259" s="37">
        <f t="shared" si="58"/>
        <v>1.0943524588404601</v>
      </c>
      <c r="D259" s="37">
        <f t="shared" si="58"/>
        <v>1.0890052496456271</v>
      </c>
      <c r="E259" s="37">
        <f t="shared" si="58"/>
        <v>1.0821349161195828</v>
      </c>
      <c r="F259" s="37">
        <f t="shared" si="58"/>
        <v>1.0763082231850911</v>
      </c>
      <c r="G259" s="37">
        <f t="shared" si="58"/>
        <v>0</v>
      </c>
      <c r="H259" s="37">
        <f t="shared" si="58"/>
        <v>1.0635325845048882</v>
      </c>
      <c r="I259" s="37">
        <f t="shared" si="58"/>
        <v>1.049766853959655</v>
      </c>
      <c r="J259" s="37">
        <f t="shared" si="58"/>
        <v>0</v>
      </c>
      <c r="K259" s="17"/>
    </row>
    <row r="260" spans="1:11" x14ac:dyDescent="0.25">
      <c r="A260" s="4" t="s">
        <v>185</v>
      </c>
      <c r="B260" s="37">
        <f t="shared" ref="B260:J260" si="59">IF(B$77="",B224,B224*$I37/B$77)</f>
        <v>1.0531131030000001</v>
      </c>
      <c r="C260" s="37">
        <f t="shared" si="59"/>
        <v>1.0424719114655134</v>
      </c>
      <c r="D260" s="37">
        <f t="shared" si="59"/>
        <v>1.0373782002527203</v>
      </c>
      <c r="E260" s="37">
        <f t="shared" si="59"/>
        <v>1.0308335722716311</v>
      </c>
      <c r="F260" s="37">
        <f t="shared" si="59"/>
        <v>1.0252831084591059</v>
      </c>
      <c r="G260" s="37">
        <f t="shared" si="59"/>
        <v>0</v>
      </c>
      <c r="H260" s="37">
        <f t="shared" si="59"/>
        <v>1.0131131312570116</v>
      </c>
      <c r="I260" s="37">
        <f t="shared" si="59"/>
        <v>0</v>
      </c>
      <c r="J260" s="37">
        <f t="shared" si="59"/>
        <v>0</v>
      </c>
      <c r="K260" s="17"/>
    </row>
    <row r="261" spans="1:11" x14ac:dyDescent="0.25">
      <c r="A261" s="4" t="s">
        <v>186</v>
      </c>
      <c r="B261" s="37">
        <f t="shared" ref="B261:J261" si="60">IF(B$77="",B225,B225*$I38/B$77)</f>
        <v>1.0531131030000001</v>
      </c>
      <c r="C261" s="37">
        <f t="shared" si="60"/>
        <v>1.0424719114655134</v>
      </c>
      <c r="D261" s="37">
        <f t="shared" si="60"/>
        <v>1.0373782002527203</v>
      </c>
      <c r="E261" s="37">
        <f t="shared" si="60"/>
        <v>1.0308335722716311</v>
      </c>
      <c r="F261" s="37">
        <f t="shared" si="60"/>
        <v>1.0252831084591059</v>
      </c>
      <c r="G261" s="37">
        <f t="shared" si="60"/>
        <v>0</v>
      </c>
      <c r="H261" s="37">
        <f t="shared" si="60"/>
        <v>1.0131131312570116</v>
      </c>
      <c r="I261" s="37">
        <f t="shared" si="60"/>
        <v>0</v>
      </c>
      <c r="J261" s="37">
        <f t="shared" si="60"/>
        <v>0</v>
      </c>
      <c r="K261" s="17"/>
    </row>
    <row r="262" spans="1:11" x14ac:dyDescent="0.25">
      <c r="A262" s="4" t="s">
        <v>194</v>
      </c>
      <c r="B262" s="37">
        <f t="shared" ref="B262:J262" si="61">IF(B$77="",B226,B226*$I39/B$77)</f>
        <v>1.039482236</v>
      </c>
      <c r="C262" s="37">
        <f t="shared" si="61"/>
        <v>1.0289787776929464</v>
      </c>
      <c r="D262" s="37">
        <f t="shared" si="61"/>
        <v>1.023950996435711</v>
      </c>
      <c r="E262" s="37">
        <f t="shared" si="61"/>
        <v>1.017491078210222</v>
      </c>
      <c r="F262" s="37">
        <f t="shared" si="61"/>
        <v>1.0120124562860955</v>
      </c>
      <c r="G262" s="37">
        <f t="shared" si="61"/>
        <v>0</v>
      </c>
      <c r="H262" s="37">
        <f t="shared" si="61"/>
        <v>0</v>
      </c>
      <c r="I262" s="37">
        <f t="shared" si="61"/>
        <v>0</v>
      </c>
      <c r="J262" s="37">
        <f t="shared" si="61"/>
        <v>0</v>
      </c>
      <c r="K262" s="17"/>
    </row>
    <row r="263" spans="1:11" x14ac:dyDescent="0.25">
      <c r="A263" s="4" t="s">
        <v>195</v>
      </c>
      <c r="B263" s="37">
        <f t="shared" ref="B263:J263" si="62">IF(B$77="",B227,B227*$I40/B$77)</f>
        <v>1.039482236</v>
      </c>
      <c r="C263" s="37">
        <f t="shared" si="62"/>
        <v>1.0289787776929464</v>
      </c>
      <c r="D263" s="37">
        <f t="shared" si="62"/>
        <v>1.023950996435711</v>
      </c>
      <c r="E263" s="37">
        <f t="shared" si="62"/>
        <v>1.017491078210222</v>
      </c>
      <c r="F263" s="37">
        <f t="shared" si="62"/>
        <v>1.0120124562860955</v>
      </c>
      <c r="G263" s="37">
        <f t="shared" si="62"/>
        <v>0</v>
      </c>
      <c r="H263" s="37">
        <f t="shared" si="62"/>
        <v>0</v>
      </c>
      <c r="I263" s="37">
        <f t="shared" si="62"/>
        <v>0</v>
      </c>
      <c r="J263" s="37">
        <f t="shared" si="62"/>
        <v>0</v>
      </c>
      <c r="K263" s="17"/>
    </row>
  </sheetData>
  <sheetProtection sheet="1" objects="1" scenarios="1"/>
  <hyperlinks>
    <hyperlink ref="A7" location="'LAFs'!B13" display="x1 = Network level for each tariff (to get loss factors applicable to capacity) (in Loss adjustment factors to transmission)"/>
    <hyperlink ref="A8" location="'Input'!B147" display="x2 = 1032. Loss adjustment factors to transmission"/>
    <hyperlink ref="A56" location="'LAFs'!B44" display="x1 = 2002. Mapping of DRM network levels to core network levels"/>
    <hyperlink ref="A57" location="'Input'!B147" display="x2 = 1032. Loss adjustment factors to transmission"/>
    <hyperlink ref="A72" location="'LAFs'!B60" display="x1 = 2003. Loss adjustment factor to transmission for each DRM network level"/>
    <hyperlink ref="A115" location="'Input'!B79" display="x1 = 1018. Proportion of relevant load going through 132kV/HV direct transformation"/>
    <hyperlink ref="A123" location="'Input'!B79" display="x1 = 1018. Proportion of relevant load going through 132kV/HV direct transformation"/>
    <hyperlink ref="A131" location="'Input'!B79" display="x1 = 1018. Proportion of relevant load going through 132kV/HV direct transformation"/>
    <hyperlink ref="A139" location="'Input'!B79" display="x1 = 1018. Proportion of relevant load going through 132kV/HV direct transformation"/>
    <hyperlink ref="A140" location="'LAFs'!B118" display="x2 = 2006. Proportion going through 132kV/EHV"/>
    <hyperlink ref="A141" location="'LAFs'!B126" display="x3 = 2007. Proportion going through EHV"/>
    <hyperlink ref="A142" location="'LAFs'!B134" display="x4 = 2008. Proportion going through EHV/HV"/>
    <hyperlink ref="A160" location="'LAFs'!B84" display="x1 = 2005. Network use factors"/>
    <hyperlink ref="A161" location="'LAFs'!B147" display="x2 = 2009. Rerouteing matrix for all network levels"/>
    <hyperlink ref="A197" location="'LAFs'!B164" display="x3 = 2010. Network use factors: interim step in calculations before adjustments"/>
    <hyperlink ref="A231" location="'LAFs'!B76" display="x1 = 2004. Loss adjustment factor to transmission for each network level"/>
    <hyperlink ref="A232" location="'LAFs'!B200" display="x2 = 2011. Network use factors for all tariffs"/>
    <hyperlink ref="A233" location="'LAFs'!I13" display="x3 = 2001. Loss adjustment factor to transmission (in Loss adjustment factors to transmission)"/>
  </hyperlinks>
  <pageMargins left="0.7" right="0.7" top="0.75" bottom="0.75" header="0.3" footer="0.3"/>
  <pageSetup paperSize="9" fitToHeight="0" orientation="portrait"/>
  <headerFooter>
    <oddHeader>&amp;L&amp;A&amp;C&amp;R&amp;P of &amp;N</oddHeader>
    <oddFooter>&amp;F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37"/>
  <sheetViews>
    <sheetView showGridLines="0" workbookViewId="0">
      <pane ySplit="1" topLeftCell="A2" activePane="bottomLeft" state="frozen"/>
      <selection pane="bottomLeft"/>
    </sheetView>
  </sheetViews>
  <sheetFormatPr defaultRowHeight="15" x14ac:dyDescent="0.25"/>
  <cols>
    <col min="1" max="1" width="50.7109375" customWidth="1"/>
    <col min="2" max="251" width="24.7109375" customWidth="1"/>
  </cols>
  <sheetData>
    <row r="1" spans="1:3" ht="21" customHeight="1" x14ac:dyDescent="0.3">
      <c r="A1" s="1" t="str">
        <f>"Network model for "&amp;Input!B7&amp;" in "&amp;Input!C7&amp;" ("&amp;Input!D7&amp;")"</f>
        <v>Network model for Electricity North West in 2017/2018 (December 2015)</v>
      </c>
    </row>
    <row r="2" spans="1:3" x14ac:dyDescent="0.25">
      <c r="A2" s="2" t="s">
        <v>399</v>
      </c>
    </row>
    <row r="4" spans="1:3" ht="21" customHeight="1" x14ac:dyDescent="0.3">
      <c r="A4" s="1" t="s">
        <v>400</v>
      </c>
    </row>
    <row r="5" spans="1:3" x14ac:dyDescent="0.25">
      <c r="A5" s="2" t="s">
        <v>350</v>
      </c>
    </row>
    <row r="6" spans="1:3" x14ac:dyDescent="0.25">
      <c r="A6" s="32" t="s">
        <v>401</v>
      </c>
    </row>
    <row r="7" spans="1:3" x14ac:dyDescent="0.25">
      <c r="A7" s="32" t="s">
        <v>402</v>
      </c>
    </row>
    <row r="8" spans="1:3" x14ac:dyDescent="0.25">
      <c r="A8" s="32" t="s">
        <v>403</v>
      </c>
    </row>
    <row r="9" spans="1:3" x14ac:dyDescent="0.25">
      <c r="A9" s="2" t="s">
        <v>404</v>
      </c>
    </row>
    <row r="11" spans="1:3" x14ac:dyDescent="0.25">
      <c r="B11" s="15" t="s">
        <v>405</v>
      </c>
    </row>
    <row r="12" spans="1:3" x14ac:dyDescent="0.25">
      <c r="A12" s="4" t="s">
        <v>405</v>
      </c>
      <c r="B12" s="39">
        <f>PMT(Input!B58,Input!C58,-1)*IF(OR(Input!F58&gt;366,Input!F58&lt;365),Input!F58/365.25,1)</f>
        <v>5.1808723728058149E-2</v>
      </c>
      <c r="C12" s="17"/>
    </row>
    <row r="14" spans="1:3" ht="21" customHeight="1" x14ac:dyDescent="0.3">
      <c r="A14" s="1" t="s">
        <v>406</v>
      </c>
    </row>
    <row r="15" spans="1:3" x14ac:dyDescent="0.25">
      <c r="A15" s="2" t="s">
        <v>350</v>
      </c>
    </row>
    <row r="16" spans="1:3" x14ac:dyDescent="0.25">
      <c r="A16" s="32" t="s">
        <v>407</v>
      </c>
    </row>
    <row r="17" spans="1:10" x14ac:dyDescent="0.25">
      <c r="A17" s="2" t="s">
        <v>367</v>
      </c>
    </row>
    <row r="18" spans="1:10" x14ac:dyDescent="0.25">
      <c r="A18" s="2" t="s">
        <v>368</v>
      </c>
    </row>
    <row r="20" spans="1:10" x14ac:dyDescent="0.25">
      <c r="B20" s="15" t="s">
        <v>139</v>
      </c>
      <c r="C20" s="15" t="s">
        <v>140</v>
      </c>
      <c r="D20" s="15" t="s">
        <v>141</v>
      </c>
      <c r="E20" s="15" t="s">
        <v>142</v>
      </c>
      <c r="F20" s="15" t="s">
        <v>143</v>
      </c>
      <c r="G20" s="15" t="s">
        <v>144</v>
      </c>
      <c r="H20" s="15" t="s">
        <v>145</v>
      </c>
      <c r="I20" s="15" t="s">
        <v>146</v>
      </c>
    </row>
    <row r="21" spans="1:10" ht="30" x14ac:dyDescent="0.25">
      <c r="A21" s="4" t="s">
        <v>408</v>
      </c>
      <c r="B21" s="28">
        <v>1</v>
      </c>
      <c r="C21" s="38">
        <f>Input!$B148</f>
        <v>1.0102076529999999</v>
      </c>
      <c r="D21" s="38">
        <f>Input!$C148</f>
        <v>1.0151679520000001</v>
      </c>
      <c r="E21" s="38">
        <f>Input!$D148</f>
        <v>1.0216131209999999</v>
      </c>
      <c r="F21" s="38">
        <f>Input!$E148</f>
        <v>1.027143717</v>
      </c>
      <c r="G21" s="38">
        <f>Input!$F148</f>
        <v>1.039482236</v>
      </c>
      <c r="H21" s="38">
        <f>Input!$G148</f>
        <v>1.0531131030000001</v>
      </c>
      <c r="I21" s="38">
        <f>Input!$H148</f>
        <v>1.1055232290000001</v>
      </c>
      <c r="J21" s="17"/>
    </row>
    <row r="23" spans="1:10" ht="21" customHeight="1" x14ac:dyDescent="0.3">
      <c r="A23" s="1" t="s">
        <v>409</v>
      </c>
    </row>
    <row r="24" spans="1:10" x14ac:dyDescent="0.25">
      <c r="A24" s="2" t="s">
        <v>350</v>
      </c>
    </row>
    <row r="25" spans="1:10" x14ac:dyDescent="0.25">
      <c r="A25" s="32" t="s">
        <v>410</v>
      </c>
    </row>
    <row r="26" spans="1:10" x14ac:dyDescent="0.25">
      <c r="A26" s="32" t="s">
        <v>411</v>
      </c>
    </row>
    <row r="27" spans="1:10" x14ac:dyDescent="0.25">
      <c r="A27" s="33" t="s">
        <v>353</v>
      </c>
      <c r="B27" s="33" t="s">
        <v>412</v>
      </c>
      <c r="C27" s="33" t="s">
        <v>413</v>
      </c>
    </row>
    <row r="28" spans="1:10" x14ac:dyDescent="0.25">
      <c r="A28" s="33" t="s">
        <v>356</v>
      </c>
      <c r="B28" s="33" t="s">
        <v>414</v>
      </c>
      <c r="C28" s="33" t="s">
        <v>415</v>
      </c>
    </row>
    <row r="30" spans="1:10" ht="45" x14ac:dyDescent="0.25">
      <c r="B30" s="15" t="s">
        <v>416</v>
      </c>
      <c r="C30" s="15" t="s">
        <v>417</v>
      </c>
    </row>
    <row r="31" spans="1:10" x14ac:dyDescent="0.25">
      <c r="A31" s="4" t="s">
        <v>139</v>
      </c>
      <c r="B31" s="37">
        <f>$B$21</f>
        <v>1</v>
      </c>
      <c r="C31" s="10"/>
      <c r="D31" s="17"/>
    </row>
    <row r="32" spans="1:10" x14ac:dyDescent="0.25">
      <c r="A32" s="4" t="s">
        <v>140</v>
      </c>
      <c r="B32" s="37">
        <f>$C$21</f>
        <v>1.0102076529999999</v>
      </c>
      <c r="C32" s="37">
        <f t="shared" ref="C32:C38" si="0">B31</f>
        <v>1</v>
      </c>
      <c r="D32" s="17"/>
    </row>
    <row r="33" spans="1:5" x14ac:dyDescent="0.25">
      <c r="A33" s="4" t="s">
        <v>141</v>
      </c>
      <c r="B33" s="37">
        <f>$D$21</f>
        <v>1.0151679520000001</v>
      </c>
      <c r="C33" s="37">
        <f t="shared" si="0"/>
        <v>1.0102076529999999</v>
      </c>
      <c r="D33" s="17"/>
    </row>
    <row r="34" spans="1:5" x14ac:dyDescent="0.25">
      <c r="A34" s="4" t="s">
        <v>142</v>
      </c>
      <c r="B34" s="37">
        <f>$E$21</f>
        <v>1.0216131209999999</v>
      </c>
      <c r="C34" s="37">
        <f t="shared" si="0"/>
        <v>1.0151679520000001</v>
      </c>
      <c r="D34" s="17"/>
    </row>
    <row r="35" spans="1:5" x14ac:dyDescent="0.25">
      <c r="A35" s="4" t="s">
        <v>143</v>
      </c>
      <c r="B35" s="37">
        <f>$F$21</f>
        <v>1.027143717</v>
      </c>
      <c r="C35" s="37">
        <f t="shared" si="0"/>
        <v>1.0216131209999999</v>
      </c>
      <c r="D35" s="17"/>
    </row>
    <row r="36" spans="1:5" x14ac:dyDescent="0.25">
      <c r="A36" s="4" t="s">
        <v>144</v>
      </c>
      <c r="B36" s="37">
        <f>$G$21</f>
        <v>1.039482236</v>
      </c>
      <c r="C36" s="37">
        <f t="shared" si="0"/>
        <v>1.027143717</v>
      </c>
      <c r="D36" s="17"/>
    </row>
    <row r="37" spans="1:5" x14ac:dyDescent="0.25">
      <c r="A37" s="4" t="s">
        <v>145</v>
      </c>
      <c r="B37" s="37">
        <f>$H$21</f>
        <v>1.0531131030000001</v>
      </c>
      <c r="C37" s="37">
        <f t="shared" si="0"/>
        <v>1.039482236</v>
      </c>
      <c r="D37" s="17"/>
    </row>
    <row r="38" spans="1:5" x14ac:dyDescent="0.25">
      <c r="A38" s="4" t="s">
        <v>146</v>
      </c>
      <c r="B38" s="37">
        <f>$I$21</f>
        <v>1.1055232290000001</v>
      </c>
      <c r="C38" s="37">
        <f t="shared" si="0"/>
        <v>1.0531131030000001</v>
      </c>
      <c r="D38" s="17"/>
    </row>
    <row r="40" spans="1:5" ht="21" customHeight="1" x14ac:dyDescent="0.3">
      <c r="A40" s="1" t="s">
        <v>418</v>
      </c>
    </row>
    <row r="41" spans="1:5" x14ac:dyDescent="0.25">
      <c r="A41" s="2" t="s">
        <v>350</v>
      </c>
    </row>
    <row r="42" spans="1:5" x14ac:dyDescent="0.25">
      <c r="A42" s="32" t="s">
        <v>419</v>
      </c>
    </row>
    <row r="43" spans="1:5" x14ac:dyDescent="0.25">
      <c r="A43" s="32" t="s">
        <v>420</v>
      </c>
    </row>
    <row r="44" spans="1:5" x14ac:dyDescent="0.25">
      <c r="A44" s="33" t="s">
        <v>353</v>
      </c>
      <c r="B44" s="33" t="s">
        <v>421</v>
      </c>
      <c r="C44" s="33" t="s">
        <v>421</v>
      </c>
      <c r="D44" s="33" t="s">
        <v>421</v>
      </c>
    </row>
    <row r="45" spans="1:5" x14ac:dyDescent="0.25">
      <c r="A45" s="33" t="s">
        <v>356</v>
      </c>
      <c r="B45" s="33" t="s">
        <v>422</v>
      </c>
      <c r="C45" s="33" t="s">
        <v>422</v>
      </c>
      <c r="D45" s="33" t="s">
        <v>423</v>
      </c>
    </row>
    <row r="47" spans="1:5" ht="45" x14ac:dyDescent="0.25">
      <c r="B47" s="15" t="s">
        <v>424</v>
      </c>
      <c r="C47" s="15" t="s">
        <v>425</v>
      </c>
      <c r="D47" s="15" t="s">
        <v>426</v>
      </c>
    </row>
    <row r="48" spans="1:5" x14ac:dyDescent="0.25">
      <c r="A48" s="4" t="s">
        <v>139</v>
      </c>
      <c r="B48" s="10"/>
      <c r="C48" s="39">
        <f>1/(1+Input!B68)</f>
        <v>0.93092377884672894</v>
      </c>
      <c r="D48" s="39">
        <f t="shared" ref="D48:D54" si="1">1/C48-1</f>
        <v>7.4201801181666971E-2</v>
      </c>
      <c r="E48" s="17"/>
    </row>
    <row r="49" spans="1:5" x14ac:dyDescent="0.25">
      <c r="A49" s="4" t="s">
        <v>140</v>
      </c>
      <c r="B49" s="39">
        <f>1/(1+Input!B69)</f>
        <v>0.955299570960224</v>
      </c>
      <c r="C49" s="39">
        <f>C48/(1+Input!B69)</f>
        <v>0.88931108652895063</v>
      </c>
      <c r="D49" s="39">
        <f t="shared" si="1"/>
        <v>0.12446590978987637</v>
      </c>
      <c r="E49" s="17"/>
    </row>
    <row r="50" spans="1:5" x14ac:dyDescent="0.25">
      <c r="A50" s="4" t="s">
        <v>141</v>
      </c>
      <c r="B50" s="39">
        <f>B49/(1+Input!B70)</f>
        <v>0.955299570960224</v>
      </c>
      <c r="C50" s="39">
        <f>C49/(1+Input!B70)</f>
        <v>0.88931108652895063</v>
      </c>
      <c r="D50" s="39">
        <f t="shared" si="1"/>
        <v>0.12446590978987637</v>
      </c>
      <c r="E50" s="17"/>
    </row>
    <row r="51" spans="1:5" x14ac:dyDescent="0.25">
      <c r="A51" s="4" t="s">
        <v>142</v>
      </c>
      <c r="B51" s="39">
        <f>B50/(1+Input!B71)</f>
        <v>0.87893067037779593</v>
      </c>
      <c r="C51" s="39">
        <f>C50/(1+Input!B71)</f>
        <v>0.81821746101238657</v>
      </c>
      <c r="D51" s="39">
        <f t="shared" si="1"/>
        <v>0.22216898031324406</v>
      </c>
      <c r="E51" s="17"/>
    </row>
    <row r="52" spans="1:5" x14ac:dyDescent="0.25">
      <c r="A52" s="4" t="s">
        <v>143</v>
      </c>
      <c r="B52" s="39">
        <f>B51/(1+Input!B72)</f>
        <v>0.87893067037779593</v>
      </c>
      <c r="C52" s="39">
        <f>C51/(1+Input!B72)</f>
        <v>0.81821746101238657</v>
      </c>
      <c r="D52" s="39">
        <f t="shared" si="1"/>
        <v>0.22216898031324406</v>
      </c>
      <c r="E52" s="17"/>
    </row>
    <row r="53" spans="1:5" x14ac:dyDescent="0.25">
      <c r="A53" s="4" t="s">
        <v>144</v>
      </c>
      <c r="B53" s="39">
        <f>B52/(1+Input!B73)</f>
        <v>0.673192662309122</v>
      </c>
      <c r="C53" s="39">
        <f>C52/(1+Input!B73)</f>
        <v>0.62669105708869777</v>
      </c>
      <c r="D53" s="39">
        <f t="shared" si="1"/>
        <v>0.59568257547110104</v>
      </c>
      <c r="E53" s="17"/>
    </row>
    <row r="54" spans="1:5" x14ac:dyDescent="0.25">
      <c r="A54" s="4" t="s">
        <v>145</v>
      </c>
      <c r="B54" s="39">
        <f>B53/(1+Input!B74)</f>
        <v>0.673192662309122</v>
      </c>
      <c r="C54" s="39">
        <f>C53/(1+Input!B74)</f>
        <v>0.62669105708869777</v>
      </c>
      <c r="D54" s="39">
        <f t="shared" si="1"/>
        <v>0.59568257547110104</v>
      </c>
      <c r="E54" s="17"/>
    </row>
    <row r="55" spans="1:5" x14ac:dyDescent="0.25">
      <c r="A55" s="4" t="s">
        <v>146</v>
      </c>
      <c r="B55" s="39">
        <f>B54/(1+Input!B75)</f>
        <v>0.673192662309122</v>
      </c>
      <c r="C55" s="39">
        <f>C54/(1+Input!B75)</f>
        <v>0.62669105708869777</v>
      </c>
      <c r="D55" s="10"/>
      <c r="E55" s="17"/>
    </row>
    <row r="57" spans="1:5" ht="21" customHeight="1" x14ac:dyDescent="0.3">
      <c r="A57" s="1" t="s">
        <v>427</v>
      </c>
    </row>
    <row r="58" spans="1:5" x14ac:dyDescent="0.25">
      <c r="A58" s="2" t="s">
        <v>350</v>
      </c>
    </row>
    <row r="59" spans="1:5" x14ac:dyDescent="0.25">
      <c r="A59" s="32" t="s">
        <v>428</v>
      </c>
    </row>
    <row r="60" spans="1:5" x14ac:dyDescent="0.25">
      <c r="A60" s="32" t="s">
        <v>429</v>
      </c>
    </row>
    <row r="61" spans="1:5" x14ac:dyDescent="0.25">
      <c r="A61" s="2" t="s">
        <v>430</v>
      </c>
    </row>
    <row r="63" spans="1:5" ht="45" x14ac:dyDescent="0.25">
      <c r="B63" s="15" t="s">
        <v>431</v>
      </c>
    </row>
    <row r="64" spans="1:5" x14ac:dyDescent="0.25">
      <c r="A64" s="4" t="s">
        <v>140</v>
      </c>
      <c r="B64" s="37">
        <f>Input!B$85/B$49</f>
        <v>523.39602696295844</v>
      </c>
      <c r="C64" s="17"/>
    </row>
    <row r="65" spans="1:3" x14ac:dyDescent="0.25">
      <c r="A65" s="4" t="s">
        <v>141</v>
      </c>
      <c r="B65" s="37">
        <f>Input!B$85/B$50</f>
        <v>523.39602696295844</v>
      </c>
      <c r="C65" s="17"/>
    </row>
    <row r="66" spans="1:3" x14ac:dyDescent="0.25">
      <c r="A66" s="4" t="s">
        <v>142</v>
      </c>
      <c r="B66" s="37">
        <f>Input!B$85/B$51</f>
        <v>568.87308277122929</v>
      </c>
      <c r="C66" s="17"/>
    </row>
    <row r="67" spans="1:3" x14ac:dyDescent="0.25">
      <c r="A67" s="4" t="s">
        <v>143</v>
      </c>
      <c r="B67" s="37">
        <f>Input!B$85/B$52</f>
        <v>568.87308277122929</v>
      </c>
      <c r="C67" s="17"/>
    </row>
    <row r="68" spans="1:3" x14ac:dyDescent="0.25">
      <c r="A68" s="4" t="s">
        <v>144</v>
      </c>
      <c r="B68" s="37">
        <f>Input!B$85/B$53</f>
        <v>742.72942649871902</v>
      </c>
      <c r="C68" s="17"/>
    </row>
    <row r="69" spans="1:3" x14ac:dyDescent="0.25">
      <c r="A69" s="4" t="s">
        <v>145</v>
      </c>
      <c r="B69" s="37">
        <f>Input!B$85/B$54</f>
        <v>742.72942649871902</v>
      </c>
      <c r="C69" s="17"/>
    </row>
    <row r="70" spans="1:3" x14ac:dyDescent="0.25">
      <c r="A70" s="4" t="s">
        <v>146</v>
      </c>
      <c r="B70" s="37">
        <f>Input!B$85/B$55</f>
        <v>742.72942649871902</v>
      </c>
      <c r="C70" s="17"/>
    </row>
    <row r="72" spans="1:3" ht="21" customHeight="1" x14ac:dyDescent="0.3">
      <c r="A72" s="1" t="s">
        <v>432</v>
      </c>
    </row>
    <row r="73" spans="1:3" x14ac:dyDescent="0.25">
      <c r="A73" s="2" t="s">
        <v>350</v>
      </c>
    </row>
    <row r="74" spans="1:3" x14ac:dyDescent="0.25">
      <c r="A74" s="32" t="s">
        <v>433</v>
      </c>
    </row>
    <row r="75" spans="1:3" x14ac:dyDescent="0.25">
      <c r="A75" s="32" t="s">
        <v>434</v>
      </c>
    </row>
    <row r="76" spans="1:3" x14ac:dyDescent="0.25">
      <c r="A76" s="32" t="s">
        <v>435</v>
      </c>
    </row>
    <row r="77" spans="1:3" x14ac:dyDescent="0.25">
      <c r="A77" s="2" t="s">
        <v>436</v>
      </c>
    </row>
    <row r="79" spans="1:3" ht="75" x14ac:dyDescent="0.25">
      <c r="B79" s="15" t="s">
        <v>437</v>
      </c>
    </row>
    <row r="80" spans="1:3" x14ac:dyDescent="0.25">
      <c r="A80" s="4" t="s">
        <v>140</v>
      </c>
      <c r="B80" s="37">
        <f>B64*C$49/B$32</f>
        <v>460.75862525995393</v>
      </c>
      <c r="C80" s="17"/>
    </row>
    <row r="81" spans="1:3" x14ac:dyDescent="0.25">
      <c r="A81" s="4" t="s">
        <v>141</v>
      </c>
      <c r="B81" s="37">
        <f>B65*C$50/B$33</f>
        <v>458.50727311313358</v>
      </c>
      <c r="C81" s="17"/>
    </row>
    <row r="82" spans="1:3" x14ac:dyDescent="0.25">
      <c r="A82" s="4" t="s">
        <v>142</v>
      </c>
      <c r="B82" s="37">
        <f>B66*C$51/B$34</f>
        <v>455.61463518376689</v>
      </c>
      <c r="C82" s="17"/>
    </row>
    <row r="83" spans="1:3" x14ac:dyDescent="0.25">
      <c r="A83" s="4" t="s">
        <v>143</v>
      </c>
      <c r="B83" s="37">
        <f>B67*C$52/B$35</f>
        <v>453.1614045041805</v>
      </c>
      <c r="C83" s="17"/>
    </row>
    <row r="84" spans="1:3" x14ac:dyDescent="0.25">
      <c r="A84" s="4" t="s">
        <v>144</v>
      </c>
      <c r="B84" s="37">
        <f>B68*C$53/B$36</f>
        <v>447.7824375474604</v>
      </c>
      <c r="C84" s="17"/>
    </row>
    <row r="85" spans="1:3" x14ac:dyDescent="0.25">
      <c r="A85" s="4" t="s">
        <v>145</v>
      </c>
      <c r="B85" s="37">
        <f>B69*C$54/B$37</f>
        <v>441.98660912812181</v>
      </c>
      <c r="C85" s="17"/>
    </row>
    <row r="86" spans="1:3" x14ac:dyDescent="0.25">
      <c r="A86" s="4" t="s">
        <v>146</v>
      </c>
      <c r="B86" s="37">
        <f>B70*C$55/B$38</f>
        <v>421.03311555415939</v>
      </c>
      <c r="C86" s="17"/>
    </row>
    <row r="88" spans="1:3" ht="21" customHeight="1" x14ac:dyDescent="0.3">
      <c r="A88" s="1" t="s">
        <v>438</v>
      </c>
    </row>
    <row r="89" spans="1:3" x14ac:dyDescent="0.25">
      <c r="A89" s="2" t="s">
        <v>350</v>
      </c>
    </row>
    <row r="90" spans="1:3" x14ac:dyDescent="0.25">
      <c r="A90" s="32" t="s">
        <v>375</v>
      </c>
    </row>
    <row r="91" spans="1:3" x14ac:dyDescent="0.25">
      <c r="A91" s="32" t="s">
        <v>380</v>
      </c>
    </row>
    <row r="92" spans="1:3" x14ac:dyDescent="0.25">
      <c r="A92" s="32" t="s">
        <v>381</v>
      </c>
    </row>
    <row r="93" spans="1:3" x14ac:dyDescent="0.25">
      <c r="A93" s="32" t="s">
        <v>382</v>
      </c>
    </row>
    <row r="94" spans="1:3" x14ac:dyDescent="0.25">
      <c r="A94" s="2" t="s">
        <v>383</v>
      </c>
    </row>
    <row r="95" spans="1:3" x14ac:dyDescent="0.25">
      <c r="A95" s="2" t="s">
        <v>439</v>
      </c>
    </row>
    <row r="97" spans="1:10" x14ac:dyDescent="0.25">
      <c r="B97" s="15" t="s">
        <v>140</v>
      </c>
      <c r="C97" s="15" t="s">
        <v>141</v>
      </c>
      <c r="D97" s="15" t="s">
        <v>142</v>
      </c>
      <c r="E97" s="15" t="s">
        <v>143</v>
      </c>
      <c r="F97" s="15" t="s">
        <v>148</v>
      </c>
      <c r="G97" s="15" t="s">
        <v>144</v>
      </c>
      <c r="H97" s="15" t="s">
        <v>145</v>
      </c>
      <c r="I97" s="15" t="s">
        <v>146</v>
      </c>
    </row>
    <row r="98" spans="1:10" x14ac:dyDescent="0.25">
      <c r="A98" s="4" t="s">
        <v>140</v>
      </c>
      <c r="B98" s="40">
        <v>1</v>
      </c>
      <c r="C98" s="40">
        <v>0</v>
      </c>
      <c r="D98" s="40">
        <v>0</v>
      </c>
      <c r="E98" s="40">
        <v>0</v>
      </c>
      <c r="F98" s="40">
        <v>0</v>
      </c>
      <c r="G98" s="40">
        <v>0</v>
      </c>
      <c r="H98" s="40">
        <v>0</v>
      </c>
      <c r="I98" s="40">
        <v>0</v>
      </c>
      <c r="J98" s="17"/>
    </row>
    <row r="99" spans="1:10" x14ac:dyDescent="0.25">
      <c r="A99" s="4" t="s">
        <v>141</v>
      </c>
      <c r="B99" s="40">
        <v>0</v>
      </c>
      <c r="C99" s="41">
        <f>LAFs!$B$119</f>
        <v>1</v>
      </c>
      <c r="D99" s="40">
        <v>0</v>
      </c>
      <c r="E99" s="40">
        <v>0</v>
      </c>
      <c r="F99" s="40">
        <v>0</v>
      </c>
      <c r="G99" s="40">
        <v>0</v>
      </c>
      <c r="H99" s="40">
        <v>0</v>
      </c>
      <c r="I99" s="40">
        <v>0</v>
      </c>
      <c r="J99" s="17"/>
    </row>
    <row r="100" spans="1:10" x14ac:dyDescent="0.25">
      <c r="A100" s="4" t="s">
        <v>142</v>
      </c>
      <c r="B100" s="40">
        <v>0</v>
      </c>
      <c r="C100" s="40">
        <v>0</v>
      </c>
      <c r="D100" s="41">
        <f>LAFs!$B$127</f>
        <v>1</v>
      </c>
      <c r="E100" s="40">
        <v>0</v>
      </c>
      <c r="F100" s="40">
        <v>0</v>
      </c>
      <c r="G100" s="40">
        <v>0</v>
      </c>
      <c r="H100" s="40">
        <v>0</v>
      </c>
      <c r="I100" s="40">
        <v>0</v>
      </c>
      <c r="J100" s="17"/>
    </row>
    <row r="101" spans="1:10" x14ac:dyDescent="0.25">
      <c r="A101" s="4" t="s">
        <v>143</v>
      </c>
      <c r="B101" s="40">
        <v>0</v>
      </c>
      <c r="C101" s="40">
        <v>0</v>
      </c>
      <c r="D101" s="40">
        <v>0</v>
      </c>
      <c r="E101" s="41">
        <f>LAFs!$B$135</f>
        <v>1</v>
      </c>
      <c r="F101" s="41">
        <f>Input!$B$80</f>
        <v>0</v>
      </c>
      <c r="G101" s="40">
        <v>0</v>
      </c>
      <c r="H101" s="40">
        <v>0</v>
      </c>
      <c r="I101" s="40">
        <v>0</v>
      </c>
      <c r="J101" s="17"/>
    </row>
    <row r="102" spans="1:10" x14ac:dyDescent="0.25">
      <c r="A102" s="4" t="s">
        <v>144</v>
      </c>
      <c r="B102" s="40">
        <v>0</v>
      </c>
      <c r="C102" s="40">
        <v>0</v>
      </c>
      <c r="D102" s="40">
        <v>0</v>
      </c>
      <c r="E102" s="40">
        <v>0</v>
      </c>
      <c r="F102" s="40">
        <v>0</v>
      </c>
      <c r="G102" s="40">
        <v>1</v>
      </c>
      <c r="H102" s="40">
        <v>0</v>
      </c>
      <c r="I102" s="40">
        <v>0</v>
      </c>
      <c r="J102" s="17"/>
    </row>
    <row r="103" spans="1:10" x14ac:dyDescent="0.25">
      <c r="A103" s="4" t="s">
        <v>145</v>
      </c>
      <c r="B103" s="40">
        <v>0</v>
      </c>
      <c r="C103" s="40">
        <v>0</v>
      </c>
      <c r="D103" s="40">
        <v>0</v>
      </c>
      <c r="E103" s="40">
        <v>0</v>
      </c>
      <c r="F103" s="40">
        <v>0</v>
      </c>
      <c r="G103" s="40">
        <v>0</v>
      </c>
      <c r="H103" s="40">
        <v>1</v>
      </c>
      <c r="I103" s="40">
        <v>0</v>
      </c>
      <c r="J103" s="17"/>
    </row>
    <row r="104" spans="1:10" x14ac:dyDescent="0.25">
      <c r="A104" s="4" t="s">
        <v>146</v>
      </c>
      <c r="B104" s="40">
        <v>0</v>
      </c>
      <c r="C104" s="40">
        <v>0</v>
      </c>
      <c r="D104" s="40">
        <v>0</v>
      </c>
      <c r="E104" s="40">
        <v>0</v>
      </c>
      <c r="F104" s="40">
        <v>0</v>
      </c>
      <c r="G104" s="40">
        <v>0</v>
      </c>
      <c r="H104" s="40">
        <v>0</v>
      </c>
      <c r="I104" s="40">
        <v>1</v>
      </c>
      <c r="J104" s="17"/>
    </row>
    <row r="106" spans="1:10" ht="21" customHeight="1" x14ac:dyDescent="0.3">
      <c r="A106" s="1" t="s">
        <v>440</v>
      </c>
    </row>
    <row r="107" spans="1:10" x14ac:dyDescent="0.25">
      <c r="A107" s="2" t="s">
        <v>350</v>
      </c>
    </row>
    <row r="108" spans="1:10" x14ac:dyDescent="0.25">
      <c r="A108" s="32" t="s">
        <v>441</v>
      </c>
    </row>
    <row r="109" spans="1:10" x14ac:dyDescent="0.25">
      <c r="A109" s="32" t="s">
        <v>442</v>
      </c>
    </row>
    <row r="110" spans="1:10" x14ac:dyDescent="0.25">
      <c r="A110" s="2" t="s">
        <v>363</v>
      </c>
    </row>
    <row r="112" spans="1:10" ht="60" x14ac:dyDescent="0.25">
      <c r="B112" s="15" t="s">
        <v>443</v>
      </c>
    </row>
    <row r="113" spans="1:3" x14ac:dyDescent="0.25">
      <c r="A113" s="4" t="s">
        <v>140</v>
      </c>
      <c r="B113" s="37">
        <f>SUMPRODUCT(B$80:B$86,$B$98:$B$104)</f>
        <v>460.75862525995393</v>
      </c>
      <c r="C113" s="17"/>
    </row>
    <row r="114" spans="1:3" x14ac:dyDescent="0.25">
      <c r="A114" s="4" t="s">
        <v>141</v>
      </c>
      <c r="B114" s="37">
        <f>SUMPRODUCT(B$80:B$86,$C$98:$C$104)</f>
        <v>458.50727311313358</v>
      </c>
      <c r="C114" s="17"/>
    </row>
    <row r="115" spans="1:3" x14ac:dyDescent="0.25">
      <c r="A115" s="4" t="s">
        <v>142</v>
      </c>
      <c r="B115" s="37">
        <f>SUMPRODUCT(B$80:B$86,$D$98:$D$104)</f>
        <v>455.61463518376689</v>
      </c>
      <c r="C115" s="17"/>
    </row>
    <row r="116" spans="1:3" x14ac:dyDescent="0.25">
      <c r="A116" s="4" t="s">
        <v>143</v>
      </c>
      <c r="B116" s="37">
        <f>SUMPRODUCT(B$80:B$86,$E$98:$E$104)</f>
        <v>453.1614045041805</v>
      </c>
      <c r="C116" s="17"/>
    </row>
    <row r="117" spans="1:3" x14ac:dyDescent="0.25">
      <c r="A117" s="4" t="s">
        <v>148</v>
      </c>
      <c r="B117" s="37">
        <f>SUMPRODUCT(B$80:B$86,$F$98:$F$104)</f>
        <v>0</v>
      </c>
      <c r="C117" s="17"/>
    </row>
    <row r="118" spans="1:3" x14ac:dyDescent="0.25">
      <c r="A118" s="4" t="s">
        <v>144</v>
      </c>
      <c r="B118" s="37">
        <f>SUMPRODUCT(B$80:B$86,$G$98:$G$104)</f>
        <v>447.7824375474604</v>
      </c>
      <c r="C118" s="17"/>
    </row>
    <row r="119" spans="1:3" x14ac:dyDescent="0.25">
      <c r="A119" s="4" t="s">
        <v>145</v>
      </c>
      <c r="B119" s="37">
        <f>SUMPRODUCT(B$80:B$86,$H$98:$H$104)</f>
        <v>441.98660912812181</v>
      </c>
      <c r="C119" s="17"/>
    </row>
    <row r="120" spans="1:3" x14ac:dyDescent="0.25">
      <c r="A120" s="4" t="s">
        <v>146</v>
      </c>
      <c r="B120" s="37">
        <f>SUMPRODUCT(B$80:B$86,$I$98:$I$104)</f>
        <v>421.03311555415939</v>
      </c>
      <c r="C120" s="17"/>
    </row>
    <row r="122" spans="1:3" ht="21" customHeight="1" x14ac:dyDescent="0.3">
      <c r="A122" s="1" t="s">
        <v>444</v>
      </c>
    </row>
    <row r="123" spans="1:3" x14ac:dyDescent="0.25">
      <c r="A123" s="2" t="s">
        <v>350</v>
      </c>
    </row>
    <row r="124" spans="1:3" x14ac:dyDescent="0.25">
      <c r="A124" s="32" t="s">
        <v>445</v>
      </c>
    </row>
    <row r="125" spans="1:3" x14ac:dyDescent="0.25">
      <c r="A125" s="32" t="s">
        <v>446</v>
      </c>
    </row>
    <row r="126" spans="1:3" x14ac:dyDescent="0.25">
      <c r="A126" s="32" t="s">
        <v>447</v>
      </c>
    </row>
    <row r="127" spans="1:3" x14ac:dyDescent="0.25">
      <c r="A127" s="2" t="s">
        <v>448</v>
      </c>
    </row>
    <row r="129" spans="1:3" x14ac:dyDescent="0.25">
      <c r="B129" s="15" t="s">
        <v>449</v>
      </c>
    </row>
    <row r="130" spans="1:3" x14ac:dyDescent="0.25">
      <c r="A130" s="4" t="s">
        <v>450</v>
      </c>
      <c r="B130" s="37">
        <f>IF(B113,0.001*Input!B90*B$12/B113,0)</f>
        <v>10.535904241829474</v>
      </c>
      <c r="C130" s="17"/>
    </row>
    <row r="131" spans="1:3" x14ac:dyDescent="0.25">
      <c r="A131" s="4" t="s">
        <v>451</v>
      </c>
      <c r="B131" s="37">
        <f>IF(B114,0.001*Input!B91*B$12/B114,0)</f>
        <v>4.1879969572131355</v>
      </c>
      <c r="C131" s="17"/>
    </row>
    <row r="132" spans="1:3" x14ac:dyDescent="0.25">
      <c r="A132" s="4" t="s">
        <v>452</v>
      </c>
      <c r="B132" s="37">
        <f>IF(B115,0.001*Input!B92*B$12/B115,0)</f>
        <v>10.642114602247615</v>
      </c>
      <c r="C132" s="17"/>
    </row>
    <row r="133" spans="1:3" x14ac:dyDescent="0.25">
      <c r="A133" s="4" t="s">
        <v>453</v>
      </c>
      <c r="B133" s="37">
        <f>IF(B116,0.001*Input!B93*B$12/B116,0)</f>
        <v>6.7494239248581405</v>
      </c>
      <c r="C133" s="17"/>
    </row>
    <row r="134" spans="1:3" x14ac:dyDescent="0.25">
      <c r="A134" s="4" t="s">
        <v>454</v>
      </c>
      <c r="B134" s="37">
        <f>IF(B117,0.001*Input!B94*B$12/B117,0)</f>
        <v>0</v>
      </c>
      <c r="C134" s="17"/>
    </row>
    <row r="135" spans="1:3" x14ac:dyDescent="0.25">
      <c r="A135" s="4" t="s">
        <v>455</v>
      </c>
      <c r="B135" s="37">
        <f>IF(B118,0.001*Input!B95*B$12/B118,0)</f>
        <v>12.400642698746287</v>
      </c>
      <c r="C135" s="17"/>
    </row>
    <row r="136" spans="1:3" x14ac:dyDescent="0.25">
      <c r="A136" s="4" t="s">
        <v>456</v>
      </c>
      <c r="B136" s="37">
        <f>IF(B119,0.001*Input!B96*B$12/B119,0)</f>
        <v>11.406434583456836</v>
      </c>
      <c r="C136" s="17"/>
    </row>
    <row r="137" spans="1:3" x14ac:dyDescent="0.25">
      <c r="A137" s="4" t="s">
        <v>457</v>
      </c>
      <c r="B137" s="37">
        <f>IF(B120,0.001*Input!B97*B$12/B120,0)</f>
        <v>6.6379808477580342</v>
      </c>
      <c r="C137" s="17"/>
    </row>
  </sheetData>
  <sheetProtection sheet="1" objects="1" scenarios="1"/>
  <hyperlinks>
    <hyperlink ref="A6" location="'Input'!B57" display="x1 = 1010. Rate of return (in Financial and general assumptions)"/>
    <hyperlink ref="A7" location="'Input'!C57" display="x2 = 1010. Annualisation period (years) (in Financial and general assumptions)"/>
    <hyperlink ref="A8" location="'Input'!F57" display="x3 = 1010. Days in the charging year (in Financial and general assumptions)"/>
    <hyperlink ref="A16" location="'Input'!B147" display="x1 = 1032. Loss adjustment factors to transmission"/>
    <hyperlink ref="A25" location="'DRM'!B20" display="x1 = 2102. Loss adjustment factor to transmission for each core level"/>
    <hyperlink ref="A26" location="'DRM'!B30" display="x2 = Loss adjustment factor to transmission for network level exit (in Loss adjustment factors)"/>
    <hyperlink ref="A42" location="'Input'!B67" display="x1 = 1017. Diversity allowance between top and bottom of network level"/>
    <hyperlink ref="A43" location="'DRM'!C47" display="x2 = Coincidence to system peak at level exit (in Diversity calculations)"/>
    <hyperlink ref="A59" location="'Input'!B84" display="x1 = 1019. Network model GSP peak demand (MW)"/>
    <hyperlink ref="A60" location="'DRM'!B47" display="x2 = 2104. Coincidence to GSP peak at level exit (in Diversity calculations)"/>
    <hyperlink ref="A74" location="'DRM'!B63" display="x1 = 2105. Network model total maximum demand at substation (MW)"/>
    <hyperlink ref="A75" location="'DRM'!C47" display="x2 = 2104. Coincidence to system peak at level exit (in Diversity calculations)"/>
    <hyperlink ref="A76" location="'DRM'!B30" display="x3 = 2103. Loss adjustment factor to transmission for network level exit (in Loss adjustment factors)"/>
    <hyperlink ref="A90" location="'Input'!B79" display="x1 = 1018. Proportion of relevant load going through 132kV/HV direct transformation"/>
    <hyperlink ref="A91" location="'LAFs'!B118" display="x2 = 2006. Proportion going through 132kV/EHV"/>
    <hyperlink ref="A92" location="'LAFs'!B126" display="x3 = 2007. Proportion going through EHV"/>
    <hyperlink ref="A93" location="'LAFs'!B134" display="x4 = 2008. Proportion going through EHV/HV"/>
    <hyperlink ref="A108" location="'DRM'!B79" display="x1 = 2106. Network model contribution to system maximum load measured at network level exit (MW)"/>
    <hyperlink ref="A109" location="'DRM'!B97" display="x2 = 2107. Rerouteing matrix for DRM network levels"/>
    <hyperlink ref="A124" location="'DRM'!B112" display="x1 = 2108. GSP simultaneous maximum load assumed through each network level (MW)"/>
    <hyperlink ref="A125" location="'Input'!B89" display="x2 = 1020. Gross asset cost by network level (£)"/>
    <hyperlink ref="A126" location="'DRM'!B11" display="x3 = 2101. Annuity rate"/>
  </hyperlinks>
  <pageMargins left="0.7" right="0.7" top="0.75" bottom="0.75" header="0.3" footer="0.3"/>
  <pageSetup paperSize="9" fitToHeight="0" orientation="portrait"/>
  <headerFooter>
    <oddHeader>&amp;L&amp;A&amp;C&amp;R&amp;P of &amp;N</oddHeader>
    <oddFooter>&amp;F</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32"/>
  <sheetViews>
    <sheetView showGridLines="0" workbookViewId="0">
      <pane ySplit="1" topLeftCell="A2" activePane="bottomLeft" state="frozen"/>
      <selection pane="bottomLeft"/>
    </sheetView>
  </sheetViews>
  <sheetFormatPr defaultRowHeight="15" x14ac:dyDescent="0.25"/>
  <cols>
    <col min="1" max="1" width="50.7109375" customWidth="1"/>
    <col min="2" max="251" width="24.7109375" customWidth="1"/>
  </cols>
  <sheetData>
    <row r="1" spans="1:3" ht="21" customHeight="1" x14ac:dyDescent="0.3">
      <c r="A1" s="1" t="str">
        <f>"Service models for "&amp;Input!B7&amp;" in "&amp;Input!C7&amp;" ("&amp;Input!D7&amp;")"</f>
        <v>Service models for Electricity North West in 2017/2018 (December 2015)</v>
      </c>
    </row>
    <row r="2" spans="1:3" x14ac:dyDescent="0.25">
      <c r="A2" s="2" t="s">
        <v>458</v>
      </c>
    </row>
    <row r="4" spans="1:3" ht="21" customHeight="1" x14ac:dyDescent="0.3">
      <c r="A4" s="1" t="s">
        <v>459</v>
      </c>
    </row>
    <row r="5" spans="1:3" x14ac:dyDescent="0.25">
      <c r="A5" s="2" t="s">
        <v>350</v>
      </c>
    </row>
    <row r="6" spans="1:3" x14ac:dyDescent="0.25">
      <c r="A6" s="32" t="s">
        <v>460</v>
      </c>
    </row>
    <row r="7" spans="1:3" x14ac:dyDescent="0.25">
      <c r="A7" s="32" t="s">
        <v>461</v>
      </c>
    </row>
    <row r="8" spans="1:3" x14ac:dyDescent="0.25">
      <c r="A8" s="2" t="s">
        <v>363</v>
      </c>
    </row>
    <row r="10" spans="1:3" ht="30" x14ac:dyDescent="0.25">
      <c r="B10" s="15" t="s">
        <v>462</v>
      </c>
    </row>
    <row r="11" spans="1:3" x14ac:dyDescent="0.25">
      <c r="A11" s="4" t="s">
        <v>171</v>
      </c>
      <c r="B11" s="21">
        <f>SUMPRODUCT(Input!$B112:$I112,Input!$B$102:$I$102)</f>
        <v>512.02007376941503</v>
      </c>
      <c r="C11" s="17"/>
    </row>
    <row r="12" spans="1:3" x14ac:dyDescent="0.25">
      <c r="A12" s="4" t="s">
        <v>172</v>
      </c>
      <c r="B12" s="21">
        <f>SUMPRODUCT(Input!$B113:$I113,Input!$B$102:$I$102)</f>
        <v>512.02007376941503</v>
      </c>
      <c r="C12" s="17"/>
    </row>
    <row r="13" spans="1:3" x14ac:dyDescent="0.25">
      <c r="A13" s="4" t="s">
        <v>173</v>
      </c>
      <c r="B13" s="21">
        <f>SUMPRODUCT(Input!$B114:$I114,Input!$B$102:$I$102)</f>
        <v>512.02007376941299</v>
      </c>
      <c r="C13" s="17"/>
    </row>
    <row r="14" spans="1:3" x14ac:dyDescent="0.25">
      <c r="A14" s="4" t="s">
        <v>174</v>
      </c>
      <c r="B14" s="21">
        <f>SUMPRODUCT(Input!$B115:$I115,Input!$B$102:$I$102)</f>
        <v>512.02007376941299</v>
      </c>
      <c r="C14" s="17"/>
    </row>
    <row r="15" spans="1:3" x14ac:dyDescent="0.25">
      <c r="A15" s="4" t="s">
        <v>175</v>
      </c>
      <c r="B15" s="21">
        <f>SUMPRODUCT(Input!$B116:$I116,Input!$B$102:$I$102)</f>
        <v>2043.5726663098478</v>
      </c>
      <c r="C15" s="17"/>
    </row>
    <row r="16" spans="1:3" x14ac:dyDescent="0.25">
      <c r="A16" s="4" t="s">
        <v>176</v>
      </c>
      <c r="B16" s="21">
        <f>SUMPRODUCT(Input!$B117:$I117,Input!$B$102:$I$102)</f>
        <v>7727.2582080883003</v>
      </c>
      <c r="C16" s="17"/>
    </row>
    <row r="17" spans="1:3" x14ac:dyDescent="0.25">
      <c r="A17" s="4" t="s">
        <v>177</v>
      </c>
      <c r="B17" s="21">
        <f>SUMPRODUCT(Input!$B118:$I118,Input!$B$102:$I$102)</f>
        <v>512.02007376941503</v>
      </c>
      <c r="C17" s="17"/>
    </row>
    <row r="18" spans="1:3" x14ac:dyDescent="0.25">
      <c r="A18" s="4" t="s">
        <v>178</v>
      </c>
      <c r="B18" s="21">
        <f>SUMPRODUCT(Input!$B119:$I119,Input!$B$102:$I$102)</f>
        <v>512.02007376941299</v>
      </c>
      <c r="C18" s="17"/>
    </row>
    <row r="19" spans="1:3" x14ac:dyDescent="0.25">
      <c r="A19" s="4" t="s">
        <v>179</v>
      </c>
      <c r="B19" s="21">
        <f>SUMPRODUCT(Input!$B120:$I120,Input!$B$102:$I$102)</f>
        <v>2407.1562571231998</v>
      </c>
      <c r="C19" s="17"/>
    </row>
    <row r="20" spans="1:3" x14ac:dyDescent="0.25">
      <c r="A20" s="4" t="s">
        <v>180</v>
      </c>
      <c r="B20" s="21">
        <f>SUMPRODUCT(Input!$B121:$I121,Input!$B$102:$I$102)</f>
        <v>7727.2582080883003</v>
      </c>
      <c r="C20" s="17"/>
    </row>
    <row r="21" spans="1:3" x14ac:dyDescent="0.25">
      <c r="A21" s="4" t="s">
        <v>181</v>
      </c>
      <c r="B21" s="21">
        <f>SUMPRODUCT(Input!$B122:$I122,Input!$B$102:$I$102)</f>
        <v>0</v>
      </c>
      <c r="C21" s="17"/>
    </row>
    <row r="22" spans="1:3" x14ac:dyDescent="0.25">
      <c r="A22" s="4" t="s">
        <v>182</v>
      </c>
      <c r="B22" s="21">
        <f>SUMPRODUCT(Input!$B123:$I123,Input!$B$102:$I$102)</f>
        <v>0</v>
      </c>
      <c r="C22" s="17"/>
    </row>
    <row r="23" spans="1:3" x14ac:dyDescent="0.25">
      <c r="A23" s="4" t="s">
        <v>183</v>
      </c>
      <c r="B23" s="21">
        <f>SUMPRODUCT(Input!$B124:$I124,Input!$B$102:$I$102)</f>
        <v>0</v>
      </c>
      <c r="C23" s="17"/>
    </row>
    <row r="24" spans="1:3" x14ac:dyDescent="0.25">
      <c r="A24" s="4" t="s">
        <v>184</v>
      </c>
      <c r="B24" s="21">
        <f>SUMPRODUCT(Input!$B125:$I125,Input!$B$102:$I$102)</f>
        <v>0</v>
      </c>
      <c r="C24" s="17"/>
    </row>
    <row r="25" spans="1:3" x14ac:dyDescent="0.25">
      <c r="A25" s="4" t="s">
        <v>185</v>
      </c>
      <c r="B25" s="21">
        <f>SUMPRODUCT(Input!$B126:$I126,Input!$B$102:$I$102)</f>
        <v>0</v>
      </c>
      <c r="C25" s="17"/>
    </row>
    <row r="26" spans="1:3" x14ac:dyDescent="0.25">
      <c r="A26" s="4" t="s">
        <v>186</v>
      </c>
      <c r="B26" s="21">
        <f>SUMPRODUCT(Input!$B127:$I127,Input!$B$102:$I$102)</f>
        <v>0</v>
      </c>
      <c r="C26" s="17"/>
    </row>
    <row r="28" spans="1:3" ht="21" customHeight="1" x14ac:dyDescent="0.3">
      <c r="A28" s="1" t="s">
        <v>463</v>
      </c>
    </row>
    <row r="29" spans="1:3" x14ac:dyDescent="0.25">
      <c r="A29" s="2" t="s">
        <v>350</v>
      </c>
    </row>
    <row r="30" spans="1:3" x14ac:dyDescent="0.25">
      <c r="A30" s="32" t="s">
        <v>464</v>
      </c>
    </row>
    <row r="31" spans="1:3" x14ac:dyDescent="0.25">
      <c r="A31" s="32" t="s">
        <v>461</v>
      </c>
    </row>
    <row r="32" spans="1:3" x14ac:dyDescent="0.25">
      <c r="A32" s="2" t="s">
        <v>363</v>
      </c>
    </row>
    <row r="34" spans="1:3" ht="30" x14ac:dyDescent="0.25">
      <c r="B34" s="15" t="s">
        <v>462</v>
      </c>
    </row>
    <row r="35" spans="1:3" x14ac:dyDescent="0.25">
      <c r="A35" s="4" t="s">
        <v>465</v>
      </c>
      <c r="B35" s="21">
        <f>SUMPRODUCT(Input!$B134:$I134,Input!$B$102:$I$102)</f>
        <v>808.46404124308276</v>
      </c>
      <c r="C35" s="17"/>
    </row>
    <row r="37" spans="1:3" ht="21" customHeight="1" x14ac:dyDescent="0.3">
      <c r="A37" s="1" t="s">
        <v>466</v>
      </c>
    </row>
    <row r="38" spans="1:3" x14ac:dyDescent="0.25">
      <c r="A38" s="2" t="s">
        <v>350</v>
      </c>
    </row>
    <row r="39" spans="1:3" x14ac:dyDescent="0.25">
      <c r="A39" s="32" t="s">
        <v>467</v>
      </c>
    </row>
    <row r="40" spans="1:3" x14ac:dyDescent="0.25">
      <c r="A40" s="32" t="s">
        <v>468</v>
      </c>
    </row>
    <row r="41" spans="1:3" x14ac:dyDescent="0.25">
      <c r="A41" s="32" t="s">
        <v>447</v>
      </c>
    </row>
    <row r="42" spans="1:3" x14ac:dyDescent="0.25">
      <c r="A42" s="2" t="s">
        <v>469</v>
      </c>
    </row>
    <row r="44" spans="1:3" ht="30" x14ac:dyDescent="0.25">
      <c r="B44" s="15" t="s">
        <v>462</v>
      </c>
    </row>
    <row r="45" spans="1:3" x14ac:dyDescent="0.25">
      <c r="A45" s="4" t="s">
        <v>470</v>
      </c>
      <c r="B45" s="37">
        <f>0.1*Input!$D58*B35*DRM!$B12</f>
        <v>0</v>
      </c>
      <c r="C45" s="17"/>
    </row>
    <row r="47" spans="1:3" ht="21" customHeight="1" x14ac:dyDescent="0.3">
      <c r="A47" s="1" t="s">
        <v>471</v>
      </c>
    </row>
    <row r="48" spans="1:3" x14ac:dyDescent="0.25">
      <c r="A48" s="2" t="s">
        <v>350</v>
      </c>
    </row>
    <row r="49" spans="1:3" x14ac:dyDescent="0.25">
      <c r="A49" s="32" t="s">
        <v>472</v>
      </c>
    </row>
    <row r="50" spans="1:3" x14ac:dyDescent="0.25">
      <c r="A50" s="32" t="s">
        <v>473</v>
      </c>
    </row>
    <row r="51" spans="1:3" x14ac:dyDescent="0.25">
      <c r="A51" s="2" t="s">
        <v>363</v>
      </c>
    </row>
    <row r="53" spans="1:3" ht="30" x14ac:dyDescent="0.25">
      <c r="B53" s="15" t="s">
        <v>474</v>
      </c>
    </row>
    <row r="54" spans="1:3" x14ac:dyDescent="0.25">
      <c r="A54" s="4" t="s">
        <v>192</v>
      </c>
      <c r="B54" s="21">
        <f>SUMPRODUCT(Input!$B139:$F139,Input!$B$107:$F$107)</f>
        <v>16991.210502362101</v>
      </c>
      <c r="C54" s="17"/>
    </row>
    <row r="55" spans="1:3" x14ac:dyDescent="0.25">
      <c r="A55" s="4" t="s">
        <v>193</v>
      </c>
      <c r="B55" s="21">
        <f>SUMPRODUCT(Input!$B140:$F140,Input!$B$107:$F$107)</f>
        <v>16991.210502362101</v>
      </c>
      <c r="C55" s="17"/>
    </row>
    <row r="56" spans="1:3" x14ac:dyDescent="0.25">
      <c r="A56" s="4" t="s">
        <v>194</v>
      </c>
      <c r="B56" s="21">
        <f>SUMPRODUCT(Input!$B141:$F141,Input!$B$107:$F$107)</f>
        <v>1144.1324999999999</v>
      </c>
      <c r="C56" s="17"/>
    </row>
    <row r="57" spans="1:3" x14ac:dyDescent="0.25">
      <c r="A57" s="4" t="s">
        <v>195</v>
      </c>
      <c r="B57" s="21">
        <f>SUMPRODUCT(Input!$B142:$F142,Input!$B$107:$F$107)</f>
        <v>1144.1324999999999</v>
      </c>
      <c r="C57" s="17"/>
    </row>
    <row r="59" spans="1:3" ht="21" customHeight="1" x14ac:dyDescent="0.3">
      <c r="A59" s="1" t="s">
        <v>475</v>
      </c>
    </row>
    <row r="60" spans="1:3" x14ac:dyDescent="0.25">
      <c r="A60" s="2" t="s">
        <v>350</v>
      </c>
    </row>
    <row r="61" spans="1:3" x14ac:dyDescent="0.25">
      <c r="A61" s="32" t="s">
        <v>476</v>
      </c>
    </row>
    <row r="62" spans="1:3" x14ac:dyDescent="0.25">
      <c r="A62" s="32" t="s">
        <v>477</v>
      </c>
    </row>
    <row r="63" spans="1:3" x14ac:dyDescent="0.25">
      <c r="A63" s="2" t="s">
        <v>368</v>
      </c>
    </row>
    <row r="65" spans="1:4" ht="30" x14ac:dyDescent="0.25">
      <c r="B65" s="15" t="s">
        <v>462</v>
      </c>
      <c r="C65" s="15" t="s">
        <v>474</v>
      </c>
    </row>
    <row r="66" spans="1:4" x14ac:dyDescent="0.25">
      <c r="A66" s="4" t="s">
        <v>171</v>
      </c>
      <c r="B66" s="38">
        <f>$B$11</f>
        <v>512.02007376941503</v>
      </c>
      <c r="C66" s="10"/>
      <c r="D66" s="17"/>
    </row>
    <row r="67" spans="1:4" x14ac:dyDescent="0.25">
      <c r="A67" s="4" t="s">
        <v>172</v>
      </c>
      <c r="B67" s="38">
        <f>$B$12</f>
        <v>512.02007376941503</v>
      </c>
      <c r="C67" s="10"/>
      <c r="D67" s="17"/>
    </row>
    <row r="68" spans="1:4" x14ac:dyDescent="0.25">
      <c r="A68" s="4" t="s">
        <v>213</v>
      </c>
      <c r="B68" s="10"/>
      <c r="C68" s="10"/>
      <c r="D68" s="17"/>
    </row>
    <row r="69" spans="1:4" x14ac:dyDescent="0.25">
      <c r="A69" s="4" t="s">
        <v>173</v>
      </c>
      <c r="B69" s="38">
        <f>$B$13</f>
        <v>512.02007376941299</v>
      </c>
      <c r="C69" s="10"/>
      <c r="D69" s="17"/>
    </row>
    <row r="70" spans="1:4" x14ac:dyDescent="0.25">
      <c r="A70" s="4" t="s">
        <v>174</v>
      </c>
      <c r="B70" s="38">
        <f>$B$14</f>
        <v>512.02007376941299</v>
      </c>
      <c r="C70" s="10"/>
      <c r="D70" s="17"/>
    </row>
    <row r="71" spans="1:4" x14ac:dyDescent="0.25">
      <c r="A71" s="4" t="s">
        <v>214</v>
      </c>
      <c r="B71" s="10"/>
      <c r="C71" s="10"/>
      <c r="D71" s="17"/>
    </row>
    <row r="72" spans="1:4" x14ac:dyDescent="0.25">
      <c r="A72" s="4" t="s">
        <v>175</v>
      </c>
      <c r="B72" s="38">
        <f>$B$15</f>
        <v>2043.5726663098478</v>
      </c>
      <c r="C72" s="10"/>
      <c r="D72" s="17"/>
    </row>
    <row r="73" spans="1:4" x14ac:dyDescent="0.25">
      <c r="A73" s="4" t="s">
        <v>176</v>
      </c>
      <c r="B73" s="38">
        <f>$B$16</f>
        <v>7727.2582080883003</v>
      </c>
      <c r="C73" s="10"/>
      <c r="D73" s="17"/>
    </row>
    <row r="74" spans="1:4" x14ac:dyDescent="0.25">
      <c r="A74" s="4" t="s">
        <v>192</v>
      </c>
      <c r="B74" s="10"/>
      <c r="C74" s="38">
        <f>$B$54</f>
        <v>16991.210502362101</v>
      </c>
      <c r="D74" s="17"/>
    </row>
    <row r="75" spans="1:4" x14ac:dyDescent="0.25">
      <c r="A75" s="4" t="s">
        <v>177</v>
      </c>
      <c r="B75" s="38">
        <f>$B$17</f>
        <v>512.02007376941503</v>
      </c>
      <c r="C75" s="10"/>
      <c r="D75" s="17"/>
    </row>
    <row r="76" spans="1:4" x14ac:dyDescent="0.25">
      <c r="A76" s="4" t="s">
        <v>178</v>
      </c>
      <c r="B76" s="38">
        <f>$B$18</f>
        <v>512.02007376941299</v>
      </c>
      <c r="C76" s="10"/>
      <c r="D76" s="17"/>
    </row>
    <row r="77" spans="1:4" x14ac:dyDescent="0.25">
      <c r="A77" s="4" t="s">
        <v>179</v>
      </c>
      <c r="B77" s="38">
        <f>$B$19</f>
        <v>2407.1562571231998</v>
      </c>
      <c r="C77" s="10"/>
      <c r="D77" s="17"/>
    </row>
    <row r="78" spans="1:4" x14ac:dyDescent="0.25">
      <c r="A78" s="4" t="s">
        <v>180</v>
      </c>
      <c r="B78" s="38">
        <f>$B$20</f>
        <v>7727.2582080883003</v>
      </c>
      <c r="C78" s="10"/>
      <c r="D78" s="17"/>
    </row>
    <row r="79" spans="1:4" x14ac:dyDescent="0.25">
      <c r="A79" s="4" t="s">
        <v>193</v>
      </c>
      <c r="B79" s="10"/>
      <c r="C79" s="38">
        <f>$B$55</f>
        <v>16991.210502362101</v>
      </c>
      <c r="D79" s="17"/>
    </row>
    <row r="80" spans="1:4" x14ac:dyDescent="0.25">
      <c r="A80" s="4" t="s">
        <v>215</v>
      </c>
      <c r="B80" s="10"/>
      <c r="C80" s="10"/>
      <c r="D80" s="17"/>
    </row>
    <row r="81" spans="1:4" x14ac:dyDescent="0.25">
      <c r="A81" s="4" t="s">
        <v>216</v>
      </c>
      <c r="B81" s="10"/>
      <c r="C81" s="10"/>
      <c r="D81" s="17"/>
    </row>
    <row r="82" spans="1:4" x14ac:dyDescent="0.25">
      <c r="A82" s="4" t="s">
        <v>217</v>
      </c>
      <c r="B82" s="10"/>
      <c r="C82" s="10"/>
      <c r="D82" s="17"/>
    </row>
    <row r="83" spans="1:4" x14ac:dyDescent="0.25">
      <c r="A83" s="4" t="s">
        <v>218</v>
      </c>
      <c r="B83" s="10"/>
      <c r="C83" s="10"/>
      <c r="D83" s="17"/>
    </row>
    <row r="84" spans="1:4" x14ac:dyDescent="0.25">
      <c r="A84" s="4" t="s">
        <v>219</v>
      </c>
      <c r="B84" s="10"/>
      <c r="C84" s="10"/>
      <c r="D84" s="17"/>
    </row>
    <row r="85" spans="1:4" x14ac:dyDescent="0.25">
      <c r="A85" s="4" t="s">
        <v>181</v>
      </c>
      <c r="B85" s="38">
        <f>$B$21</f>
        <v>0</v>
      </c>
      <c r="C85" s="10"/>
      <c r="D85" s="17"/>
    </row>
    <row r="86" spans="1:4" x14ac:dyDescent="0.25">
      <c r="A86" s="4" t="s">
        <v>182</v>
      </c>
      <c r="B86" s="38">
        <f>$B$22</f>
        <v>0</v>
      </c>
      <c r="C86" s="10"/>
      <c r="D86" s="17"/>
    </row>
    <row r="87" spans="1:4" x14ac:dyDescent="0.25">
      <c r="A87" s="4" t="s">
        <v>183</v>
      </c>
      <c r="B87" s="38">
        <f>$B$23</f>
        <v>0</v>
      </c>
      <c r="C87" s="10"/>
      <c r="D87" s="17"/>
    </row>
    <row r="88" spans="1:4" x14ac:dyDescent="0.25">
      <c r="A88" s="4" t="s">
        <v>184</v>
      </c>
      <c r="B88" s="38">
        <f>$B$24</f>
        <v>0</v>
      </c>
      <c r="C88" s="10"/>
      <c r="D88" s="17"/>
    </row>
    <row r="89" spans="1:4" x14ac:dyDescent="0.25">
      <c r="A89" s="4" t="s">
        <v>185</v>
      </c>
      <c r="B89" s="38">
        <f>$B$25</f>
        <v>0</v>
      </c>
      <c r="C89" s="10"/>
      <c r="D89" s="17"/>
    </row>
    <row r="90" spans="1:4" x14ac:dyDescent="0.25">
      <c r="A90" s="4" t="s">
        <v>186</v>
      </c>
      <c r="B90" s="38">
        <f>$B$26</f>
        <v>0</v>
      </c>
      <c r="C90" s="10"/>
      <c r="D90" s="17"/>
    </row>
    <row r="91" spans="1:4" x14ac:dyDescent="0.25">
      <c r="A91" s="4" t="s">
        <v>194</v>
      </c>
      <c r="B91" s="10"/>
      <c r="C91" s="38">
        <f>$B$56</f>
        <v>1144.1324999999999</v>
      </c>
      <c r="D91" s="17"/>
    </row>
    <row r="92" spans="1:4" x14ac:dyDescent="0.25">
      <c r="A92" s="4" t="s">
        <v>195</v>
      </c>
      <c r="B92" s="10"/>
      <c r="C92" s="38">
        <f>$B$57</f>
        <v>1144.1324999999999</v>
      </c>
      <c r="D92" s="17"/>
    </row>
    <row r="94" spans="1:4" ht="21" customHeight="1" x14ac:dyDescent="0.3">
      <c r="A94" s="1" t="s">
        <v>478</v>
      </c>
    </row>
    <row r="95" spans="1:4" x14ac:dyDescent="0.25">
      <c r="A95" s="2" t="s">
        <v>350</v>
      </c>
    </row>
    <row r="96" spans="1:4" x14ac:dyDescent="0.25">
      <c r="A96" s="32" t="s">
        <v>479</v>
      </c>
    </row>
    <row r="97" spans="1:5" x14ac:dyDescent="0.25">
      <c r="A97" s="32" t="s">
        <v>480</v>
      </c>
    </row>
    <row r="98" spans="1:5" x14ac:dyDescent="0.25">
      <c r="A98" s="32" t="s">
        <v>447</v>
      </c>
    </row>
    <row r="99" spans="1:5" x14ac:dyDescent="0.25">
      <c r="A99" s="32" t="s">
        <v>481</v>
      </c>
    </row>
    <row r="100" spans="1:5" x14ac:dyDescent="0.25">
      <c r="A100" s="32" t="s">
        <v>482</v>
      </c>
    </row>
    <row r="101" spans="1:5" x14ac:dyDescent="0.25">
      <c r="A101" s="33" t="s">
        <v>353</v>
      </c>
      <c r="B101" s="33" t="s">
        <v>483</v>
      </c>
      <c r="C101" s="33"/>
      <c r="D101" s="33" t="s">
        <v>484</v>
      </c>
    </row>
    <row r="102" spans="1:5" x14ac:dyDescent="0.25">
      <c r="A102" s="33" t="s">
        <v>356</v>
      </c>
      <c r="B102" s="33" t="s">
        <v>485</v>
      </c>
      <c r="C102" s="33"/>
      <c r="D102" s="33" t="s">
        <v>486</v>
      </c>
    </row>
    <row r="104" spans="1:5" x14ac:dyDescent="0.25">
      <c r="B104" s="31" t="s">
        <v>487</v>
      </c>
      <c r="C104" s="31"/>
    </row>
    <row r="105" spans="1:5" ht="30" x14ac:dyDescent="0.25">
      <c r="B105" s="15" t="s">
        <v>462</v>
      </c>
      <c r="C105" s="15" t="s">
        <v>474</v>
      </c>
      <c r="D105" s="15" t="s">
        <v>488</v>
      </c>
    </row>
    <row r="106" spans="1:5" x14ac:dyDescent="0.25">
      <c r="A106" s="4" t="s">
        <v>171</v>
      </c>
      <c r="B106" s="37">
        <f>100/Input!$F$58*B66*DRM!$B$12*Input!$D$58</f>
        <v>0</v>
      </c>
      <c r="C106" s="37">
        <f>100/Input!$F$58*C66*DRM!$B$12*Input!$D$58</f>
        <v>0</v>
      </c>
      <c r="D106" s="37">
        <f t="shared" ref="D106:D132" si="0">SUM($B106:$C106)</f>
        <v>0</v>
      </c>
      <c r="E106" s="17"/>
    </row>
    <row r="107" spans="1:5" x14ac:dyDescent="0.25">
      <c r="A107" s="4" t="s">
        <v>172</v>
      </c>
      <c r="B107" s="37">
        <f>100/Input!$F$58*B67*DRM!$B$12*Input!$D$58</f>
        <v>0</v>
      </c>
      <c r="C107" s="37">
        <f>100/Input!$F$58*C67*DRM!$B$12*Input!$D$58</f>
        <v>0</v>
      </c>
      <c r="D107" s="37">
        <f t="shared" si="0"/>
        <v>0</v>
      </c>
      <c r="E107" s="17"/>
    </row>
    <row r="108" spans="1:5" x14ac:dyDescent="0.25">
      <c r="A108" s="4" t="s">
        <v>213</v>
      </c>
      <c r="B108" s="37">
        <f>100/Input!$F$58*B68*DRM!$B$12*Input!$D$58</f>
        <v>0</v>
      </c>
      <c r="C108" s="37">
        <f>100/Input!$F$58*C68*DRM!$B$12*Input!$D$58</f>
        <v>0</v>
      </c>
      <c r="D108" s="37">
        <f t="shared" si="0"/>
        <v>0</v>
      </c>
      <c r="E108" s="17"/>
    </row>
    <row r="109" spans="1:5" x14ac:dyDescent="0.25">
      <c r="A109" s="4" t="s">
        <v>173</v>
      </c>
      <c r="B109" s="37">
        <f>100/Input!$F$58*B69*DRM!$B$12*Input!$D$58</f>
        <v>0</v>
      </c>
      <c r="C109" s="37">
        <f>100/Input!$F$58*C69*DRM!$B$12*Input!$D$58</f>
        <v>0</v>
      </c>
      <c r="D109" s="37">
        <f t="shared" si="0"/>
        <v>0</v>
      </c>
      <c r="E109" s="17"/>
    </row>
    <row r="110" spans="1:5" x14ac:dyDescent="0.25">
      <c r="A110" s="4" t="s">
        <v>174</v>
      </c>
      <c r="B110" s="37">
        <f>100/Input!$F$58*B70*DRM!$B$12*Input!$D$58</f>
        <v>0</v>
      </c>
      <c r="C110" s="37">
        <f>100/Input!$F$58*C70*DRM!$B$12*Input!$D$58</f>
        <v>0</v>
      </c>
      <c r="D110" s="37">
        <f t="shared" si="0"/>
        <v>0</v>
      </c>
      <c r="E110" s="17"/>
    </row>
    <row r="111" spans="1:5" x14ac:dyDescent="0.25">
      <c r="A111" s="4" t="s">
        <v>214</v>
      </c>
      <c r="B111" s="37">
        <f>100/Input!$F$58*B71*DRM!$B$12*Input!$D$58</f>
        <v>0</v>
      </c>
      <c r="C111" s="37">
        <f>100/Input!$F$58*C71*DRM!$B$12*Input!$D$58</f>
        <v>0</v>
      </c>
      <c r="D111" s="37">
        <f t="shared" si="0"/>
        <v>0</v>
      </c>
      <c r="E111" s="17"/>
    </row>
    <row r="112" spans="1:5" x14ac:dyDescent="0.25">
      <c r="A112" s="4" t="s">
        <v>175</v>
      </c>
      <c r="B112" s="37">
        <f>100/Input!$F$58*B72*DRM!$B$12*Input!$D$58</f>
        <v>0</v>
      </c>
      <c r="C112" s="37">
        <f>100/Input!$F$58*C72*DRM!$B$12*Input!$D$58</f>
        <v>0</v>
      </c>
      <c r="D112" s="37">
        <f t="shared" si="0"/>
        <v>0</v>
      </c>
      <c r="E112" s="17"/>
    </row>
    <row r="113" spans="1:5" x14ac:dyDescent="0.25">
      <c r="A113" s="4" t="s">
        <v>176</v>
      </c>
      <c r="B113" s="37">
        <f>100/Input!$F$58*B73*DRM!$B$12*Input!$D$58</f>
        <v>0</v>
      </c>
      <c r="C113" s="37">
        <f>100/Input!$F$58*C73*DRM!$B$12*Input!$D$58</f>
        <v>0</v>
      </c>
      <c r="D113" s="37">
        <f t="shared" si="0"/>
        <v>0</v>
      </c>
      <c r="E113" s="17"/>
    </row>
    <row r="114" spans="1:5" x14ac:dyDescent="0.25">
      <c r="A114" s="4" t="s">
        <v>192</v>
      </c>
      <c r="B114" s="37">
        <f>100/Input!$F$58*B74*DRM!$B$12*Input!$D$58</f>
        <v>0</v>
      </c>
      <c r="C114" s="37">
        <f>100/Input!$F$58*C74*DRM!$B$12*Input!$D$58</f>
        <v>0</v>
      </c>
      <c r="D114" s="37">
        <f t="shared" si="0"/>
        <v>0</v>
      </c>
      <c r="E114" s="17"/>
    </row>
    <row r="115" spans="1:5" x14ac:dyDescent="0.25">
      <c r="A115" s="4" t="s">
        <v>177</v>
      </c>
      <c r="B115" s="37">
        <f>100/Input!$F$58*B75*DRM!$B$12*Input!$D$58</f>
        <v>0</v>
      </c>
      <c r="C115" s="37">
        <f>100/Input!$F$58*C75*DRM!$B$12*Input!$D$58</f>
        <v>0</v>
      </c>
      <c r="D115" s="37">
        <f t="shared" si="0"/>
        <v>0</v>
      </c>
      <c r="E115" s="17"/>
    </row>
    <row r="116" spans="1:5" x14ac:dyDescent="0.25">
      <c r="A116" s="4" t="s">
        <v>178</v>
      </c>
      <c r="B116" s="37">
        <f>100/Input!$F$58*B76*DRM!$B$12*Input!$D$58</f>
        <v>0</v>
      </c>
      <c r="C116" s="37">
        <f>100/Input!$F$58*C76*DRM!$B$12*Input!$D$58</f>
        <v>0</v>
      </c>
      <c r="D116" s="37">
        <f t="shared" si="0"/>
        <v>0</v>
      </c>
      <c r="E116" s="17"/>
    </row>
    <row r="117" spans="1:5" x14ac:dyDescent="0.25">
      <c r="A117" s="4" t="s">
        <v>179</v>
      </c>
      <c r="B117" s="37">
        <f>100/Input!$F$58*B77*DRM!$B$12*Input!$D$58</f>
        <v>0</v>
      </c>
      <c r="C117" s="37">
        <f>100/Input!$F$58*C77*DRM!$B$12*Input!$D$58</f>
        <v>0</v>
      </c>
      <c r="D117" s="37">
        <f t="shared" si="0"/>
        <v>0</v>
      </c>
      <c r="E117" s="17"/>
    </row>
    <row r="118" spans="1:5" x14ac:dyDescent="0.25">
      <c r="A118" s="4" t="s">
        <v>180</v>
      </c>
      <c r="B118" s="37">
        <f>100/Input!$F$58*B78*DRM!$B$12*Input!$D$58</f>
        <v>0</v>
      </c>
      <c r="C118" s="37">
        <f>100/Input!$F$58*C78*DRM!$B$12*Input!$D$58</f>
        <v>0</v>
      </c>
      <c r="D118" s="37">
        <f t="shared" si="0"/>
        <v>0</v>
      </c>
      <c r="E118" s="17"/>
    </row>
    <row r="119" spans="1:5" x14ac:dyDescent="0.25">
      <c r="A119" s="4" t="s">
        <v>193</v>
      </c>
      <c r="B119" s="37">
        <f>100/Input!$F$58*B79*DRM!$B$12*Input!$D$58</f>
        <v>0</v>
      </c>
      <c r="C119" s="37">
        <f>100/Input!$F$58*C79*DRM!$B$12*Input!$D$58</f>
        <v>0</v>
      </c>
      <c r="D119" s="37">
        <f t="shared" si="0"/>
        <v>0</v>
      </c>
      <c r="E119" s="17"/>
    </row>
    <row r="120" spans="1:5" x14ac:dyDescent="0.25">
      <c r="A120" s="4" t="s">
        <v>215</v>
      </c>
      <c r="B120" s="37">
        <f>100/Input!$F$58*B80*DRM!$B$12*Input!$D$58</f>
        <v>0</v>
      </c>
      <c r="C120" s="37">
        <f>100/Input!$F$58*C80*DRM!$B$12*Input!$D$58</f>
        <v>0</v>
      </c>
      <c r="D120" s="37">
        <f t="shared" si="0"/>
        <v>0</v>
      </c>
      <c r="E120" s="17"/>
    </row>
    <row r="121" spans="1:5" x14ac:dyDescent="0.25">
      <c r="A121" s="4" t="s">
        <v>216</v>
      </c>
      <c r="B121" s="37">
        <f>100/Input!$F$58*B81*DRM!$B$12*Input!$D$58</f>
        <v>0</v>
      </c>
      <c r="C121" s="37">
        <f>100/Input!$F$58*C81*DRM!$B$12*Input!$D$58</f>
        <v>0</v>
      </c>
      <c r="D121" s="37">
        <f t="shared" si="0"/>
        <v>0</v>
      </c>
      <c r="E121" s="17"/>
    </row>
    <row r="122" spans="1:5" x14ac:dyDescent="0.25">
      <c r="A122" s="4" t="s">
        <v>217</v>
      </c>
      <c r="B122" s="37">
        <f>100/Input!$F$58*B82*DRM!$B$12*Input!$D$58</f>
        <v>0</v>
      </c>
      <c r="C122" s="37">
        <f>100/Input!$F$58*C82*DRM!$B$12*Input!$D$58</f>
        <v>0</v>
      </c>
      <c r="D122" s="37">
        <f t="shared" si="0"/>
        <v>0</v>
      </c>
      <c r="E122" s="17"/>
    </row>
    <row r="123" spans="1:5" x14ac:dyDescent="0.25">
      <c r="A123" s="4" t="s">
        <v>218</v>
      </c>
      <c r="B123" s="37">
        <f>100/Input!$F$58*B83*DRM!$B$12*Input!$D$58</f>
        <v>0</v>
      </c>
      <c r="C123" s="37">
        <f>100/Input!$F$58*C83*DRM!$B$12*Input!$D$58</f>
        <v>0</v>
      </c>
      <c r="D123" s="37">
        <f t="shared" si="0"/>
        <v>0</v>
      </c>
      <c r="E123" s="17"/>
    </row>
    <row r="124" spans="1:5" x14ac:dyDescent="0.25">
      <c r="A124" s="4" t="s">
        <v>219</v>
      </c>
      <c r="B124" s="37">
        <f>100/Input!$F$58*B84*DRM!$B$12*Input!$D$58</f>
        <v>0</v>
      </c>
      <c r="C124" s="37">
        <f>100/Input!$F$58*C84*DRM!$B$12*Input!$D$58</f>
        <v>0</v>
      </c>
      <c r="D124" s="37">
        <f t="shared" si="0"/>
        <v>0</v>
      </c>
      <c r="E124" s="17"/>
    </row>
    <row r="125" spans="1:5" x14ac:dyDescent="0.25">
      <c r="A125" s="4" t="s">
        <v>181</v>
      </c>
      <c r="B125" s="37">
        <f>100/Input!$F$58*B85*DRM!$B$12*Input!$D$58</f>
        <v>0</v>
      </c>
      <c r="C125" s="37">
        <f>100/Input!$F$58*C85*DRM!$B$12*Input!$D$58</f>
        <v>0</v>
      </c>
      <c r="D125" s="37">
        <f t="shared" si="0"/>
        <v>0</v>
      </c>
      <c r="E125" s="17"/>
    </row>
    <row r="126" spans="1:5" x14ac:dyDescent="0.25">
      <c r="A126" s="4" t="s">
        <v>182</v>
      </c>
      <c r="B126" s="37">
        <f>100/Input!$F$58*B86*DRM!$B$12*Input!$D$58</f>
        <v>0</v>
      </c>
      <c r="C126" s="37">
        <f>100/Input!$F$58*C86*DRM!$B$12*Input!$D$58</f>
        <v>0</v>
      </c>
      <c r="D126" s="37">
        <f t="shared" si="0"/>
        <v>0</v>
      </c>
      <c r="E126" s="17"/>
    </row>
    <row r="127" spans="1:5" x14ac:dyDescent="0.25">
      <c r="A127" s="4" t="s">
        <v>183</v>
      </c>
      <c r="B127" s="37">
        <f>100/Input!$F$58*B87*DRM!$B$12*Input!$D$58</f>
        <v>0</v>
      </c>
      <c r="C127" s="37">
        <f>100/Input!$F$58*C87*DRM!$B$12*Input!$D$58</f>
        <v>0</v>
      </c>
      <c r="D127" s="37">
        <f t="shared" si="0"/>
        <v>0</v>
      </c>
      <c r="E127" s="17"/>
    </row>
    <row r="128" spans="1:5" x14ac:dyDescent="0.25">
      <c r="A128" s="4" t="s">
        <v>184</v>
      </c>
      <c r="B128" s="37">
        <f>100/Input!$F$58*B88*DRM!$B$12*Input!$D$58</f>
        <v>0</v>
      </c>
      <c r="C128" s="37">
        <f>100/Input!$F$58*C88*DRM!$B$12*Input!$D$58</f>
        <v>0</v>
      </c>
      <c r="D128" s="37">
        <f t="shared" si="0"/>
        <v>0</v>
      </c>
      <c r="E128" s="17"/>
    </row>
    <row r="129" spans="1:5" x14ac:dyDescent="0.25">
      <c r="A129" s="4" t="s">
        <v>185</v>
      </c>
      <c r="B129" s="37">
        <f>100/Input!$F$58*B89*DRM!$B$12*Input!$D$58</f>
        <v>0</v>
      </c>
      <c r="C129" s="37">
        <f>100/Input!$F$58*C89*DRM!$B$12*Input!$D$58</f>
        <v>0</v>
      </c>
      <c r="D129" s="37">
        <f t="shared" si="0"/>
        <v>0</v>
      </c>
      <c r="E129" s="17"/>
    </row>
    <row r="130" spans="1:5" x14ac:dyDescent="0.25">
      <c r="A130" s="4" t="s">
        <v>186</v>
      </c>
      <c r="B130" s="37">
        <f>100/Input!$F$58*B90*DRM!$B$12*Input!$D$58</f>
        <v>0</v>
      </c>
      <c r="C130" s="37">
        <f>100/Input!$F$58*C90*DRM!$B$12*Input!$D$58</f>
        <v>0</v>
      </c>
      <c r="D130" s="37">
        <f t="shared" si="0"/>
        <v>0</v>
      </c>
      <c r="E130" s="17"/>
    </row>
    <row r="131" spans="1:5" x14ac:dyDescent="0.25">
      <c r="A131" s="4" t="s">
        <v>194</v>
      </c>
      <c r="B131" s="37">
        <f>100/Input!$F$58*B91*DRM!$B$12*Input!$D$58</f>
        <v>0</v>
      </c>
      <c r="C131" s="37">
        <f>100/Input!$F$58*C91*DRM!$B$12*Input!$D$58</f>
        <v>0</v>
      </c>
      <c r="D131" s="37">
        <f t="shared" si="0"/>
        <v>0</v>
      </c>
      <c r="E131" s="17"/>
    </row>
    <row r="132" spans="1:5" x14ac:dyDescent="0.25">
      <c r="A132" s="4" t="s">
        <v>195</v>
      </c>
      <c r="B132" s="37">
        <f>100/Input!$F$58*B92*DRM!$B$12*Input!$D$58</f>
        <v>0</v>
      </c>
      <c r="C132" s="37">
        <f>100/Input!$F$58*C92*DRM!$B$12*Input!$D$58</f>
        <v>0</v>
      </c>
      <c r="D132" s="37">
        <f t="shared" si="0"/>
        <v>0</v>
      </c>
      <c r="E132" s="17"/>
    </row>
  </sheetData>
  <sheetProtection sheet="1" objects="1" scenarios="1"/>
  <hyperlinks>
    <hyperlink ref="A6" location="'Input'!B111" display="x1 = 1025. Matrix of applicability of LV service models to tariffs with fixed charges"/>
    <hyperlink ref="A7" location="'Input'!B101" display="x2 = 1022. LV service model asset cost (£)"/>
    <hyperlink ref="A30" location="'Input'!B133" display="x1 = 1026. Matrix of applicability of LV service models to unmetered tariffs"/>
    <hyperlink ref="A31" location="'Input'!B101" display="x2 = 1022. LV service model asset cost (£)"/>
    <hyperlink ref="A39" location="'Input'!D57" display="x1 = 1010. Annuity proportion for customer-contributed assets (in Financial and general assumptions)"/>
    <hyperlink ref="A40" location="'SM'!B34" display="x2 = 2202. LV unmetered service model assets £/(MWh/year)"/>
    <hyperlink ref="A41" location="'DRM'!B11" display="x3 = 2101. Annuity rate"/>
    <hyperlink ref="A49" location="'Input'!B138" display="x1 = 1028. Matrix of applicability of HV service models to tariffs with fixed charges"/>
    <hyperlink ref="A50" location="'Input'!B106" display="x2 = 1023. HV service model asset cost (£)"/>
    <hyperlink ref="A61" location="'SM'!B10" display="x1 = 2201. Asset £/customer from LV service models"/>
    <hyperlink ref="A62" location="'SM'!B53" display="x2 = 2204. Asset £/customer from HV service models"/>
    <hyperlink ref="A96" location="'Input'!F57" display="x1 = 1010. Days in the charging year (in Financial and general assumptions)"/>
    <hyperlink ref="A97" location="'SM'!B65" display="x2 = 2205. Service model assets by tariff (£)"/>
    <hyperlink ref="A98" location="'DRM'!B11" display="x3 = 2101. Annuity rate"/>
    <hyperlink ref="A99" location="'Input'!D57" display="x4 = 1010. Annuity proportion for customer-contributed assets (in Financial and general assumptions)"/>
    <hyperlink ref="A100" location="'SM'!B105" display="x5 = Service model p/MPAN/day charge (in Replacement annuities for service models)"/>
  </hyperlinks>
  <pageMargins left="0.7" right="0.7" top="0.75" bottom="0.75" header="0.3" footer="0.3"/>
  <pageSetup paperSize="9" fitToHeight="0" orientation="portrait"/>
  <headerFooter>
    <oddHeader>&amp;L&amp;A&amp;C&amp;R&amp;P of &amp;N</oddHeader>
    <oddFooter>&amp;F</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28"/>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x14ac:dyDescent="0.25"/>
  <cols>
    <col min="1" max="1" width="50.7109375" customWidth="1"/>
    <col min="2" max="251" width="20.7109375" customWidth="1"/>
  </cols>
  <sheetData>
    <row r="1" spans="1:1" ht="21" customHeight="1" x14ac:dyDescent="0.3">
      <c r="A1" s="1" t="str">
        <f>"Load characteristics for "&amp;Input!B7&amp;" in "&amp;Input!C7&amp;" ("&amp;Input!D7&amp;")"</f>
        <v>Load characteristics for Electricity North West in 2017/2018 (December 2015)</v>
      </c>
    </row>
    <row r="2" spans="1:1" x14ac:dyDescent="0.25">
      <c r="A2" s="2" t="s">
        <v>489</v>
      </c>
    </row>
    <row r="3" spans="1:1" x14ac:dyDescent="0.25">
      <c r="A3" s="2"/>
    </row>
    <row r="4" spans="1:1" x14ac:dyDescent="0.25">
      <c r="A4" s="2" t="s">
        <v>490</v>
      </c>
    </row>
    <row r="5" spans="1:1" x14ac:dyDescent="0.25">
      <c r="A5" s="2" t="s">
        <v>491</v>
      </c>
    </row>
    <row r="6" spans="1:1" x14ac:dyDescent="0.25">
      <c r="A6" s="2"/>
    </row>
    <row r="7" spans="1:1" x14ac:dyDescent="0.25">
      <c r="A7" s="2" t="s">
        <v>492</v>
      </c>
    </row>
    <row r="8" spans="1:1" x14ac:dyDescent="0.25">
      <c r="A8" s="2" t="s">
        <v>493</v>
      </c>
    </row>
    <row r="9" spans="1:1" x14ac:dyDescent="0.25">
      <c r="A9" s="2" t="s">
        <v>494</v>
      </c>
    </row>
    <row r="10" spans="1:1" x14ac:dyDescent="0.25">
      <c r="A10" s="2" t="s">
        <v>495</v>
      </c>
    </row>
    <row r="12" spans="1:1" ht="21" customHeight="1" x14ac:dyDescent="0.3">
      <c r="A12" s="1" t="s">
        <v>496</v>
      </c>
    </row>
    <row r="13" spans="1:1" x14ac:dyDescent="0.25">
      <c r="A13" s="2" t="s">
        <v>350</v>
      </c>
    </row>
    <row r="14" spans="1:1" x14ac:dyDescent="0.25">
      <c r="A14" s="32" t="s">
        <v>497</v>
      </c>
    </row>
    <row r="15" spans="1:1" x14ac:dyDescent="0.25">
      <c r="A15" s="32" t="s">
        <v>498</v>
      </c>
    </row>
    <row r="16" spans="1:1" x14ac:dyDescent="0.25">
      <c r="A16" s="2" t="s">
        <v>430</v>
      </c>
    </row>
    <row r="18" spans="1:3" x14ac:dyDescent="0.25">
      <c r="B18" s="15" t="s">
        <v>499</v>
      </c>
    </row>
    <row r="19" spans="1:3" x14ac:dyDescent="0.25">
      <c r="A19" s="4" t="s">
        <v>171</v>
      </c>
      <c r="B19" s="37">
        <f>Input!B165/Input!C165</f>
        <v>1.9973931537305685</v>
      </c>
      <c r="C19" s="17"/>
    </row>
    <row r="20" spans="1:3" x14ac:dyDescent="0.25">
      <c r="A20" s="4" t="s">
        <v>172</v>
      </c>
      <c r="B20" s="37">
        <f>Input!B166/Input!C166</f>
        <v>1.195893664801059</v>
      </c>
      <c r="C20" s="17"/>
    </row>
    <row r="21" spans="1:3" x14ac:dyDescent="0.25">
      <c r="A21" s="4" t="s">
        <v>213</v>
      </c>
      <c r="B21" s="37">
        <f>Input!B167/Input!C167</f>
        <v>0</v>
      </c>
      <c r="C21" s="17"/>
    </row>
    <row r="22" spans="1:3" x14ac:dyDescent="0.25">
      <c r="A22" s="4" t="s">
        <v>173</v>
      </c>
      <c r="B22" s="37">
        <f>Input!B168/Input!C168</f>
        <v>1.713394950387704</v>
      </c>
      <c r="C22" s="17"/>
    </row>
    <row r="23" spans="1:3" x14ac:dyDescent="0.25">
      <c r="A23" s="4" t="s">
        <v>174</v>
      </c>
      <c r="B23" s="37">
        <f>Input!B169/Input!C169</f>
        <v>1.3017122994739883</v>
      </c>
      <c r="C23" s="17"/>
    </row>
    <row r="24" spans="1:3" x14ac:dyDescent="0.25">
      <c r="A24" s="4" t="s">
        <v>214</v>
      </c>
      <c r="B24" s="37">
        <f>Input!B170/Input!C170</f>
        <v>0</v>
      </c>
      <c r="C24" s="17"/>
    </row>
    <row r="25" spans="1:3" x14ac:dyDescent="0.25">
      <c r="A25" s="4" t="s">
        <v>175</v>
      </c>
      <c r="B25" s="37">
        <f>Input!B171/Input!C171</f>
        <v>1.4749699869343951</v>
      </c>
      <c r="C25" s="17"/>
    </row>
    <row r="26" spans="1:3" x14ac:dyDescent="0.25">
      <c r="A26" s="4" t="s">
        <v>176</v>
      </c>
      <c r="B26" s="37">
        <f>Input!B172/Input!C172</f>
        <v>1.4566102458507146</v>
      </c>
      <c r="C26" s="17"/>
    </row>
    <row r="27" spans="1:3" x14ac:dyDescent="0.25">
      <c r="A27" s="4" t="s">
        <v>192</v>
      </c>
      <c r="B27" s="37">
        <f>Input!B173/Input!C173</f>
        <v>1.4574481988417811</v>
      </c>
      <c r="C27" s="17"/>
    </row>
    <row r="28" spans="1:3" x14ac:dyDescent="0.25">
      <c r="A28" s="4" t="s">
        <v>177</v>
      </c>
      <c r="B28" s="37">
        <f>Input!B174/Input!C174</f>
        <v>1.9973931537305685</v>
      </c>
      <c r="C28" s="17"/>
    </row>
    <row r="29" spans="1:3" x14ac:dyDescent="0.25">
      <c r="A29" s="4" t="s">
        <v>178</v>
      </c>
      <c r="B29" s="37">
        <f>Input!B175/Input!C175</f>
        <v>1.713394950387704</v>
      </c>
      <c r="C29" s="17"/>
    </row>
    <row r="30" spans="1:3" x14ac:dyDescent="0.25">
      <c r="A30" s="4" t="s">
        <v>179</v>
      </c>
      <c r="B30" s="37">
        <f>Input!B176/Input!C176</f>
        <v>1.4673018570438268</v>
      </c>
      <c r="C30" s="17"/>
    </row>
    <row r="31" spans="1:3" x14ac:dyDescent="0.25">
      <c r="A31" s="4" t="s">
        <v>180</v>
      </c>
      <c r="B31" s="37">
        <f>Input!B177/Input!C177</f>
        <v>1.4066672249225947</v>
      </c>
      <c r="C31" s="17"/>
    </row>
    <row r="32" spans="1:3" x14ac:dyDescent="0.25">
      <c r="A32" s="4" t="s">
        <v>193</v>
      </c>
      <c r="B32" s="37">
        <f>Input!B178/Input!C178</f>
        <v>1.2045606566119045</v>
      </c>
      <c r="C32" s="17"/>
    </row>
    <row r="33" spans="1:3" x14ac:dyDescent="0.25">
      <c r="A33" s="4" t="s">
        <v>215</v>
      </c>
      <c r="B33" s="37">
        <f>Input!B179/Input!C179</f>
        <v>1</v>
      </c>
      <c r="C33" s="17"/>
    </row>
    <row r="34" spans="1:3" x14ac:dyDescent="0.25">
      <c r="A34" s="4" t="s">
        <v>216</v>
      </c>
      <c r="B34" s="37">
        <f>Input!B180/Input!C180</f>
        <v>2.1109422910628597</v>
      </c>
      <c r="C34" s="17"/>
    </row>
    <row r="35" spans="1:3" x14ac:dyDescent="0.25">
      <c r="A35" s="4" t="s">
        <v>217</v>
      </c>
      <c r="B35" s="37">
        <f>Input!B181/Input!C181</f>
        <v>3.8757638355514525</v>
      </c>
      <c r="C35" s="17"/>
    </row>
    <row r="36" spans="1:3" x14ac:dyDescent="0.25">
      <c r="A36" s="4" t="s">
        <v>218</v>
      </c>
      <c r="B36" s="37">
        <f>Input!B182/Input!C182</f>
        <v>0</v>
      </c>
      <c r="C36" s="17"/>
    </row>
    <row r="37" spans="1:3" x14ac:dyDescent="0.25">
      <c r="A37" s="4" t="s">
        <v>219</v>
      </c>
      <c r="B37" s="37">
        <f>Input!B183/Input!C183</f>
        <v>2.0502974061187316</v>
      </c>
      <c r="C37" s="17"/>
    </row>
    <row r="39" spans="1:3" ht="21" customHeight="1" x14ac:dyDescent="0.3">
      <c r="A39" s="1" t="s">
        <v>500</v>
      </c>
    </row>
    <row r="40" spans="1:3" x14ac:dyDescent="0.25">
      <c r="A40" s="2" t="s">
        <v>350</v>
      </c>
    </row>
    <row r="41" spans="1:3" x14ac:dyDescent="0.25">
      <c r="A41" s="32" t="s">
        <v>501</v>
      </c>
    </row>
    <row r="42" spans="1:3" x14ac:dyDescent="0.25">
      <c r="A42" s="2" t="s">
        <v>502</v>
      </c>
    </row>
    <row r="43" spans="1:3" x14ac:dyDescent="0.25">
      <c r="A43" s="2" t="s">
        <v>368</v>
      </c>
    </row>
    <row r="45" spans="1:3" x14ac:dyDescent="0.25">
      <c r="B45" s="15" t="s">
        <v>503</v>
      </c>
    </row>
    <row r="46" spans="1:3" x14ac:dyDescent="0.25">
      <c r="A46" s="4" t="s">
        <v>171</v>
      </c>
      <c r="B46" s="38">
        <f>B$19</f>
        <v>1.9973931537305685</v>
      </c>
      <c r="C46" s="17"/>
    </row>
    <row r="47" spans="1:3" x14ac:dyDescent="0.25">
      <c r="A47" s="4" t="s">
        <v>172</v>
      </c>
      <c r="B47" s="38">
        <f>B$20</f>
        <v>1.195893664801059</v>
      </c>
      <c r="C47" s="17"/>
    </row>
    <row r="48" spans="1:3" x14ac:dyDescent="0.25">
      <c r="A48" s="4" t="s">
        <v>213</v>
      </c>
      <c r="B48" s="38">
        <f>B$21</f>
        <v>0</v>
      </c>
      <c r="C48" s="17"/>
    </row>
    <row r="49" spans="1:3" x14ac:dyDescent="0.25">
      <c r="A49" s="4" t="s">
        <v>173</v>
      </c>
      <c r="B49" s="38">
        <f>B$22</f>
        <v>1.713394950387704</v>
      </c>
      <c r="C49" s="17"/>
    </row>
    <row r="50" spans="1:3" x14ac:dyDescent="0.25">
      <c r="A50" s="4" t="s">
        <v>174</v>
      </c>
      <c r="B50" s="38">
        <f>B$23</f>
        <v>1.3017122994739883</v>
      </c>
      <c r="C50" s="17"/>
    </row>
    <row r="51" spans="1:3" x14ac:dyDescent="0.25">
      <c r="A51" s="4" t="s">
        <v>214</v>
      </c>
      <c r="B51" s="38">
        <f>B$24</f>
        <v>0</v>
      </c>
      <c r="C51" s="17"/>
    </row>
    <row r="52" spans="1:3" x14ac:dyDescent="0.25">
      <c r="A52" s="4" t="s">
        <v>175</v>
      </c>
      <c r="B52" s="38">
        <f>B$25</f>
        <v>1.4749699869343951</v>
      </c>
      <c r="C52" s="17"/>
    </row>
    <row r="53" spans="1:3" x14ac:dyDescent="0.25">
      <c r="A53" s="4" t="s">
        <v>176</v>
      </c>
      <c r="B53" s="38">
        <f>B$26</f>
        <v>1.4566102458507146</v>
      </c>
      <c r="C53" s="17"/>
    </row>
    <row r="54" spans="1:3" x14ac:dyDescent="0.25">
      <c r="A54" s="4" t="s">
        <v>192</v>
      </c>
      <c r="B54" s="38">
        <f>B$27</f>
        <v>1.4574481988417811</v>
      </c>
      <c r="C54" s="17"/>
    </row>
    <row r="55" spans="1:3" x14ac:dyDescent="0.25">
      <c r="A55" s="4" t="s">
        <v>177</v>
      </c>
      <c r="B55" s="38">
        <f>B$28</f>
        <v>1.9973931537305685</v>
      </c>
      <c r="C55" s="17"/>
    </row>
    <row r="56" spans="1:3" x14ac:dyDescent="0.25">
      <c r="A56" s="4" t="s">
        <v>178</v>
      </c>
      <c r="B56" s="38">
        <f>B$29</f>
        <v>1.713394950387704</v>
      </c>
      <c r="C56" s="17"/>
    </row>
    <row r="57" spans="1:3" x14ac:dyDescent="0.25">
      <c r="A57" s="4" t="s">
        <v>179</v>
      </c>
      <c r="B57" s="38">
        <f>B$30</f>
        <v>1.4673018570438268</v>
      </c>
      <c r="C57" s="17"/>
    </row>
    <row r="58" spans="1:3" x14ac:dyDescent="0.25">
      <c r="A58" s="4" t="s">
        <v>180</v>
      </c>
      <c r="B58" s="38">
        <f>B$31</f>
        <v>1.4066672249225947</v>
      </c>
      <c r="C58" s="17"/>
    </row>
    <row r="59" spans="1:3" x14ac:dyDescent="0.25">
      <c r="A59" s="4" t="s">
        <v>193</v>
      </c>
      <c r="B59" s="38">
        <f>B$32</f>
        <v>1.2045606566119045</v>
      </c>
      <c r="C59" s="17"/>
    </row>
    <row r="60" spans="1:3" x14ac:dyDescent="0.25">
      <c r="A60" s="4" t="s">
        <v>215</v>
      </c>
      <c r="B60" s="38">
        <f>B$33</f>
        <v>1</v>
      </c>
      <c r="C60" s="17"/>
    </row>
    <row r="61" spans="1:3" x14ac:dyDescent="0.25">
      <c r="A61" s="4" t="s">
        <v>216</v>
      </c>
      <c r="B61" s="38">
        <f>B$34</f>
        <v>2.1109422910628597</v>
      </c>
      <c r="C61" s="17"/>
    </row>
    <row r="62" spans="1:3" x14ac:dyDescent="0.25">
      <c r="A62" s="4" t="s">
        <v>217</v>
      </c>
      <c r="B62" s="38">
        <f>B$35</f>
        <v>3.8757638355514525</v>
      </c>
      <c r="C62" s="17"/>
    </row>
    <row r="63" spans="1:3" x14ac:dyDescent="0.25">
      <c r="A63" s="4" t="s">
        <v>218</v>
      </c>
      <c r="B63" s="38">
        <f>B$36</f>
        <v>0</v>
      </c>
      <c r="C63" s="17"/>
    </row>
    <row r="64" spans="1:3" x14ac:dyDescent="0.25">
      <c r="A64" s="4" t="s">
        <v>219</v>
      </c>
      <c r="B64" s="38">
        <f>B$37</f>
        <v>2.0502974061187316</v>
      </c>
      <c r="C64" s="17"/>
    </row>
    <row r="65" spans="1:7" x14ac:dyDescent="0.25">
      <c r="A65" s="4" t="s">
        <v>181</v>
      </c>
      <c r="B65" s="28">
        <v>-1</v>
      </c>
      <c r="C65" s="17"/>
    </row>
    <row r="66" spans="1:7" x14ac:dyDescent="0.25">
      <c r="A66" s="4" t="s">
        <v>182</v>
      </c>
      <c r="B66" s="28">
        <v>-1</v>
      </c>
      <c r="C66" s="17"/>
    </row>
    <row r="67" spans="1:7" x14ac:dyDescent="0.25">
      <c r="A67" s="4" t="s">
        <v>183</v>
      </c>
      <c r="B67" s="28">
        <v>-1</v>
      </c>
      <c r="C67" s="17"/>
    </row>
    <row r="68" spans="1:7" x14ac:dyDescent="0.25">
      <c r="A68" s="4" t="s">
        <v>184</v>
      </c>
      <c r="B68" s="28">
        <v>-1</v>
      </c>
      <c r="C68" s="17"/>
    </row>
    <row r="69" spans="1:7" x14ac:dyDescent="0.25">
      <c r="A69" s="4" t="s">
        <v>185</v>
      </c>
      <c r="B69" s="28">
        <v>-1</v>
      </c>
      <c r="C69" s="17"/>
    </row>
    <row r="70" spans="1:7" x14ac:dyDescent="0.25">
      <c r="A70" s="4" t="s">
        <v>186</v>
      </c>
      <c r="B70" s="28">
        <v>-1</v>
      </c>
      <c r="C70" s="17"/>
    </row>
    <row r="71" spans="1:7" x14ac:dyDescent="0.25">
      <c r="A71" s="4" t="s">
        <v>194</v>
      </c>
      <c r="B71" s="28">
        <v>-1</v>
      </c>
      <c r="C71" s="17"/>
    </row>
    <row r="72" spans="1:7" x14ac:dyDescent="0.25">
      <c r="A72" s="4" t="s">
        <v>195</v>
      </c>
      <c r="B72" s="28">
        <v>-1</v>
      </c>
      <c r="C72" s="17"/>
    </row>
    <row r="74" spans="1:7" ht="21" customHeight="1" x14ac:dyDescent="0.3">
      <c r="A74" s="1" t="s">
        <v>504</v>
      </c>
    </row>
    <row r="76" spans="1:7" x14ac:dyDescent="0.25">
      <c r="B76" s="15" t="s">
        <v>201</v>
      </c>
      <c r="C76" s="15" t="s">
        <v>202</v>
      </c>
      <c r="D76" s="15" t="s">
        <v>203</v>
      </c>
      <c r="E76" s="15" t="s">
        <v>204</v>
      </c>
      <c r="F76" s="15" t="s">
        <v>205</v>
      </c>
    </row>
    <row r="77" spans="1:7" x14ac:dyDescent="0.25">
      <c r="A77" s="29" t="s">
        <v>230</v>
      </c>
      <c r="G77" s="17"/>
    </row>
    <row r="78" spans="1:7" x14ac:dyDescent="0.25">
      <c r="A78" s="4" t="s">
        <v>171</v>
      </c>
      <c r="B78" s="36">
        <v>1</v>
      </c>
      <c r="C78" s="36">
        <v>0</v>
      </c>
      <c r="D78" s="36">
        <v>0</v>
      </c>
      <c r="E78" s="36">
        <v>0</v>
      </c>
      <c r="F78" s="36">
        <v>0</v>
      </c>
      <c r="G78" s="17"/>
    </row>
    <row r="79" spans="1:7" x14ac:dyDescent="0.25">
      <c r="A79" s="4" t="s">
        <v>231</v>
      </c>
      <c r="B79" s="36">
        <v>0</v>
      </c>
      <c r="C79" s="36">
        <v>1</v>
      </c>
      <c r="D79" s="36">
        <v>0</v>
      </c>
      <c r="E79" s="36">
        <v>0</v>
      </c>
      <c r="F79" s="36">
        <v>0</v>
      </c>
      <c r="G79" s="17"/>
    </row>
    <row r="80" spans="1:7" x14ac:dyDescent="0.25">
      <c r="A80" s="4" t="s">
        <v>232</v>
      </c>
      <c r="B80" s="36">
        <v>0</v>
      </c>
      <c r="C80" s="36">
        <v>0</v>
      </c>
      <c r="D80" s="36">
        <v>1</v>
      </c>
      <c r="E80" s="36">
        <v>0</v>
      </c>
      <c r="F80" s="36">
        <v>0</v>
      </c>
      <c r="G80" s="17"/>
    </row>
    <row r="81" spans="1:7" x14ac:dyDescent="0.25">
      <c r="A81" s="29" t="s">
        <v>233</v>
      </c>
      <c r="G81" s="17"/>
    </row>
    <row r="82" spans="1:7" x14ac:dyDescent="0.25">
      <c r="A82" s="4" t="s">
        <v>172</v>
      </c>
      <c r="B82" s="36">
        <v>1</v>
      </c>
      <c r="C82" s="36">
        <v>0</v>
      </c>
      <c r="D82" s="36">
        <v>0</v>
      </c>
      <c r="E82" s="36">
        <v>0</v>
      </c>
      <c r="F82" s="36">
        <v>0</v>
      </c>
      <c r="G82" s="17"/>
    </row>
    <row r="83" spans="1:7" x14ac:dyDescent="0.25">
      <c r="A83" s="4" t="s">
        <v>234</v>
      </c>
      <c r="B83" s="36">
        <v>0</v>
      </c>
      <c r="C83" s="36">
        <v>1</v>
      </c>
      <c r="D83" s="36">
        <v>0</v>
      </c>
      <c r="E83" s="36">
        <v>0</v>
      </c>
      <c r="F83" s="36">
        <v>0</v>
      </c>
      <c r="G83" s="17"/>
    </row>
    <row r="84" spans="1:7" x14ac:dyDescent="0.25">
      <c r="A84" s="4" t="s">
        <v>235</v>
      </c>
      <c r="B84" s="36">
        <v>0</v>
      </c>
      <c r="C84" s="36">
        <v>0</v>
      </c>
      <c r="D84" s="36">
        <v>1</v>
      </c>
      <c r="E84" s="36">
        <v>0</v>
      </c>
      <c r="F84" s="36">
        <v>0</v>
      </c>
      <c r="G84" s="17"/>
    </row>
    <row r="85" spans="1:7" x14ac:dyDescent="0.25">
      <c r="A85" s="29" t="s">
        <v>236</v>
      </c>
      <c r="G85" s="17"/>
    </row>
    <row r="86" spans="1:7" x14ac:dyDescent="0.25">
      <c r="A86" s="4" t="s">
        <v>213</v>
      </c>
      <c r="B86" s="36">
        <v>1</v>
      </c>
      <c r="C86" s="36">
        <v>0</v>
      </c>
      <c r="D86" s="36">
        <v>0</v>
      </c>
      <c r="E86" s="36">
        <v>0</v>
      </c>
      <c r="F86" s="36">
        <v>0</v>
      </c>
      <c r="G86" s="17"/>
    </row>
    <row r="87" spans="1:7" x14ac:dyDescent="0.25">
      <c r="A87" s="4" t="s">
        <v>237</v>
      </c>
      <c r="B87" s="36">
        <v>0</v>
      </c>
      <c r="C87" s="36">
        <v>1</v>
      </c>
      <c r="D87" s="36">
        <v>0</v>
      </c>
      <c r="E87" s="36">
        <v>0</v>
      </c>
      <c r="F87" s="36">
        <v>0</v>
      </c>
      <c r="G87" s="17"/>
    </row>
    <row r="88" spans="1:7" x14ac:dyDescent="0.25">
      <c r="A88" s="4" t="s">
        <v>238</v>
      </c>
      <c r="B88" s="36">
        <v>0</v>
      </c>
      <c r="C88" s="36">
        <v>0</v>
      </c>
      <c r="D88" s="36">
        <v>1</v>
      </c>
      <c r="E88" s="36">
        <v>0</v>
      </c>
      <c r="F88" s="36">
        <v>0</v>
      </c>
      <c r="G88" s="17"/>
    </row>
    <row r="89" spans="1:7" x14ac:dyDescent="0.25">
      <c r="A89" s="29" t="s">
        <v>239</v>
      </c>
      <c r="G89" s="17"/>
    </row>
    <row r="90" spans="1:7" x14ac:dyDescent="0.25">
      <c r="A90" s="4" t="s">
        <v>173</v>
      </c>
      <c r="B90" s="36">
        <v>1</v>
      </c>
      <c r="C90" s="36">
        <v>0</v>
      </c>
      <c r="D90" s="36">
        <v>0</v>
      </c>
      <c r="E90" s="36">
        <v>0</v>
      </c>
      <c r="F90" s="36">
        <v>0</v>
      </c>
      <c r="G90" s="17"/>
    </row>
    <row r="91" spans="1:7" x14ac:dyDescent="0.25">
      <c r="A91" s="4" t="s">
        <v>240</v>
      </c>
      <c r="B91" s="36">
        <v>0</v>
      </c>
      <c r="C91" s="36">
        <v>1</v>
      </c>
      <c r="D91" s="36">
        <v>0</v>
      </c>
      <c r="E91" s="36">
        <v>0</v>
      </c>
      <c r="F91" s="36">
        <v>0</v>
      </c>
      <c r="G91" s="17"/>
    </row>
    <row r="92" spans="1:7" x14ac:dyDescent="0.25">
      <c r="A92" s="4" t="s">
        <v>241</v>
      </c>
      <c r="B92" s="36">
        <v>0</v>
      </c>
      <c r="C92" s="36">
        <v>0</v>
      </c>
      <c r="D92" s="36">
        <v>1</v>
      </c>
      <c r="E92" s="36">
        <v>0</v>
      </c>
      <c r="F92" s="36">
        <v>0</v>
      </c>
      <c r="G92" s="17"/>
    </row>
    <row r="93" spans="1:7" x14ac:dyDescent="0.25">
      <c r="A93" s="29" t="s">
        <v>242</v>
      </c>
      <c r="G93" s="17"/>
    </row>
    <row r="94" spans="1:7" x14ac:dyDescent="0.25">
      <c r="A94" s="4" t="s">
        <v>174</v>
      </c>
      <c r="B94" s="36">
        <v>1</v>
      </c>
      <c r="C94" s="36">
        <v>0</v>
      </c>
      <c r="D94" s="36">
        <v>0</v>
      </c>
      <c r="E94" s="36">
        <v>0</v>
      </c>
      <c r="F94" s="36">
        <v>0</v>
      </c>
      <c r="G94" s="17"/>
    </row>
    <row r="95" spans="1:7" x14ac:dyDescent="0.25">
      <c r="A95" s="4" t="s">
        <v>243</v>
      </c>
      <c r="B95" s="36">
        <v>0</v>
      </c>
      <c r="C95" s="36">
        <v>1</v>
      </c>
      <c r="D95" s="36">
        <v>0</v>
      </c>
      <c r="E95" s="36">
        <v>0</v>
      </c>
      <c r="F95" s="36">
        <v>0</v>
      </c>
      <c r="G95" s="17"/>
    </row>
    <row r="96" spans="1:7" x14ac:dyDescent="0.25">
      <c r="A96" s="4" t="s">
        <v>244</v>
      </c>
      <c r="B96" s="36">
        <v>0</v>
      </c>
      <c r="C96" s="36">
        <v>0</v>
      </c>
      <c r="D96" s="36">
        <v>1</v>
      </c>
      <c r="E96" s="36">
        <v>0</v>
      </c>
      <c r="F96" s="36">
        <v>0</v>
      </c>
      <c r="G96" s="17"/>
    </row>
    <row r="97" spans="1:7" x14ac:dyDescent="0.25">
      <c r="A97" s="29" t="s">
        <v>245</v>
      </c>
      <c r="G97" s="17"/>
    </row>
    <row r="98" spans="1:7" x14ac:dyDescent="0.25">
      <c r="A98" s="4" t="s">
        <v>214</v>
      </c>
      <c r="B98" s="36">
        <v>1</v>
      </c>
      <c r="C98" s="36">
        <v>0</v>
      </c>
      <c r="D98" s="36">
        <v>0</v>
      </c>
      <c r="E98" s="36">
        <v>0</v>
      </c>
      <c r="F98" s="36">
        <v>0</v>
      </c>
      <c r="G98" s="17"/>
    </row>
    <row r="99" spans="1:7" ht="30" x14ac:dyDescent="0.25">
      <c r="A99" s="4" t="s">
        <v>246</v>
      </c>
      <c r="B99" s="36">
        <v>0</v>
      </c>
      <c r="C99" s="36">
        <v>1</v>
      </c>
      <c r="D99" s="36">
        <v>0</v>
      </c>
      <c r="E99" s="36">
        <v>0</v>
      </c>
      <c r="F99" s="36">
        <v>0</v>
      </c>
      <c r="G99" s="17"/>
    </row>
    <row r="100" spans="1:7" ht="30" x14ac:dyDescent="0.25">
      <c r="A100" s="4" t="s">
        <v>247</v>
      </c>
      <c r="B100" s="36">
        <v>0</v>
      </c>
      <c r="C100" s="36">
        <v>0</v>
      </c>
      <c r="D100" s="36">
        <v>1</v>
      </c>
      <c r="E100" s="36">
        <v>0</v>
      </c>
      <c r="F100" s="36">
        <v>0</v>
      </c>
      <c r="G100" s="17"/>
    </row>
    <row r="101" spans="1:7" x14ac:dyDescent="0.25">
      <c r="A101" s="29" t="s">
        <v>248</v>
      </c>
      <c r="G101" s="17"/>
    </row>
    <row r="102" spans="1:7" x14ac:dyDescent="0.25">
      <c r="A102" s="4" t="s">
        <v>175</v>
      </c>
      <c r="B102" s="36">
        <v>1</v>
      </c>
      <c r="C102" s="36">
        <v>0</v>
      </c>
      <c r="D102" s="36">
        <v>0</v>
      </c>
      <c r="E102" s="36">
        <v>0</v>
      </c>
      <c r="F102" s="36">
        <v>0</v>
      </c>
      <c r="G102" s="17"/>
    </row>
    <row r="103" spans="1:7" x14ac:dyDescent="0.25">
      <c r="A103" s="4" t="s">
        <v>249</v>
      </c>
      <c r="B103" s="36">
        <v>0</v>
      </c>
      <c r="C103" s="36">
        <v>1</v>
      </c>
      <c r="D103" s="36">
        <v>0</v>
      </c>
      <c r="E103" s="36">
        <v>0</v>
      </c>
      <c r="F103" s="36">
        <v>0</v>
      </c>
      <c r="G103" s="17"/>
    </row>
    <row r="104" spans="1:7" x14ac:dyDescent="0.25">
      <c r="A104" s="4" t="s">
        <v>250</v>
      </c>
      <c r="B104" s="36">
        <v>0</v>
      </c>
      <c r="C104" s="36">
        <v>0</v>
      </c>
      <c r="D104" s="36">
        <v>1</v>
      </c>
      <c r="E104" s="36">
        <v>0</v>
      </c>
      <c r="F104" s="36">
        <v>0</v>
      </c>
      <c r="G104" s="17"/>
    </row>
    <row r="105" spans="1:7" x14ac:dyDescent="0.25">
      <c r="A105" s="29" t="s">
        <v>251</v>
      </c>
      <c r="G105" s="17"/>
    </row>
    <row r="106" spans="1:7" x14ac:dyDescent="0.25">
      <c r="A106" s="4" t="s">
        <v>176</v>
      </c>
      <c r="B106" s="36">
        <v>1</v>
      </c>
      <c r="C106" s="36">
        <v>0</v>
      </c>
      <c r="D106" s="36">
        <v>0</v>
      </c>
      <c r="E106" s="36">
        <v>0</v>
      </c>
      <c r="F106" s="36">
        <v>0</v>
      </c>
      <c r="G106" s="17"/>
    </row>
    <row r="107" spans="1:7" x14ac:dyDescent="0.25">
      <c r="A107" s="29" t="s">
        <v>252</v>
      </c>
      <c r="G107" s="17"/>
    </row>
    <row r="108" spans="1:7" x14ac:dyDescent="0.25">
      <c r="A108" s="4" t="s">
        <v>192</v>
      </c>
      <c r="B108" s="36">
        <v>1</v>
      </c>
      <c r="C108" s="36">
        <v>0</v>
      </c>
      <c r="D108" s="36">
        <v>0</v>
      </c>
      <c r="E108" s="36">
        <v>0</v>
      </c>
      <c r="F108" s="36">
        <v>0</v>
      </c>
      <c r="G108" s="17"/>
    </row>
    <row r="109" spans="1:7" x14ac:dyDescent="0.25">
      <c r="A109" s="29" t="s">
        <v>253</v>
      </c>
      <c r="G109" s="17"/>
    </row>
    <row r="110" spans="1:7" x14ac:dyDescent="0.25">
      <c r="A110" s="4" t="s">
        <v>177</v>
      </c>
      <c r="B110" s="36">
        <v>1</v>
      </c>
      <c r="C110" s="36">
        <v>0</v>
      </c>
      <c r="D110" s="36">
        <v>0</v>
      </c>
      <c r="E110" s="36">
        <v>0</v>
      </c>
      <c r="F110" s="36">
        <v>0</v>
      </c>
      <c r="G110" s="17"/>
    </row>
    <row r="111" spans="1:7" x14ac:dyDescent="0.25">
      <c r="A111" s="4" t="s">
        <v>254</v>
      </c>
      <c r="B111" s="36">
        <v>0</v>
      </c>
      <c r="C111" s="36">
        <v>1</v>
      </c>
      <c r="D111" s="36">
        <v>0</v>
      </c>
      <c r="E111" s="36">
        <v>0</v>
      </c>
      <c r="F111" s="36">
        <v>0</v>
      </c>
      <c r="G111" s="17"/>
    </row>
    <row r="112" spans="1:7" x14ac:dyDescent="0.25">
      <c r="A112" s="4" t="s">
        <v>255</v>
      </c>
      <c r="B112" s="36">
        <v>0</v>
      </c>
      <c r="C112" s="36">
        <v>0</v>
      </c>
      <c r="D112" s="36">
        <v>1</v>
      </c>
      <c r="E112" s="36">
        <v>0</v>
      </c>
      <c r="F112" s="36">
        <v>0</v>
      </c>
      <c r="G112" s="17"/>
    </row>
    <row r="113" spans="1:7" x14ac:dyDescent="0.25">
      <c r="A113" s="29" t="s">
        <v>256</v>
      </c>
      <c r="G113" s="17"/>
    </row>
    <row r="114" spans="1:7" x14ac:dyDescent="0.25">
      <c r="A114" s="4" t="s">
        <v>178</v>
      </c>
      <c r="B114" s="36">
        <v>1</v>
      </c>
      <c r="C114" s="36">
        <v>0</v>
      </c>
      <c r="D114" s="36">
        <v>0</v>
      </c>
      <c r="E114" s="36">
        <v>0</v>
      </c>
      <c r="F114" s="36">
        <v>0</v>
      </c>
      <c r="G114" s="17"/>
    </row>
    <row r="115" spans="1:7" x14ac:dyDescent="0.25">
      <c r="A115" s="4" t="s">
        <v>257</v>
      </c>
      <c r="B115" s="36">
        <v>0</v>
      </c>
      <c r="C115" s="36">
        <v>1</v>
      </c>
      <c r="D115" s="36">
        <v>0</v>
      </c>
      <c r="E115" s="36">
        <v>0</v>
      </c>
      <c r="F115" s="36">
        <v>0</v>
      </c>
      <c r="G115" s="17"/>
    </row>
    <row r="116" spans="1:7" x14ac:dyDescent="0.25">
      <c r="A116" s="4" t="s">
        <v>258</v>
      </c>
      <c r="B116" s="36">
        <v>0</v>
      </c>
      <c r="C116" s="36">
        <v>0</v>
      </c>
      <c r="D116" s="36">
        <v>1</v>
      </c>
      <c r="E116" s="36">
        <v>0</v>
      </c>
      <c r="F116" s="36">
        <v>0</v>
      </c>
      <c r="G116" s="17"/>
    </row>
    <row r="117" spans="1:7" x14ac:dyDescent="0.25">
      <c r="A117" s="29" t="s">
        <v>259</v>
      </c>
      <c r="G117" s="17"/>
    </row>
    <row r="118" spans="1:7" x14ac:dyDescent="0.25">
      <c r="A118" s="4" t="s">
        <v>179</v>
      </c>
      <c r="B118" s="36">
        <v>1</v>
      </c>
      <c r="C118" s="36">
        <v>0</v>
      </c>
      <c r="D118" s="36">
        <v>0</v>
      </c>
      <c r="E118" s="36">
        <v>0</v>
      </c>
      <c r="F118" s="36">
        <v>0</v>
      </c>
      <c r="G118" s="17"/>
    </row>
    <row r="119" spans="1:7" x14ac:dyDescent="0.25">
      <c r="A119" s="4" t="s">
        <v>260</v>
      </c>
      <c r="B119" s="36">
        <v>0</v>
      </c>
      <c r="C119" s="36">
        <v>1</v>
      </c>
      <c r="D119" s="36">
        <v>0</v>
      </c>
      <c r="E119" s="36">
        <v>0</v>
      </c>
      <c r="F119" s="36">
        <v>0</v>
      </c>
      <c r="G119" s="17"/>
    </row>
    <row r="120" spans="1:7" x14ac:dyDescent="0.25">
      <c r="A120" s="4" t="s">
        <v>261</v>
      </c>
      <c r="B120" s="36">
        <v>0</v>
      </c>
      <c r="C120" s="36">
        <v>0</v>
      </c>
      <c r="D120" s="36">
        <v>1</v>
      </c>
      <c r="E120" s="36">
        <v>0</v>
      </c>
      <c r="F120" s="36">
        <v>0</v>
      </c>
      <c r="G120" s="17"/>
    </row>
    <row r="121" spans="1:7" x14ac:dyDescent="0.25">
      <c r="A121" s="29" t="s">
        <v>262</v>
      </c>
      <c r="G121" s="17"/>
    </row>
    <row r="122" spans="1:7" x14ac:dyDescent="0.25">
      <c r="A122" s="4" t="s">
        <v>180</v>
      </c>
      <c r="B122" s="36">
        <v>1</v>
      </c>
      <c r="C122" s="36">
        <v>0</v>
      </c>
      <c r="D122" s="36">
        <v>0</v>
      </c>
      <c r="E122" s="36">
        <v>0</v>
      </c>
      <c r="F122" s="36">
        <v>0</v>
      </c>
      <c r="G122" s="17"/>
    </row>
    <row r="123" spans="1:7" x14ac:dyDescent="0.25">
      <c r="A123" s="4" t="s">
        <v>263</v>
      </c>
      <c r="B123" s="36">
        <v>0</v>
      </c>
      <c r="C123" s="36">
        <v>0</v>
      </c>
      <c r="D123" s="36">
        <v>0</v>
      </c>
      <c r="E123" s="36">
        <v>1</v>
      </c>
      <c r="F123" s="36">
        <v>0</v>
      </c>
      <c r="G123" s="17"/>
    </row>
    <row r="124" spans="1:7" x14ac:dyDescent="0.25">
      <c r="A124" s="29" t="s">
        <v>264</v>
      </c>
      <c r="G124" s="17"/>
    </row>
    <row r="125" spans="1:7" x14ac:dyDescent="0.25">
      <c r="A125" s="4" t="s">
        <v>193</v>
      </c>
      <c r="B125" s="36">
        <v>1</v>
      </c>
      <c r="C125" s="36">
        <v>0</v>
      </c>
      <c r="D125" s="36">
        <v>0</v>
      </c>
      <c r="E125" s="36">
        <v>0</v>
      </c>
      <c r="F125" s="36">
        <v>0</v>
      </c>
      <c r="G125" s="17"/>
    </row>
    <row r="126" spans="1:7" x14ac:dyDescent="0.25">
      <c r="A126" s="4" t="s">
        <v>265</v>
      </c>
      <c r="B126" s="36">
        <v>0</v>
      </c>
      <c r="C126" s="36">
        <v>0</v>
      </c>
      <c r="D126" s="36">
        <v>0</v>
      </c>
      <c r="E126" s="36">
        <v>0</v>
      </c>
      <c r="F126" s="36">
        <v>1</v>
      </c>
      <c r="G126" s="17"/>
    </row>
    <row r="127" spans="1:7" x14ac:dyDescent="0.25">
      <c r="A127" s="29" t="s">
        <v>266</v>
      </c>
      <c r="G127" s="17"/>
    </row>
    <row r="128" spans="1:7" x14ac:dyDescent="0.25">
      <c r="A128" s="4" t="s">
        <v>215</v>
      </c>
      <c r="B128" s="36">
        <v>1</v>
      </c>
      <c r="C128" s="36">
        <v>0</v>
      </c>
      <c r="D128" s="36">
        <v>0</v>
      </c>
      <c r="E128" s="36">
        <v>0</v>
      </c>
      <c r="F128" s="36">
        <v>0</v>
      </c>
      <c r="G128" s="17"/>
    </row>
    <row r="129" spans="1:7" x14ac:dyDescent="0.25">
      <c r="A129" s="4" t="s">
        <v>267</v>
      </c>
      <c r="B129" s="36">
        <v>0</v>
      </c>
      <c r="C129" s="36">
        <v>1</v>
      </c>
      <c r="D129" s="36">
        <v>0</v>
      </c>
      <c r="E129" s="36">
        <v>0</v>
      </c>
      <c r="F129" s="36">
        <v>0</v>
      </c>
      <c r="G129" s="17"/>
    </row>
    <row r="130" spans="1:7" x14ac:dyDescent="0.25">
      <c r="A130" s="4" t="s">
        <v>268</v>
      </c>
      <c r="B130" s="36">
        <v>0</v>
      </c>
      <c r="C130" s="36">
        <v>0</v>
      </c>
      <c r="D130" s="36">
        <v>1</v>
      </c>
      <c r="E130" s="36">
        <v>0</v>
      </c>
      <c r="F130" s="36">
        <v>0</v>
      </c>
      <c r="G130" s="17"/>
    </row>
    <row r="131" spans="1:7" x14ac:dyDescent="0.25">
      <c r="A131" s="29" t="s">
        <v>269</v>
      </c>
      <c r="G131" s="17"/>
    </row>
    <row r="132" spans="1:7" x14ac:dyDescent="0.25">
      <c r="A132" s="4" t="s">
        <v>216</v>
      </c>
      <c r="B132" s="36">
        <v>1</v>
      </c>
      <c r="C132" s="36">
        <v>0</v>
      </c>
      <c r="D132" s="36">
        <v>0</v>
      </c>
      <c r="E132" s="36">
        <v>0</v>
      </c>
      <c r="F132" s="36">
        <v>0</v>
      </c>
      <c r="G132" s="17"/>
    </row>
    <row r="133" spans="1:7" x14ac:dyDescent="0.25">
      <c r="A133" s="4" t="s">
        <v>270</v>
      </c>
      <c r="B133" s="36">
        <v>0</v>
      </c>
      <c r="C133" s="36">
        <v>1</v>
      </c>
      <c r="D133" s="36">
        <v>0</v>
      </c>
      <c r="E133" s="36">
        <v>0</v>
      </c>
      <c r="F133" s="36">
        <v>0</v>
      </c>
      <c r="G133" s="17"/>
    </row>
    <row r="134" spans="1:7" x14ac:dyDescent="0.25">
      <c r="A134" s="4" t="s">
        <v>271</v>
      </c>
      <c r="B134" s="36">
        <v>0</v>
      </c>
      <c r="C134" s="36">
        <v>0</v>
      </c>
      <c r="D134" s="36">
        <v>1</v>
      </c>
      <c r="E134" s="36">
        <v>0</v>
      </c>
      <c r="F134" s="36">
        <v>0</v>
      </c>
      <c r="G134" s="17"/>
    </row>
    <row r="135" spans="1:7" x14ac:dyDescent="0.25">
      <c r="A135" s="29" t="s">
        <v>272</v>
      </c>
      <c r="G135" s="17"/>
    </row>
    <row r="136" spans="1:7" x14ac:dyDescent="0.25">
      <c r="A136" s="4" t="s">
        <v>217</v>
      </c>
      <c r="B136" s="36">
        <v>1</v>
      </c>
      <c r="C136" s="36">
        <v>0</v>
      </c>
      <c r="D136" s="36">
        <v>0</v>
      </c>
      <c r="E136" s="36">
        <v>0</v>
      </c>
      <c r="F136" s="36">
        <v>0</v>
      </c>
      <c r="G136" s="17"/>
    </row>
    <row r="137" spans="1:7" x14ac:dyDescent="0.25">
      <c r="A137" s="4" t="s">
        <v>273</v>
      </c>
      <c r="B137" s="36">
        <v>0</v>
      </c>
      <c r="C137" s="36">
        <v>1</v>
      </c>
      <c r="D137" s="36">
        <v>0</v>
      </c>
      <c r="E137" s="36">
        <v>0</v>
      </c>
      <c r="F137" s="36">
        <v>0</v>
      </c>
      <c r="G137" s="17"/>
    </row>
    <row r="138" spans="1:7" x14ac:dyDescent="0.25">
      <c r="A138" s="4" t="s">
        <v>274</v>
      </c>
      <c r="B138" s="36">
        <v>0</v>
      </c>
      <c r="C138" s="36">
        <v>0</v>
      </c>
      <c r="D138" s="36">
        <v>1</v>
      </c>
      <c r="E138" s="36">
        <v>0</v>
      </c>
      <c r="F138" s="36">
        <v>0</v>
      </c>
      <c r="G138" s="17"/>
    </row>
    <row r="139" spans="1:7" x14ac:dyDescent="0.25">
      <c r="A139" s="29" t="s">
        <v>275</v>
      </c>
      <c r="G139" s="17"/>
    </row>
    <row r="140" spans="1:7" x14ac:dyDescent="0.25">
      <c r="A140" s="4" t="s">
        <v>218</v>
      </c>
      <c r="B140" s="36">
        <v>1</v>
      </c>
      <c r="C140" s="36">
        <v>0</v>
      </c>
      <c r="D140" s="36">
        <v>0</v>
      </c>
      <c r="E140" s="36">
        <v>0</v>
      </c>
      <c r="F140" s="36">
        <v>0</v>
      </c>
      <c r="G140" s="17"/>
    </row>
    <row r="141" spans="1:7" x14ac:dyDescent="0.25">
      <c r="A141" s="4" t="s">
        <v>276</v>
      </c>
      <c r="B141" s="36">
        <v>0</v>
      </c>
      <c r="C141" s="36">
        <v>1</v>
      </c>
      <c r="D141" s="36">
        <v>0</v>
      </c>
      <c r="E141" s="36">
        <v>0</v>
      </c>
      <c r="F141" s="36">
        <v>0</v>
      </c>
      <c r="G141" s="17"/>
    </row>
    <row r="142" spans="1:7" x14ac:dyDescent="0.25">
      <c r="A142" s="4" t="s">
        <v>277</v>
      </c>
      <c r="B142" s="36">
        <v>0</v>
      </c>
      <c r="C142" s="36">
        <v>0</v>
      </c>
      <c r="D142" s="36">
        <v>1</v>
      </c>
      <c r="E142" s="36">
        <v>0</v>
      </c>
      <c r="F142" s="36">
        <v>0</v>
      </c>
      <c r="G142" s="17"/>
    </row>
    <row r="143" spans="1:7" x14ac:dyDescent="0.25">
      <c r="A143" s="29" t="s">
        <v>278</v>
      </c>
      <c r="G143" s="17"/>
    </row>
    <row r="144" spans="1:7" x14ac:dyDescent="0.25">
      <c r="A144" s="4" t="s">
        <v>219</v>
      </c>
      <c r="B144" s="36">
        <v>1</v>
      </c>
      <c r="C144" s="36">
        <v>0</v>
      </c>
      <c r="D144" s="36">
        <v>0</v>
      </c>
      <c r="E144" s="36">
        <v>0</v>
      </c>
      <c r="F144" s="36">
        <v>0</v>
      </c>
      <c r="G144" s="17"/>
    </row>
    <row r="145" spans="1:7" x14ac:dyDescent="0.25">
      <c r="A145" s="4" t="s">
        <v>279</v>
      </c>
      <c r="B145" s="36">
        <v>0</v>
      </c>
      <c r="C145" s="36">
        <v>1</v>
      </c>
      <c r="D145" s="36">
        <v>0</v>
      </c>
      <c r="E145" s="36">
        <v>0</v>
      </c>
      <c r="F145" s="36">
        <v>0</v>
      </c>
      <c r="G145" s="17"/>
    </row>
    <row r="146" spans="1:7" x14ac:dyDescent="0.25">
      <c r="A146" s="4" t="s">
        <v>280</v>
      </c>
      <c r="B146" s="36">
        <v>0</v>
      </c>
      <c r="C146" s="36">
        <v>0</v>
      </c>
      <c r="D146" s="36">
        <v>1</v>
      </c>
      <c r="E146" s="36">
        <v>0</v>
      </c>
      <c r="F146" s="36">
        <v>0</v>
      </c>
      <c r="G146" s="17"/>
    </row>
    <row r="147" spans="1:7" x14ac:dyDescent="0.25">
      <c r="A147" s="29" t="s">
        <v>281</v>
      </c>
      <c r="G147" s="17"/>
    </row>
    <row r="148" spans="1:7" x14ac:dyDescent="0.25">
      <c r="A148" s="4" t="s">
        <v>181</v>
      </c>
      <c r="B148" s="36">
        <v>1</v>
      </c>
      <c r="C148" s="36">
        <v>0</v>
      </c>
      <c r="D148" s="36">
        <v>0</v>
      </c>
      <c r="E148" s="36">
        <v>0</v>
      </c>
      <c r="F148" s="36">
        <v>0</v>
      </c>
      <c r="G148" s="17"/>
    </row>
    <row r="149" spans="1:7" x14ac:dyDescent="0.25">
      <c r="A149" s="4" t="s">
        <v>282</v>
      </c>
      <c r="B149" s="36">
        <v>1</v>
      </c>
      <c r="C149" s="36">
        <v>0</v>
      </c>
      <c r="D149" s="36">
        <v>0</v>
      </c>
      <c r="E149" s="36">
        <v>0</v>
      </c>
      <c r="F149" s="36">
        <v>0</v>
      </c>
      <c r="G149" s="17"/>
    </row>
    <row r="150" spans="1:7" x14ac:dyDescent="0.25">
      <c r="A150" s="4" t="s">
        <v>283</v>
      </c>
      <c r="B150" s="36">
        <v>1</v>
      </c>
      <c r="C150" s="36">
        <v>0</v>
      </c>
      <c r="D150" s="36">
        <v>0</v>
      </c>
      <c r="E150" s="36">
        <v>0</v>
      </c>
      <c r="F150" s="36">
        <v>0</v>
      </c>
      <c r="G150" s="17"/>
    </row>
    <row r="151" spans="1:7" x14ac:dyDescent="0.25">
      <c r="A151" s="29" t="s">
        <v>284</v>
      </c>
      <c r="G151" s="17"/>
    </row>
    <row r="152" spans="1:7" x14ac:dyDescent="0.25">
      <c r="A152" s="4" t="s">
        <v>182</v>
      </c>
      <c r="B152" s="36">
        <v>1</v>
      </c>
      <c r="C152" s="36">
        <v>0</v>
      </c>
      <c r="D152" s="36">
        <v>0</v>
      </c>
      <c r="E152" s="36">
        <v>0</v>
      </c>
      <c r="F152" s="36">
        <v>0</v>
      </c>
      <c r="G152" s="17"/>
    </row>
    <row r="153" spans="1:7" x14ac:dyDescent="0.25">
      <c r="A153" s="4" t="s">
        <v>285</v>
      </c>
      <c r="B153" s="36">
        <v>1</v>
      </c>
      <c r="C153" s="36">
        <v>0</v>
      </c>
      <c r="D153" s="36">
        <v>0</v>
      </c>
      <c r="E153" s="36">
        <v>0</v>
      </c>
      <c r="F153" s="36">
        <v>0</v>
      </c>
      <c r="G153" s="17"/>
    </row>
    <row r="154" spans="1:7" x14ac:dyDescent="0.25">
      <c r="A154" s="29" t="s">
        <v>286</v>
      </c>
      <c r="G154" s="17"/>
    </row>
    <row r="155" spans="1:7" x14ac:dyDescent="0.25">
      <c r="A155" s="4" t="s">
        <v>183</v>
      </c>
      <c r="B155" s="36">
        <v>1</v>
      </c>
      <c r="C155" s="36">
        <v>0</v>
      </c>
      <c r="D155" s="36">
        <v>0</v>
      </c>
      <c r="E155" s="36">
        <v>0</v>
      </c>
      <c r="F155" s="36">
        <v>0</v>
      </c>
      <c r="G155" s="17"/>
    </row>
    <row r="156" spans="1:7" x14ac:dyDescent="0.25">
      <c r="A156" s="4" t="s">
        <v>287</v>
      </c>
      <c r="B156" s="36">
        <v>1</v>
      </c>
      <c r="C156" s="36">
        <v>0</v>
      </c>
      <c r="D156" s="36">
        <v>0</v>
      </c>
      <c r="E156" s="36">
        <v>0</v>
      </c>
      <c r="F156" s="36">
        <v>0</v>
      </c>
      <c r="G156" s="17"/>
    </row>
    <row r="157" spans="1:7" x14ac:dyDescent="0.25">
      <c r="A157" s="4" t="s">
        <v>288</v>
      </c>
      <c r="B157" s="36">
        <v>1</v>
      </c>
      <c r="C157" s="36">
        <v>0</v>
      </c>
      <c r="D157" s="36">
        <v>0</v>
      </c>
      <c r="E157" s="36">
        <v>0</v>
      </c>
      <c r="F157" s="36">
        <v>0</v>
      </c>
      <c r="G157" s="17"/>
    </row>
    <row r="158" spans="1:7" x14ac:dyDescent="0.25">
      <c r="A158" s="29" t="s">
        <v>289</v>
      </c>
      <c r="G158" s="17"/>
    </row>
    <row r="159" spans="1:7" x14ac:dyDescent="0.25">
      <c r="A159" s="4" t="s">
        <v>184</v>
      </c>
      <c r="B159" s="36">
        <v>1</v>
      </c>
      <c r="C159" s="36">
        <v>0</v>
      </c>
      <c r="D159" s="36">
        <v>0</v>
      </c>
      <c r="E159" s="36">
        <v>0</v>
      </c>
      <c r="F159" s="36">
        <v>0</v>
      </c>
      <c r="G159" s="17"/>
    </row>
    <row r="160" spans="1:7" x14ac:dyDescent="0.25">
      <c r="A160" s="4" t="s">
        <v>290</v>
      </c>
      <c r="B160" s="36">
        <v>1</v>
      </c>
      <c r="C160" s="36">
        <v>0</v>
      </c>
      <c r="D160" s="36">
        <v>0</v>
      </c>
      <c r="E160" s="36">
        <v>0</v>
      </c>
      <c r="F160" s="36">
        <v>0</v>
      </c>
      <c r="G160" s="17"/>
    </row>
    <row r="161" spans="1:7" x14ac:dyDescent="0.25">
      <c r="A161" s="4" t="s">
        <v>291</v>
      </c>
      <c r="B161" s="36">
        <v>1</v>
      </c>
      <c r="C161" s="36">
        <v>0</v>
      </c>
      <c r="D161" s="36">
        <v>0</v>
      </c>
      <c r="E161" s="36">
        <v>0</v>
      </c>
      <c r="F161" s="36">
        <v>0</v>
      </c>
      <c r="G161" s="17"/>
    </row>
    <row r="162" spans="1:7" x14ac:dyDescent="0.25">
      <c r="A162" s="29" t="s">
        <v>292</v>
      </c>
      <c r="G162" s="17"/>
    </row>
    <row r="163" spans="1:7" x14ac:dyDescent="0.25">
      <c r="A163" s="4" t="s">
        <v>185</v>
      </c>
      <c r="B163" s="36">
        <v>1</v>
      </c>
      <c r="C163" s="36">
        <v>0</v>
      </c>
      <c r="D163" s="36">
        <v>0</v>
      </c>
      <c r="E163" s="36">
        <v>0</v>
      </c>
      <c r="F163" s="36">
        <v>0</v>
      </c>
      <c r="G163" s="17"/>
    </row>
    <row r="164" spans="1:7" x14ac:dyDescent="0.25">
      <c r="A164" s="4" t="s">
        <v>293</v>
      </c>
      <c r="B164" s="36">
        <v>1</v>
      </c>
      <c r="C164" s="36">
        <v>0</v>
      </c>
      <c r="D164" s="36">
        <v>0</v>
      </c>
      <c r="E164" s="36">
        <v>0</v>
      </c>
      <c r="F164" s="36">
        <v>0</v>
      </c>
      <c r="G164" s="17"/>
    </row>
    <row r="165" spans="1:7" x14ac:dyDescent="0.25">
      <c r="A165" s="29" t="s">
        <v>294</v>
      </c>
      <c r="G165" s="17"/>
    </row>
    <row r="166" spans="1:7" x14ac:dyDescent="0.25">
      <c r="A166" s="4" t="s">
        <v>186</v>
      </c>
      <c r="B166" s="36">
        <v>1</v>
      </c>
      <c r="C166" s="36">
        <v>0</v>
      </c>
      <c r="D166" s="36">
        <v>0</v>
      </c>
      <c r="E166" s="36">
        <v>0</v>
      </c>
      <c r="F166" s="36">
        <v>0</v>
      </c>
      <c r="G166" s="17"/>
    </row>
    <row r="167" spans="1:7" x14ac:dyDescent="0.25">
      <c r="A167" s="4" t="s">
        <v>295</v>
      </c>
      <c r="B167" s="36">
        <v>1</v>
      </c>
      <c r="C167" s="36">
        <v>0</v>
      </c>
      <c r="D167" s="36">
        <v>0</v>
      </c>
      <c r="E167" s="36">
        <v>0</v>
      </c>
      <c r="F167" s="36">
        <v>0</v>
      </c>
      <c r="G167" s="17"/>
    </row>
    <row r="168" spans="1:7" x14ac:dyDescent="0.25">
      <c r="A168" s="29" t="s">
        <v>296</v>
      </c>
      <c r="G168" s="17"/>
    </row>
    <row r="169" spans="1:7" x14ac:dyDescent="0.25">
      <c r="A169" s="4" t="s">
        <v>194</v>
      </c>
      <c r="B169" s="36">
        <v>1</v>
      </c>
      <c r="C169" s="36">
        <v>0</v>
      </c>
      <c r="D169" s="36">
        <v>0</v>
      </c>
      <c r="E169" s="36">
        <v>0</v>
      </c>
      <c r="F169" s="36">
        <v>0</v>
      </c>
      <c r="G169" s="17"/>
    </row>
    <row r="170" spans="1:7" x14ac:dyDescent="0.25">
      <c r="A170" s="4" t="s">
        <v>297</v>
      </c>
      <c r="B170" s="36">
        <v>1</v>
      </c>
      <c r="C170" s="36">
        <v>0</v>
      </c>
      <c r="D170" s="36">
        <v>0</v>
      </c>
      <c r="E170" s="36">
        <v>0</v>
      </c>
      <c r="F170" s="36">
        <v>0</v>
      </c>
      <c r="G170" s="17"/>
    </row>
    <row r="171" spans="1:7" x14ac:dyDescent="0.25">
      <c r="A171" s="29" t="s">
        <v>298</v>
      </c>
      <c r="G171" s="17"/>
    </row>
    <row r="172" spans="1:7" x14ac:dyDescent="0.25">
      <c r="A172" s="4" t="s">
        <v>195</v>
      </c>
      <c r="B172" s="36">
        <v>1</v>
      </c>
      <c r="C172" s="36">
        <v>0</v>
      </c>
      <c r="D172" s="36">
        <v>0</v>
      </c>
      <c r="E172" s="36">
        <v>0</v>
      </c>
      <c r="F172" s="36">
        <v>0</v>
      </c>
      <c r="G172" s="17"/>
    </row>
    <row r="173" spans="1:7" x14ac:dyDescent="0.25">
      <c r="A173" s="4" t="s">
        <v>299</v>
      </c>
      <c r="B173" s="36">
        <v>1</v>
      </c>
      <c r="C173" s="36">
        <v>0</v>
      </c>
      <c r="D173" s="36">
        <v>0</v>
      </c>
      <c r="E173" s="36">
        <v>0</v>
      </c>
      <c r="F173" s="36">
        <v>0</v>
      </c>
      <c r="G173" s="17"/>
    </row>
    <row r="175" spans="1:7" ht="21" customHeight="1" x14ac:dyDescent="0.3">
      <c r="A175" s="1" t="s">
        <v>505</v>
      </c>
    </row>
    <row r="176" spans="1:7" x14ac:dyDescent="0.25">
      <c r="A176" s="2" t="s">
        <v>350</v>
      </c>
    </row>
    <row r="177" spans="1:10" x14ac:dyDescent="0.25">
      <c r="A177" s="32" t="s">
        <v>506</v>
      </c>
    </row>
    <row r="178" spans="1:10" x14ac:dyDescent="0.25">
      <c r="A178" s="32" t="s">
        <v>507</v>
      </c>
    </row>
    <row r="179" spans="1:10" x14ac:dyDescent="0.25">
      <c r="A179" s="2" t="s">
        <v>508</v>
      </c>
    </row>
    <row r="180" spans="1:10" x14ac:dyDescent="0.25">
      <c r="A180" s="32" t="s">
        <v>509</v>
      </c>
    </row>
    <row r="181" spans="1:10" x14ac:dyDescent="0.25">
      <c r="A181" s="32" t="s">
        <v>510</v>
      </c>
    </row>
    <row r="182" spans="1:10" x14ac:dyDescent="0.25">
      <c r="A182" s="32" t="s">
        <v>511</v>
      </c>
    </row>
    <row r="183" spans="1:10" x14ac:dyDescent="0.25">
      <c r="A183" s="32" t="s">
        <v>512</v>
      </c>
    </row>
    <row r="184" spans="1:10" x14ac:dyDescent="0.25">
      <c r="A184" s="32" t="s">
        <v>513</v>
      </c>
    </row>
    <row r="185" spans="1:10" x14ac:dyDescent="0.25">
      <c r="A185" s="32" t="s">
        <v>514</v>
      </c>
    </row>
    <row r="186" spans="1:10" x14ac:dyDescent="0.25">
      <c r="A186" s="32" t="s">
        <v>515</v>
      </c>
    </row>
    <row r="187" spans="1:10" x14ac:dyDescent="0.25">
      <c r="A187" s="32" t="s">
        <v>516</v>
      </c>
    </row>
    <row r="188" spans="1:10" ht="30" x14ac:dyDescent="0.25">
      <c r="A188" s="33" t="s">
        <v>353</v>
      </c>
      <c r="B188" s="33" t="s">
        <v>355</v>
      </c>
      <c r="C188" s="33" t="s">
        <v>517</v>
      </c>
      <c r="D188" s="33" t="s">
        <v>483</v>
      </c>
      <c r="E188" s="33" t="s">
        <v>483</v>
      </c>
      <c r="F188" s="33" t="s">
        <v>483</v>
      </c>
      <c r="G188" s="33" t="s">
        <v>483</v>
      </c>
      <c r="H188" s="33" t="s">
        <v>483</v>
      </c>
      <c r="I188" s="33" t="s">
        <v>483</v>
      </c>
    </row>
    <row r="189" spans="1:10" ht="30" x14ac:dyDescent="0.25">
      <c r="A189" s="33" t="s">
        <v>356</v>
      </c>
      <c r="B189" s="33" t="s">
        <v>358</v>
      </c>
      <c r="C189" s="33" t="s">
        <v>518</v>
      </c>
      <c r="D189" s="33" t="s">
        <v>519</v>
      </c>
      <c r="E189" s="33" t="s">
        <v>520</v>
      </c>
      <c r="F189" s="33" t="s">
        <v>521</v>
      </c>
      <c r="G189" s="33" t="s">
        <v>522</v>
      </c>
      <c r="H189" s="33" t="s">
        <v>523</v>
      </c>
      <c r="I189" s="33" t="s">
        <v>524</v>
      </c>
    </row>
    <row r="191" spans="1:10" ht="45" x14ac:dyDescent="0.25">
      <c r="B191" s="15" t="s">
        <v>525</v>
      </c>
      <c r="C191" s="15" t="s">
        <v>526</v>
      </c>
      <c r="D191" s="15" t="s">
        <v>224</v>
      </c>
      <c r="E191" s="15" t="s">
        <v>225</v>
      </c>
      <c r="F191" s="15" t="s">
        <v>226</v>
      </c>
      <c r="G191" s="15" t="s">
        <v>227</v>
      </c>
      <c r="H191" s="15" t="s">
        <v>228</v>
      </c>
      <c r="I191" s="15" t="s">
        <v>229</v>
      </c>
    </row>
    <row r="192" spans="1:10" x14ac:dyDescent="0.25">
      <c r="A192" s="29" t="s">
        <v>230</v>
      </c>
      <c r="J192" s="17"/>
    </row>
    <row r="193" spans="1:10" x14ac:dyDescent="0.25">
      <c r="A193" s="4" t="s">
        <v>171</v>
      </c>
      <c r="B193" s="39">
        <f>SUMPRODUCT($B78:$F78,Input!$B$154:$F$154)</f>
        <v>0</v>
      </c>
      <c r="C193" s="41">
        <f>B193</f>
        <v>0</v>
      </c>
      <c r="D193" s="37">
        <f>Input!B192*(1-B193)</f>
        <v>6548048.3229739498</v>
      </c>
      <c r="E193" s="37">
        <f>Input!C192*(1-B193)</f>
        <v>0</v>
      </c>
      <c r="F193" s="37">
        <f>Input!D192*(1-B193)</f>
        <v>0</v>
      </c>
      <c r="G193" s="37">
        <f>Input!E192*(1-C193)</f>
        <v>2004921</v>
      </c>
      <c r="H193" s="37">
        <f>Input!F192*(1-B193)</f>
        <v>0</v>
      </c>
      <c r="I193" s="37">
        <f>Input!G192*(1-B193)</f>
        <v>0</v>
      </c>
      <c r="J193" s="17"/>
    </row>
    <row r="194" spans="1:10" x14ac:dyDescent="0.25">
      <c r="A194" s="4" t="s">
        <v>231</v>
      </c>
      <c r="B194" s="39">
        <f>SUMPRODUCT($B79:$F79,Input!$B$154:$F$154)</f>
        <v>0.35385228459835483</v>
      </c>
      <c r="C194" s="41">
        <f>B194</f>
        <v>0.35385228459835483</v>
      </c>
      <c r="D194" s="37">
        <f>Input!B193*(1-B194)</f>
        <v>69368.495381698332</v>
      </c>
      <c r="E194" s="37">
        <f>Input!C193*(1-B194)</f>
        <v>0</v>
      </c>
      <c r="F194" s="37">
        <f>Input!D193*(1-B194)</f>
        <v>0</v>
      </c>
      <c r="G194" s="37">
        <f>Input!E193*(1-C194)</f>
        <v>22473.017541669218</v>
      </c>
      <c r="H194" s="37">
        <f>Input!F193*(1-B194)</f>
        <v>0</v>
      </c>
      <c r="I194" s="37">
        <f>Input!G193*(1-B194)</f>
        <v>0</v>
      </c>
      <c r="J194" s="17"/>
    </row>
    <row r="195" spans="1:10" x14ac:dyDescent="0.25">
      <c r="A195" s="4" t="s">
        <v>232</v>
      </c>
      <c r="B195" s="39">
        <f>SUMPRODUCT($B80:$F80,Input!$B$154:$F$154)</f>
        <v>0.57621522023143523</v>
      </c>
      <c r="C195" s="41">
        <f>B195</f>
        <v>0.57621522023143523</v>
      </c>
      <c r="D195" s="37">
        <f>Input!B194*(1-B195)</f>
        <v>26023.153441399889</v>
      </c>
      <c r="E195" s="37">
        <f>Input!C194*(1-B195)</f>
        <v>0</v>
      </c>
      <c r="F195" s="37">
        <f>Input!D194*(1-B195)</f>
        <v>0</v>
      </c>
      <c r="G195" s="37">
        <f>Input!E194*(1-C195)</f>
        <v>7730.6819525381588</v>
      </c>
      <c r="H195" s="37">
        <f>Input!F194*(1-B195)</f>
        <v>0</v>
      </c>
      <c r="I195" s="37">
        <f>Input!G194*(1-B195)</f>
        <v>0</v>
      </c>
      <c r="J195" s="17"/>
    </row>
    <row r="196" spans="1:10" x14ac:dyDescent="0.25">
      <c r="A196" s="29" t="s">
        <v>233</v>
      </c>
      <c r="J196" s="17"/>
    </row>
    <row r="197" spans="1:10" x14ac:dyDescent="0.25">
      <c r="A197" s="4" t="s">
        <v>172</v>
      </c>
      <c r="B197" s="39">
        <f>SUMPRODUCT($B82:$F82,Input!$B$154:$F$154)</f>
        <v>0</v>
      </c>
      <c r="C197" s="41">
        <f>B197</f>
        <v>0</v>
      </c>
      <c r="D197" s="37">
        <f>Input!B196*(1-B197)</f>
        <v>473331.22852223698</v>
      </c>
      <c r="E197" s="37">
        <f>Input!C196*(1-B197)</f>
        <v>475601.88599588</v>
      </c>
      <c r="F197" s="37">
        <f>Input!D196*(1-B197)</f>
        <v>0</v>
      </c>
      <c r="G197" s="37">
        <f>Input!E196*(1-C197)</f>
        <v>179874</v>
      </c>
      <c r="H197" s="37">
        <f>Input!F196*(1-B197)</f>
        <v>0</v>
      </c>
      <c r="I197" s="37">
        <f>Input!G196*(1-B197)</f>
        <v>0</v>
      </c>
      <c r="J197" s="17"/>
    </row>
    <row r="198" spans="1:10" x14ac:dyDescent="0.25">
      <c r="A198" s="4" t="s">
        <v>234</v>
      </c>
      <c r="B198" s="39">
        <f>SUMPRODUCT($B83:$F83,Input!$B$154:$F$154)</f>
        <v>0.35385228459835483</v>
      </c>
      <c r="C198" s="41">
        <f>B198</f>
        <v>0.35385228459835483</v>
      </c>
      <c r="D198" s="37">
        <f>Input!B197*(1-B198)</f>
        <v>253.32157401097763</v>
      </c>
      <c r="E198" s="37">
        <f>Input!C197*(1-B198)</f>
        <v>67.867996576076266</v>
      </c>
      <c r="F198" s="37">
        <f>Input!D197*(1-B198)</f>
        <v>0</v>
      </c>
      <c r="G198" s="37">
        <f>Input!E197*(1-C198)</f>
        <v>93.69141873323855</v>
      </c>
      <c r="H198" s="37">
        <f>Input!F197*(1-B198)</f>
        <v>0</v>
      </c>
      <c r="I198" s="37">
        <f>Input!G197*(1-B198)</f>
        <v>0</v>
      </c>
      <c r="J198" s="17"/>
    </row>
    <row r="199" spans="1:10" x14ac:dyDescent="0.25">
      <c r="A199" s="4" t="s">
        <v>235</v>
      </c>
      <c r="B199" s="39">
        <f>SUMPRODUCT($B84:$F84,Input!$B$154:$F$154)</f>
        <v>0.57621522023143523</v>
      </c>
      <c r="C199" s="41">
        <f>B199</f>
        <v>0.57621522023143523</v>
      </c>
      <c r="D199" s="37">
        <f>Input!B198*(1-B199)</f>
        <v>1288.8575388764552</v>
      </c>
      <c r="E199" s="37">
        <f>Input!C198*(1-B199)</f>
        <v>927.44612142838582</v>
      </c>
      <c r="F199" s="37">
        <f>Input!D198*(1-B199)</f>
        <v>0</v>
      </c>
      <c r="G199" s="37">
        <f>Input!E198*(1-C199)</f>
        <v>443.27887963791875</v>
      </c>
      <c r="H199" s="37">
        <f>Input!F198*(1-B199)</f>
        <v>0</v>
      </c>
      <c r="I199" s="37">
        <f>Input!G198*(1-B199)</f>
        <v>0</v>
      </c>
      <c r="J199" s="17"/>
    </row>
    <row r="200" spans="1:10" x14ac:dyDescent="0.25">
      <c r="A200" s="29" t="s">
        <v>236</v>
      </c>
      <c r="J200" s="17"/>
    </row>
    <row r="201" spans="1:10" x14ac:dyDescent="0.25">
      <c r="A201" s="4" t="s">
        <v>213</v>
      </c>
      <c r="B201" s="39">
        <f>SUMPRODUCT($B86:$F86,Input!$B$154:$F$154)</f>
        <v>0</v>
      </c>
      <c r="C201" s="41">
        <f>B201</f>
        <v>0</v>
      </c>
      <c r="D201" s="37">
        <f>Input!B200*(1-B201)</f>
        <v>16657.9640809597</v>
      </c>
      <c r="E201" s="37">
        <f>Input!C200*(1-B201)</f>
        <v>0</v>
      </c>
      <c r="F201" s="37">
        <f>Input!D200*(1-B201)</f>
        <v>0</v>
      </c>
      <c r="G201" s="37">
        <f>Input!E200*(1-C201)</f>
        <v>5278</v>
      </c>
      <c r="H201" s="37">
        <f>Input!F200*(1-B201)</f>
        <v>0</v>
      </c>
      <c r="I201" s="37">
        <f>Input!G200*(1-B201)</f>
        <v>0</v>
      </c>
      <c r="J201" s="17"/>
    </row>
    <row r="202" spans="1:10" x14ac:dyDescent="0.25">
      <c r="A202" s="4" t="s">
        <v>237</v>
      </c>
      <c r="B202" s="39">
        <f>SUMPRODUCT($B87:$F87,Input!$B$154:$F$154)</f>
        <v>0.35385228459835483</v>
      </c>
      <c r="C202" s="41">
        <f>B202</f>
        <v>0.35385228459835483</v>
      </c>
      <c r="D202" s="37">
        <f>Input!B201*(1-B202)</f>
        <v>0</v>
      </c>
      <c r="E202" s="37">
        <f>Input!C201*(1-B202)</f>
        <v>0</v>
      </c>
      <c r="F202" s="37">
        <f>Input!D201*(1-B202)</f>
        <v>0</v>
      </c>
      <c r="G202" s="37">
        <f>Input!E201*(1-C202)</f>
        <v>0</v>
      </c>
      <c r="H202" s="37">
        <f>Input!F201*(1-B202)</f>
        <v>0</v>
      </c>
      <c r="I202" s="37">
        <f>Input!G201*(1-B202)</f>
        <v>0</v>
      </c>
      <c r="J202" s="17"/>
    </row>
    <row r="203" spans="1:10" x14ac:dyDescent="0.25">
      <c r="A203" s="4" t="s">
        <v>238</v>
      </c>
      <c r="B203" s="39">
        <f>SUMPRODUCT($B88:$F88,Input!$B$154:$F$154)</f>
        <v>0.57621522023143523</v>
      </c>
      <c r="C203" s="41">
        <f>B203</f>
        <v>0.57621522023143523</v>
      </c>
      <c r="D203" s="37">
        <f>Input!B202*(1-B203)</f>
        <v>0</v>
      </c>
      <c r="E203" s="37">
        <f>Input!C202*(1-B203)</f>
        <v>0</v>
      </c>
      <c r="F203" s="37">
        <f>Input!D202*(1-B203)</f>
        <v>0</v>
      </c>
      <c r="G203" s="37">
        <f>Input!E202*(1-C203)</f>
        <v>0</v>
      </c>
      <c r="H203" s="37">
        <f>Input!F202*(1-B203)</f>
        <v>0</v>
      </c>
      <c r="I203" s="37">
        <f>Input!G202*(1-B203)</f>
        <v>0</v>
      </c>
      <c r="J203" s="17"/>
    </row>
    <row r="204" spans="1:10" x14ac:dyDescent="0.25">
      <c r="A204" s="29" t="s">
        <v>239</v>
      </c>
      <c r="J204" s="17"/>
    </row>
    <row r="205" spans="1:10" x14ac:dyDescent="0.25">
      <c r="A205" s="4" t="s">
        <v>173</v>
      </c>
      <c r="B205" s="39">
        <f>SUMPRODUCT($B90:$F90,Input!$B$154:$F$154)</f>
        <v>0</v>
      </c>
      <c r="C205" s="41">
        <f>B205</f>
        <v>0</v>
      </c>
      <c r="D205" s="37">
        <f>Input!B204*(1-B205)</f>
        <v>1571617.92627062</v>
      </c>
      <c r="E205" s="37">
        <f>Input!C204*(1-B205)</f>
        <v>0</v>
      </c>
      <c r="F205" s="37">
        <f>Input!D204*(1-B205)</f>
        <v>0</v>
      </c>
      <c r="G205" s="37">
        <f>Input!E204*(1-C205)</f>
        <v>123214</v>
      </c>
      <c r="H205" s="37">
        <f>Input!F204*(1-B205)</f>
        <v>0</v>
      </c>
      <c r="I205" s="37">
        <f>Input!G204*(1-B205)</f>
        <v>0</v>
      </c>
      <c r="J205" s="17"/>
    </row>
    <row r="206" spans="1:10" x14ac:dyDescent="0.25">
      <c r="A206" s="4" t="s">
        <v>240</v>
      </c>
      <c r="B206" s="39">
        <f>SUMPRODUCT($B91:$F91,Input!$B$154:$F$154)</f>
        <v>0.35385228459835483</v>
      </c>
      <c r="C206" s="41">
        <f>B206</f>
        <v>0.35385228459835483</v>
      </c>
      <c r="D206" s="37">
        <f>Input!B205*(1-B206)</f>
        <v>1784.4447427837592</v>
      </c>
      <c r="E206" s="37">
        <f>Input!C205*(1-B206)</f>
        <v>0</v>
      </c>
      <c r="F206" s="37">
        <f>Input!D205*(1-B206)</f>
        <v>0</v>
      </c>
      <c r="G206" s="37">
        <f>Input!E205*(1-C206)</f>
        <v>213.87489379794457</v>
      </c>
      <c r="H206" s="37">
        <f>Input!F205*(1-B206)</f>
        <v>0</v>
      </c>
      <c r="I206" s="37">
        <f>Input!G205*(1-B206)</f>
        <v>0</v>
      </c>
      <c r="J206" s="17"/>
    </row>
    <row r="207" spans="1:10" x14ac:dyDescent="0.25">
      <c r="A207" s="4" t="s">
        <v>241</v>
      </c>
      <c r="B207" s="39">
        <f>SUMPRODUCT($B92:$F92,Input!$B$154:$F$154)</f>
        <v>0.57621522023143523</v>
      </c>
      <c r="C207" s="41">
        <f>B207</f>
        <v>0.57621522023143523</v>
      </c>
      <c r="D207" s="37">
        <f>Input!B206*(1-B207)</f>
        <v>2550.9995179969851</v>
      </c>
      <c r="E207" s="37">
        <f>Input!C206*(1-B207)</f>
        <v>0</v>
      </c>
      <c r="F207" s="37">
        <f>Input!D206*(1-B207)</f>
        <v>0</v>
      </c>
      <c r="G207" s="37">
        <f>Input!E206*(1-C207)</f>
        <v>208.50211164613387</v>
      </c>
      <c r="H207" s="37">
        <f>Input!F206*(1-B207)</f>
        <v>0</v>
      </c>
      <c r="I207" s="37">
        <f>Input!G206*(1-B207)</f>
        <v>0</v>
      </c>
      <c r="J207" s="17"/>
    </row>
    <row r="208" spans="1:10" x14ac:dyDescent="0.25">
      <c r="A208" s="29" t="s">
        <v>242</v>
      </c>
      <c r="J208" s="17"/>
    </row>
    <row r="209" spans="1:10" x14ac:dyDescent="0.25">
      <c r="A209" s="4" t="s">
        <v>174</v>
      </c>
      <c r="B209" s="39">
        <f>SUMPRODUCT($B94:$F94,Input!$B$154:$F$154)</f>
        <v>0</v>
      </c>
      <c r="C209" s="41">
        <f>B209</f>
        <v>0</v>
      </c>
      <c r="D209" s="37">
        <f>Input!B208*(1-B209)</f>
        <v>568937.26593317103</v>
      </c>
      <c r="E209" s="37">
        <f>Input!C208*(1-B209)</f>
        <v>222476.71677275599</v>
      </c>
      <c r="F209" s="37">
        <f>Input!D208*(1-B209)</f>
        <v>0</v>
      </c>
      <c r="G209" s="37">
        <f>Input!E208*(1-C209)</f>
        <v>33422</v>
      </c>
      <c r="H209" s="37">
        <f>Input!F208*(1-B209)</f>
        <v>0</v>
      </c>
      <c r="I209" s="37">
        <f>Input!G208*(1-B209)</f>
        <v>0</v>
      </c>
      <c r="J209" s="17"/>
    </row>
    <row r="210" spans="1:10" x14ac:dyDescent="0.25">
      <c r="A210" s="4" t="s">
        <v>243</v>
      </c>
      <c r="B210" s="39">
        <f>SUMPRODUCT($B95:$F95,Input!$B$154:$F$154)</f>
        <v>0.35385228459835483</v>
      </c>
      <c r="C210" s="41">
        <f>B210</f>
        <v>0.35385228459835483</v>
      </c>
      <c r="D210" s="37">
        <f>Input!B209*(1-B210)</f>
        <v>33.780664099075643</v>
      </c>
      <c r="E210" s="37">
        <f>Input!C209*(1-B210)</f>
        <v>32.659367045812601</v>
      </c>
      <c r="F210" s="37">
        <f>Input!D209*(1-B210)</f>
        <v>0</v>
      </c>
      <c r="G210" s="37">
        <f>Input!E209*(1-C210)</f>
        <v>20.030579177450999</v>
      </c>
      <c r="H210" s="37">
        <f>Input!F209*(1-B210)</f>
        <v>0</v>
      </c>
      <c r="I210" s="37">
        <f>Input!G209*(1-B210)</f>
        <v>0</v>
      </c>
      <c r="J210" s="17"/>
    </row>
    <row r="211" spans="1:10" x14ac:dyDescent="0.25">
      <c r="A211" s="4" t="s">
        <v>244</v>
      </c>
      <c r="B211" s="39">
        <f>SUMPRODUCT($B96:$F96,Input!$B$154:$F$154)</f>
        <v>0.57621522023143523</v>
      </c>
      <c r="C211" s="41">
        <f>B211</f>
        <v>0.57621522023143523</v>
      </c>
      <c r="D211" s="37">
        <f>Input!B210*(1-B211)</f>
        <v>0</v>
      </c>
      <c r="E211" s="37">
        <f>Input!C210*(1-B211)</f>
        <v>0</v>
      </c>
      <c r="F211" s="37">
        <f>Input!D210*(1-B211)</f>
        <v>0</v>
      </c>
      <c r="G211" s="37">
        <f>Input!E210*(1-C211)</f>
        <v>0</v>
      </c>
      <c r="H211" s="37">
        <f>Input!F210*(1-B211)</f>
        <v>0</v>
      </c>
      <c r="I211" s="37">
        <f>Input!G210*(1-B211)</f>
        <v>0</v>
      </c>
      <c r="J211" s="17"/>
    </row>
    <row r="212" spans="1:10" x14ac:dyDescent="0.25">
      <c r="A212" s="29" t="s">
        <v>245</v>
      </c>
      <c r="J212" s="17"/>
    </row>
    <row r="213" spans="1:10" x14ac:dyDescent="0.25">
      <c r="A213" s="4" t="s">
        <v>214</v>
      </c>
      <c r="B213" s="39">
        <f>SUMPRODUCT($B98:$F98,Input!$B$154:$F$154)</f>
        <v>0</v>
      </c>
      <c r="C213" s="41">
        <f>B213</f>
        <v>0</v>
      </c>
      <c r="D213" s="37">
        <f>Input!B212*(1-B213)</f>
        <v>18224.065631184701</v>
      </c>
      <c r="E213" s="37">
        <f>Input!C212*(1-B213)</f>
        <v>0</v>
      </c>
      <c r="F213" s="37">
        <f>Input!D212*(1-B213)</f>
        <v>0</v>
      </c>
      <c r="G213" s="37">
        <f>Input!E212*(1-C213)</f>
        <v>3531</v>
      </c>
      <c r="H213" s="37">
        <f>Input!F212*(1-B213)</f>
        <v>0</v>
      </c>
      <c r="I213" s="37">
        <f>Input!G212*(1-B213)</f>
        <v>0</v>
      </c>
      <c r="J213" s="17"/>
    </row>
    <row r="214" spans="1:10" ht="30" x14ac:dyDescent="0.25">
      <c r="A214" s="4" t="s">
        <v>246</v>
      </c>
      <c r="B214" s="39">
        <f>SUMPRODUCT($B99:$F99,Input!$B$154:$F$154)</f>
        <v>0.35385228459835483</v>
      </c>
      <c r="C214" s="41">
        <f>B214</f>
        <v>0.35385228459835483</v>
      </c>
      <c r="D214" s="37">
        <f>Input!B213*(1-B214)</f>
        <v>0</v>
      </c>
      <c r="E214" s="37">
        <f>Input!C213*(1-B214)</f>
        <v>0</v>
      </c>
      <c r="F214" s="37">
        <f>Input!D213*(1-B214)</f>
        <v>0</v>
      </c>
      <c r="G214" s="37">
        <f>Input!E213*(1-C214)</f>
        <v>0</v>
      </c>
      <c r="H214" s="37">
        <f>Input!F213*(1-B214)</f>
        <v>0</v>
      </c>
      <c r="I214" s="37">
        <f>Input!G213*(1-B214)</f>
        <v>0</v>
      </c>
      <c r="J214" s="17"/>
    </row>
    <row r="215" spans="1:10" ht="30" x14ac:dyDescent="0.25">
      <c r="A215" s="4" t="s">
        <v>247</v>
      </c>
      <c r="B215" s="39">
        <f>SUMPRODUCT($B100:$F100,Input!$B$154:$F$154)</f>
        <v>0.57621522023143523</v>
      </c>
      <c r="C215" s="41">
        <f>B215</f>
        <v>0.57621522023143523</v>
      </c>
      <c r="D215" s="37">
        <f>Input!B214*(1-B215)</f>
        <v>0</v>
      </c>
      <c r="E215" s="37">
        <f>Input!C214*(1-B215)</f>
        <v>0</v>
      </c>
      <c r="F215" s="37">
        <f>Input!D214*(1-B215)</f>
        <v>0</v>
      </c>
      <c r="G215" s="37">
        <f>Input!E214*(1-C215)</f>
        <v>0</v>
      </c>
      <c r="H215" s="37">
        <f>Input!F214*(1-B215)</f>
        <v>0</v>
      </c>
      <c r="I215" s="37">
        <f>Input!G214*(1-B215)</f>
        <v>0</v>
      </c>
      <c r="J215" s="17"/>
    </row>
    <row r="216" spans="1:10" x14ac:dyDescent="0.25">
      <c r="A216" s="29" t="s">
        <v>248</v>
      </c>
      <c r="J216" s="17"/>
    </row>
    <row r="217" spans="1:10" x14ac:dyDescent="0.25">
      <c r="A217" s="4" t="s">
        <v>175</v>
      </c>
      <c r="B217" s="39">
        <f>SUMPRODUCT($B102:$F102,Input!$B$154:$F$154)</f>
        <v>0</v>
      </c>
      <c r="C217" s="41">
        <f>B217</f>
        <v>0</v>
      </c>
      <c r="D217" s="37">
        <f>Input!B216*(1-B217)</f>
        <v>0</v>
      </c>
      <c r="E217" s="37">
        <f>Input!C216*(1-B217)</f>
        <v>0</v>
      </c>
      <c r="F217" s="37">
        <f>Input!D216*(1-B217)</f>
        <v>0</v>
      </c>
      <c r="G217" s="37">
        <f>Input!E216*(1-C217)</f>
        <v>0</v>
      </c>
      <c r="H217" s="37">
        <f>Input!F216*(1-B217)</f>
        <v>0</v>
      </c>
      <c r="I217" s="37">
        <f>Input!G216*(1-B217)</f>
        <v>0</v>
      </c>
      <c r="J217" s="17"/>
    </row>
    <row r="218" spans="1:10" x14ac:dyDescent="0.25">
      <c r="A218" s="4" t="s">
        <v>249</v>
      </c>
      <c r="B218" s="39">
        <f>SUMPRODUCT($B103:$F103,Input!$B$154:$F$154)</f>
        <v>0.35385228459835483</v>
      </c>
      <c r="C218" s="41">
        <f>B218</f>
        <v>0.35385228459835483</v>
      </c>
      <c r="D218" s="37">
        <f>Input!B217*(1-B218)</f>
        <v>0</v>
      </c>
      <c r="E218" s="37">
        <f>Input!C217*(1-B218)</f>
        <v>0</v>
      </c>
      <c r="F218" s="37">
        <f>Input!D217*(1-B218)</f>
        <v>0</v>
      </c>
      <c r="G218" s="37">
        <f>Input!E217*(1-C218)</f>
        <v>0</v>
      </c>
      <c r="H218" s="37">
        <f>Input!F217*(1-B218)</f>
        <v>0</v>
      </c>
      <c r="I218" s="37">
        <f>Input!G217*(1-B218)</f>
        <v>0</v>
      </c>
      <c r="J218" s="17"/>
    </row>
    <row r="219" spans="1:10" x14ac:dyDescent="0.25">
      <c r="A219" s="4" t="s">
        <v>250</v>
      </c>
      <c r="B219" s="39">
        <f>SUMPRODUCT($B104:$F104,Input!$B$154:$F$154)</f>
        <v>0.57621522023143523</v>
      </c>
      <c r="C219" s="41">
        <f>B219</f>
        <v>0.57621522023143523</v>
      </c>
      <c r="D219" s="37">
        <f>Input!B218*(1-B219)</f>
        <v>0</v>
      </c>
      <c r="E219" s="37">
        <f>Input!C218*(1-B219)</f>
        <v>0</v>
      </c>
      <c r="F219" s="37">
        <f>Input!D218*(1-B219)</f>
        <v>0</v>
      </c>
      <c r="G219" s="37">
        <f>Input!E218*(1-C219)</f>
        <v>0</v>
      </c>
      <c r="H219" s="37">
        <f>Input!F218*(1-B219)</f>
        <v>0</v>
      </c>
      <c r="I219" s="37">
        <f>Input!G218*(1-B219)</f>
        <v>0</v>
      </c>
      <c r="J219" s="17"/>
    </row>
    <row r="220" spans="1:10" x14ac:dyDescent="0.25">
      <c r="A220" s="29" t="s">
        <v>251</v>
      </c>
      <c r="J220" s="17"/>
    </row>
    <row r="221" spans="1:10" x14ac:dyDescent="0.25">
      <c r="A221" s="4" t="s">
        <v>176</v>
      </c>
      <c r="B221" s="39">
        <f>SUMPRODUCT($B106:$F106,Input!$B$154:$F$154)</f>
        <v>0</v>
      </c>
      <c r="C221" s="41">
        <f>B221</f>
        <v>0</v>
      </c>
      <c r="D221" s="37">
        <f>Input!B220*(1-B221)</f>
        <v>0</v>
      </c>
      <c r="E221" s="37">
        <f>Input!C220*(1-B221)</f>
        <v>0</v>
      </c>
      <c r="F221" s="37">
        <f>Input!D220*(1-B221)</f>
        <v>0</v>
      </c>
      <c r="G221" s="37">
        <f>Input!E220*(1-C221)</f>
        <v>0</v>
      </c>
      <c r="H221" s="37">
        <f>Input!F220*(1-B221)</f>
        <v>0</v>
      </c>
      <c r="I221" s="37">
        <f>Input!G220*(1-B221)</f>
        <v>0</v>
      </c>
      <c r="J221" s="17"/>
    </row>
    <row r="222" spans="1:10" x14ac:dyDescent="0.25">
      <c r="A222" s="29" t="s">
        <v>252</v>
      </c>
      <c r="J222" s="17"/>
    </row>
    <row r="223" spans="1:10" x14ac:dyDescent="0.25">
      <c r="A223" s="4" t="s">
        <v>192</v>
      </c>
      <c r="B223" s="39">
        <f>SUMPRODUCT($B108:$F108,Input!$B$154:$F$154)</f>
        <v>0</v>
      </c>
      <c r="C223" s="41">
        <f>B223</f>
        <v>0</v>
      </c>
      <c r="D223" s="37">
        <f>Input!B222*(1-B223)</f>
        <v>5720.3660437803101</v>
      </c>
      <c r="E223" s="37">
        <f>Input!C222*(1-B223)</f>
        <v>1573.2199873444499</v>
      </c>
      <c r="F223" s="37">
        <f>Input!D222*(1-B223)</f>
        <v>0</v>
      </c>
      <c r="G223" s="37">
        <f>Input!E222*(1-C223)</f>
        <v>60</v>
      </c>
      <c r="H223" s="37">
        <f>Input!F222*(1-B223)</f>
        <v>0</v>
      </c>
      <c r="I223" s="37">
        <f>Input!G222*(1-B223)</f>
        <v>0</v>
      </c>
      <c r="J223" s="17"/>
    </row>
    <row r="224" spans="1:10" x14ac:dyDescent="0.25">
      <c r="A224" s="29" t="s">
        <v>253</v>
      </c>
      <c r="J224" s="17"/>
    </row>
    <row r="225" spans="1:10" x14ac:dyDescent="0.25">
      <c r="A225" s="4" t="s">
        <v>177</v>
      </c>
      <c r="B225" s="39">
        <f>SUMPRODUCT($B110:$F110,Input!$B$154:$F$154)</f>
        <v>0</v>
      </c>
      <c r="C225" s="41">
        <f>B225</f>
        <v>0</v>
      </c>
      <c r="D225" s="37">
        <f>Input!B224*(1-B225)</f>
        <v>0</v>
      </c>
      <c r="E225" s="37">
        <f>Input!C224*(1-B225)</f>
        <v>0</v>
      </c>
      <c r="F225" s="37">
        <f>Input!D224*(1-B225)</f>
        <v>0</v>
      </c>
      <c r="G225" s="37">
        <f>Input!E224*(1-C225)</f>
        <v>0</v>
      </c>
      <c r="H225" s="37">
        <f>Input!F224*(1-B225)</f>
        <v>0</v>
      </c>
      <c r="I225" s="37">
        <f>Input!G224*(1-B225)</f>
        <v>0</v>
      </c>
      <c r="J225" s="17"/>
    </row>
    <row r="226" spans="1:10" x14ac:dyDescent="0.25">
      <c r="A226" s="4" t="s">
        <v>254</v>
      </c>
      <c r="B226" s="39">
        <f>SUMPRODUCT($B111:$F111,Input!$B$154:$F$154)</f>
        <v>0.35385228459835483</v>
      </c>
      <c r="C226" s="41">
        <f>B226</f>
        <v>0.35385228459835483</v>
      </c>
      <c r="D226" s="37">
        <f>Input!B225*(1-B226)</f>
        <v>0</v>
      </c>
      <c r="E226" s="37">
        <f>Input!C225*(1-B226)</f>
        <v>0</v>
      </c>
      <c r="F226" s="37">
        <f>Input!D225*(1-B226)</f>
        <v>0</v>
      </c>
      <c r="G226" s="37">
        <f>Input!E225*(1-C226)</f>
        <v>0</v>
      </c>
      <c r="H226" s="37">
        <f>Input!F225*(1-B226)</f>
        <v>0</v>
      </c>
      <c r="I226" s="37">
        <f>Input!G225*(1-B226)</f>
        <v>0</v>
      </c>
      <c r="J226" s="17"/>
    </row>
    <row r="227" spans="1:10" x14ac:dyDescent="0.25">
      <c r="A227" s="4" t="s">
        <v>255</v>
      </c>
      <c r="B227" s="39">
        <f>SUMPRODUCT($B112:$F112,Input!$B$154:$F$154)</f>
        <v>0.57621522023143523</v>
      </c>
      <c r="C227" s="41">
        <f>B227</f>
        <v>0.57621522023143523</v>
      </c>
      <c r="D227" s="37">
        <f>Input!B226*(1-B227)</f>
        <v>0</v>
      </c>
      <c r="E227" s="37">
        <f>Input!C226*(1-B227)</f>
        <v>0</v>
      </c>
      <c r="F227" s="37">
        <f>Input!D226*(1-B227)</f>
        <v>0</v>
      </c>
      <c r="G227" s="37">
        <f>Input!E226*(1-C227)</f>
        <v>0</v>
      </c>
      <c r="H227" s="37">
        <f>Input!F226*(1-B227)</f>
        <v>0</v>
      </c>
      <c r="I227" s="37">
        <f>Input!G226*(1-B227)</f>
        <v>0</v>
      </c>
      <c r="J227" s="17"/>
    </row>
    <row r="228" spans="1:10" x14ac:dyDescent="0.25">
      <c r="A228" s="29" t="s">
        <v>256</v>
      </c>
      <c r="J228" s="17"/>
    </row>
    <row r="229" spans="1:10" x14ac:dyDescent="0.25">
      <c r="A229" s="4" t="s">
        <v>178</v>
      </c>
      <c r="B229" s="39">
        <f>SUMPRODUCT($B114:$F114,Input!$B$154:$F$154)</f>
        <v>0</v>
      </c>
      <c r="C229" s="41">
        <f>B229</f>
        <v>0</v>
      </c>
      <c r="D229" s="37">
        <f>Input!B228*(1-B229)</f>
        <v>55950.103311028302</v>
      </c>
      <c r="E229" s="37">
        <f>Input!C228*(1-B229)</f>
        <v>198560.748072744</v>
      </c>
      <c r="F229" s="37">
        <f>Input!D228*(1-B229)</f>
        <v>257739.12944192201</v>
      </c>
      <c r="G229" s="37">
        <f>Input!E228*(1-C229)</f>
        <v>5419.348</v>
      </c>
      <c r="H229" s="37">
        <f>Input!F228*(1-B229)</f>
        <v>0</v>
      </c>
      <c r="I229" s="37">
        <f>Input!G228*(1-B229)</f>
        <v>0</v>
      </c>
      <c r="J229" s="17"/>
    </row>
    <row r="230" spans="1:10" x14ac:dyDescent="0.25">
      <c r="A230" s="4" t="s">
        <v>257</v>
      </c>
      <c r="B230" s="39">
        <f>SUMPRODUCT($B115:$F115,Input!$B$154:$F$154)</f>
        <v>0.35385228459835483</v>
      </c>
      <c r="C230" s="41">
        <f>B230</f>
        <v>0.35385228459835483</v>
      </c>
      <c r="D230" s="37">
        <f>Input!B229*(1-B230)</f>
        <v>0</v>
      </c>
      <c r="E230" s="37">
        <f>Input!C229*(1-B230)</f>
        <v>0</v>
      </c>
      <c r="F230" s="37">
        <f>Input!D229*(1-B230)</f>
        <v>0</v>
      </c>
      <c r="G230" s="37">
        <f>Input!E229*(1-C230)</f>
        <v>0</v>
      </c>
      <c r="H230" s="37">
        <f>Input!F229*(1-B230)</f>
        <v>0</v>
      </c>
      <c r="I230" s="37">
        <f>Input!G229*(1-B230)</f>
        <v>0</v>
      </c>
      <c r="J230" s="17"/>
    </row>
    <row r="231" spans="1:10" x14ac:dyDescent="0.25">
      <c r="A231" s="4" t="s">
        <v>258</v>
      </c>
      <c r="B231" s="39">
        <f>SUMPRODUCT($B116:$F116,Input!$B$154:$F$154)</f>
        <v>0.57621522023143523</v>
      </c>
      <c r="C231" s="41">
        <f>B231</f>
        <v>0.57621522023143523</v>
      </c>
      <c r="D231" s="37">
        <f>Input!B230*(1-B231)</f>
        <v>0</v>
      </c>
      <c r="E231" s="37">
        <f>Input!C230*(1-B231)</f>
        <v>0</v>
      </c>
      <c r="F231" s="37">
        <f>Input!D230*(1-B231)</f>
        <v>0</v>
      </c>
      <c r="G231" s="37">
        <f>Input!E230*(1-C231)</f>
        <v>0</v>
      </c>
      <c r="H231" s="37">
        <f>Input!F230*(1-B231)</f>
        <v>0</v>
      </c>
      <c r="I231" s="37">
        <f>Input!G230*(1-B231)</f>
        <v>0</v>
      </c>
      <c r="J231" s="17"/>
    </row>
    <row r="232" spans="1:10" x14ac:dyDescent="0.25">
      <c r="A232" s="29" t="s">
        <v>259</v>
      </c>
      <c r="J232" s="17"/>
    </row>
    <row r="233" spans="1:10" x14ac:dyDescent="0.25">
      <c r="A233" s="4" t="s">
        <v>179</v>
      </c>
      <c r="B233" s="39">
        <f>SUMPRODUCT($B118:$F118,Input!$B$154:$F$154)</f>
        <v>0</v>
      </c>
      <c r="C233" s="41">
        <f>B233</f>
        <v>0</v>
      </c>
      <c r="D233" s="37">
        <f>Input!B232*(1-B233)</f>
        <v>244292.46440822599</v>
      </c>
      <c r="E233" s="37">
        <f>Input!C232*(1-B233)</f>
        <v>866967.02259476297</v>
      </c>
      <c r="F233" s="37">
        <f>Input!D232*(1-B233)</f>
        <v>1125354.97487432</v>
      </c>
      <c r="G233" s="37">
        <f>Input!E232*(1-C233)</f>
        <v>11578.652</v>
      </c>
      <c r="H233" s="37">
        <f>Input!F232*(1-B233)</f>
        <v>1587209.93863157</v>
      </c>
      <c r="I233" s="37">
        <f>Input!G232*(1-B233)</f>
        <v>265954.62098644901</v>
      </c>
      <c r="J233" s="17"/>
    </row>
    <row r="234" spans="1:10" x14ac:dyDescent="0.25">
      <c r="A234" s="4" t="s">
        <v>260</v>
      </c>
      <c r="B234" s="39">
        <f>SUMPRODUCT($B119:$F119,Input!$B$154:$F$154)</f>
        <v>0.35385228459835483</v>
      </c>
      <c r="C234" s="41">
        <f>B234</f>
        <v>0.35385228459835483</v>
      </c>
      <c r="D234" s="37">
        <f>Input!B233*(1-B234)</f>
        <v>233.60570001764472</v>
      </c>
      <c r="E234" s="37">
        <f>Input!C233*(1-B234)</f>
        <v>936.45826422792038</v>
      </c>
      <c r="F234" s="37">
        <f>Input!D233*(1-B234)</f>
        <v>1208.3001488445609</v>
      </c>
      <c r="G234" s="37">
        <f>Input!E233*(1-C234)</f>
        <v>9.0460680156230318</v>
      </c>
      <c r="H234" s="37">
        <f>Input!F233*(1-B234)</f>
        <v>1709.7804799071514</v>
      </c>
      <c r="I234" s="37">
        <f>Input!G233*(1-B234)</f>
        <v>145.90758483641861</v>
      </c>
      <c r="J234" s="17"/>
    </row>
    <row r="235" spans="1:10" x14ac:dyDescent="0.25">
      <c r="A235" s="4" t="s">
        <v>261</v>
      </c>
      <c r="B235" s="39">
        <f>SUMPRODUCT($B120:$F120,Input!$B$154:$F$154)</f>
        <v>0.57621522023143523</v>
      </c>
      <c r="C235" s="41">
        <f>B235</f>
        <v>0.57621522023143523</v>
      </c>
      <c r="D235" s="37">
        <f>Input!B234*(1-B235)</f>
        <v>1805.3641922877193</v>
      </c>
      <c r="E235" s="37">
        <f>Input!C234*(1-B235)</f>
        <v>7968.1446498019914</v>
      </c>
      <c r="F235" s="37">
        <f>Input!D234*(1-B235)</f>
        <v>11146.047521511884</v>
      </c>
      <c r="G235" s="37">
        <f>Input!E234*(1-C235)</f>
        <v>43.649832316162168</v>
      </c>
      <c r="H235" s="37">
        <f>Input!F234*(1-B235)</f>
        <v>13641.704808731683</v>
      </c>
      <c r="I235" s="37">
        <f>Input!G234*(1-B235)</f>
        <v>601.65630811817505</v>
      </c>
      <c r="J235" s="17"/>
    </row>
    <row r="236" spans="1:10" x14ac:dyDescent="0.25">
      <c r="A236" s="29" t="s">
        <v>262</v>
      </c>
      <c r="J236" s="17"/>
    </row>
    <row r="237" spans="1:10" x14ac:dyDescent="0.25">
      <c r="A237" s="4" t="s">
        <v>180</v>
      </c>
      <c r="B237" s="39">
        <f>SUMPRODUCT($B122:$F122,Input!$B$154:$F$154)</f>
        <v>0</v>
      </c>
      <c r="C237" s="41">
        <f>B237</f>
        <v>0</v>
      </c>
      <c r="D237" s="37">
        <f>Input!B236*(1-B237)</f>
        <v>136748.252675753</v>
      </c>
      <c r="E237" s="37">
        <f>Input!C236*(1-B237)</f>
        <v>496870.26373939298</v>
      </c>
      <c r="F237" s="37">
        <f>Input!D236*(1-B237)</f>
        <v>664276.69844666997</v>
      </c>
      <c r="G237" s="37">
        <f>Input!E236*(1-C237)</f>
        <v>2212</v>
      </c>
      <c r="H237" s="37">
        <f>Input!F236*(1-B237)</f>
        <v>761063.60181995796</v>
      </c>
      <c r="I237" s="37">
        <f>Input!G236*(1-B237)</f>
        <v>114518.55597828</v>
      </c>
      <c r="J237" s="17"/>
    </row>
    <row r="238" spans="1:10" x14ac:dyDescent="0.25">
      <c r="A238" s="4" t="s">
        <v>263</v>
      </c>
      <c r="B238" s="39">
        <f>SUMPRODUCT($B123:$F123,Input!$B$154:$F$154)</f>
        <v>0.33627829782411056</v>
      </c>
      <c r="C238" s="41">
        <f>B238</f>
        <v>0.33627829782411056</v>
      </c>
      <c r="D238" s="37">
        <f>Input!B237*(1-B238)</f>
        <v>37.100715708227867</v>
      </c>
      <c r="E238" s="37">
        <f>Input!C237*(1-B238)</f>
        <v>174.91124389611431</v>
      </c>
      <c r="F238" s="37">
        <f>Input!D237*(1-B238)</f>
        <v>247.55923466862737</v>
      </c>
      <c r="G238" s="37">
        <f>Input!E237*(1-C238)</f>
        <v>1.9911651065276683</v>
      </c>
      <c r="H238" s="37">
        <f>Input!F237*(1-B238)</f>
        <v>851.92036505432907</v>
      </c>
      <c r="I238" s="37">
        <f>Input!G237*(1-B238)</f>
        <v>1.5949232503286623</v>
      </c>
      <c r="J238" s="17"/>
    </row>
    <row r="239" spans="1:10" x14ac:dyDescent="0.25">
      <c r="A239" s="29" t="s">
        <v>264</v>
      </c>
      <c r="J239" s="17"/>
    </row>
    <row r="240" spans="1:10" x14ac:dyDescent="0.25">
      <c r="A240" s="4" t="s">
        <v>193</v>
      </c>
      <c r="B240" s="39">
        <f>SUMPRODUCT($B125:$F125,Input!$B$154:$F$154)</f>
        <v>0</v>
      </c>
      <c r="C240" s="41">
        <f>B240</f>
        <v>0</v>
      </c>
      <c r="D240" s="37">
        <f>Input!B239*(1-B240)</f>
        <v>509012.188310161</v>
      </c>
      <c r="E240" s="37">
        <f>Input!C239*(1-B240)</f>
        <v>1735465.95432139</v>
      </c>
      <c r="F240" s="37">
        <f>Input!D239*(1-B240)</f>
        <v>2850377.0008743601</v>
      </c>
      <c r="G240" s="37">
        <f>Input!E239*(1-C240)</f>
        <v>2113</v>
      </c>
      <c r="H240" s="37">
        <f>Input!F239*(1-B240)</f>
        <v>1827943.0085599101</v>
      </c>
      <c r="I240" s="37">
        <f>Input!G239*(1-B240)</f>
        <v>388553.77620000002</v>
      </c>
      <c r="J240" s="17"/>
    </row>
    <row r="241" spans="1:10" x14ac:dyDescent="0.25">
      <c r="A241" s="4" t="s">
        <v>265</v>
      </c>
      <c r="B241" s="39">
        <f>SUMPRODUCT($B126:$F126,Input!$B$154:$F$154)</f>
        <v>0.21582557820770013</v>
      </c>
      <c r="C241" s="41">
        <f>B241</f>
        <v>0.21582557820770013</v>
      </c>
      <c r="D241" s="37">
        <f>Input!B240*(1-B241)</f>
        <v>1323.4250724970534</v>
      </c>
      <c r="E241" s="37">
        <f>Input!C240*(1-B241)</f>
        <v>5772.3497131848535</v>
      </c>
      <c r="F241" s="37">
        <f>Input!D240*(1-B241)</f>
        <v>10246.713661832617</v>
      </c>
      <c r="G241" s="37">
        <f>Input!E240*(1-C241)</f>
        <v>7.0575697961306991</v>
      </c>
      <c r="H241" s="37">
        <f>Input!F240*(1-B241)</f>
        <v>11387.377991537302</v>
      </c>
      <c r="I241" s="37">
        <f>Input!G240*(1-B241)</f>
        <v>61.690750826585258</v>
      </c>
      <c r="J241" s="17"/>
    </row>
    <row r="242" spans="1:10" x14ac:dyDescent="0.25">
      <c r="A242" s="29" t="s">
        <v>266</v>
      </c>
      <c r="J242" s="17"/>
    </row>
    <row r="243" spans="1:10" x14ac:dyDescent="0.25">
      <c r="A243" s="4" t="s">
        <v>215</v>
      </c>
      <c r="B243" s="39">
        <f>SUMPRODUCT($B128:$F128,Input!$B$154:$F$154)</f>
        <v>0</v>
      </c>
      <c r="C243" s="41">
        <f>B243</f>
        <v>0</v>
      </c>
      <c r="D243" s="37">
        <f>Input!B242*(1-B243)</f>
        <v>36671.232710255303</v>
      </c>
      <c r="E243" s="37">
        <f>Input!C242*(1-B243)</f>
        <v>0</v>
      </c>
      <c r="F243" s="37">
        <f>Input!D242*(1-B243)</f>
        <v>0</v>
      </c>
      <c r="G243" s="37">
        <f>Input!E242*(1-C243)</f>
        <v>244</v>
      </c>
      <c r="H243" s="37">
        <f>Input!F242*(1-B243)</f>
        <v>0</v>
      </c>
      <c r="I243" s="37">
        <f>Input!G242*(1-B243)</f>
        <v>0</v>
      </c>
      <c r="J243" s="17"/>
    </row>
    <row r="244" spans="1:10" x14ac:dyDescent="0.25">
      <c r="A244" s="4" t="s">
        <v>267</v>
      </c>
      <c r="B244" s="39">
        <f>SUMPRODUCT($B129:$F129,Input!$B$154:$F$154)</f>
        <v>0.35385228459835483</v>
      </c>
      <c r="C244" s="41">
        <f>B244</f>
        <v>0.35385228459835483</v>
      </c>
      <c r="D244" s="37">
        <f>Input!B243*(1-B244)</f>
        <v>0</v>
      </c>
      <c r="E244" s="37">
        <f>Input!C243*(1-B244)</f>
        <v>0</v>
      </c>
      <c r="F244" s="37">
        <f>Input!D243*(1-B244)</f>
        <v>0</v>
      </c>
      <c r="G244" s="37">
        <f>Input!E243*(1-C244)</f>
        <v>0</v>
      </c>
      <c r="H244" s="37">
        <f>Input!F243*(1-B244)</f>
        <v>0</v>
      </c>
      <c r="I244" s="37">
        <f>Input!G243*(1-B244)</f>
        <v>0</v>
      </c>
      <c r="J244" s="17"/>
    </row>
    <row r="245" spans="1:10" x14ac:dyDescent="0.25">
      <c r="A245" s="4" t="s">
        <v>268</v>
      </c>
      <c r="B245" s="39">
        <f>SUMPRODUCT($B130:$F130,Input!$B$154:$F$154)</f>
        <v>0.57621522023143523</v>
      </c>
      <c r="C245" s="41">
        <f>B245</f>
        <v>0.57621522023143523</v>
      </c>
      <c r="D245" s="37">
        <f>Input!B244*(1-B245)</f>
        <v>0</v>
      </c>
      <c r="E245" s="37">
        <f>Input!C244*(1-B245)</f>
        <v>0</v>
      </c>
      <c r="F245" s="37">
        <f>Input!D244*(1-B245)</f>
        <v>0</v>
      </c>
      <c r="G245" s="37">
        <f>Input!E244*(1-C245)</f>
        <v>0</v>
      </c>
      <c r="H245" s="37">
        <f>Input!F244*(1-B245)</f>
        <v>0</v>
      </c>
      <c r="I245" s="37">
        <f>Input!G244*(1-B245)</f>
        <v>0</v>
      </c>
      <c r="J245" s="17"/>
    </row>
    <row r="246" spans="1:10" x14ac:dyDescent="0.25">
      <c r="A246" s="29" t="s">
        <v>269</v>
      </c>
      <c r="J246" s="17"/>
    </row>
    <row r="247" spans="1:10" x14ac:dyDescent="0.25">
      <c r="A247" s="4" t="s">
        <v>216</v>
      </c>
      <c r="B247" s="39">
        <f>SUMPRODUCT($B132:$F132,Input!$B$154:$F$154)</f>
        <v>0</v>
      </c>
      <c r="C247" s="41">
        <f>B247</f>
        <v>0</v>
      </c>
      <c r="D247" s="37">
        <f>Input!B246*(1-B247)</f>
        <v>9979.0774254830903</v>
      </c>
      <c r="E247" s="37">
        <f>Input!C246*(1-B247)</f>
        <v>0</v>
      </c>
      <c r="F247" s="37">
        <f>Input!D246*(1-B247)</f>
        <v>0</v>
      </c>
      <c r="G247" s="37">
        <f>Input!E246*(1-C247)</f>
        <v>314</v>
      </c>
      <c r="H247" s="37">
        <f>Input!F246*(1-B247)</f>
        <v>0</v>
      </c>
      <c r="I247" s="37">
        <f>Input!G246*(1-B247)</f>
        <v>0</v>
      </c>
      <c r="J247" s="17"/>
    </row>
    <row r="248" spans="1:10" x14ac:dyDescent="0.25">
      <c r="A248" s="4" t="s">
        <v>270</v>
      </c>
      <c r="B248" s="39">
        <f>SUMPRODUCT($B133:$F133,Input!$B$154:$F$154)</f>
        <v>0.35385228459835483</v>
      </c>
      <c r="C248" s="41">
        <f>B248</f>
        <v>0.35385228459835483</v>
      </c>
      <c r="D248" s="37">
        <f>Input!B247*(1-B248)</f>
        <v>96.600353048640159</v>
      </c>
      <c r="E248" s="37">
        <f>Input!C247*(1-B248)</f>
        <v>0</v>
      </c>
      <c r="F248" s="37">
        <f>Input!D247*(1-B248)</f>
        <v>0</v>
      </c>
      <c r="G248" s="37">
        <f>Input!E247*(1-C248)</f>
        <v>39.415010639500359</v>
      </c>
      <c r="H248" s="37">
        <f>Input!F247*(1-B248)</f>
        <v>0</v>
      </c>
      <c r="I248" s="37">
        <f>Input!G247*(1-B248)</f>
        <v>0</v>
      </c>
      <c r="J248" s="17"/>
    </row>
    <row r="249" spans="1:10" x14ac:dyDescent="0.25">
      <c r="A249" s="4" t="s">
        <v>271</v>
      </c>
      <c r="B249" s="39">
        <f>SUMPRODUCT($B134:$F134,Input!$B$154:$F$154)</f>
        <v>0.57621522023143523</v>
      </c>
      <c r="C249" s="41">
        <f>B249</f>
        <v>0.57621522023143523</v>
      </c>
      <c r="D249" s="37">
        <f>Input!B248*(1-B249)</f>
        <v>73.395003484931081</v>
      </c>
      <c r="E249" s="37">
        <f>Input!C248*(1-B249)</f>
        <v>0</v>
      </c>
      <c r="F249" s="37">
        <f>Input!D248*(1-B249)</f>
        <v>0</v>
      </c>
      <c r="G249" s="37">
        <f>Input!E248*(1-C249)</f>
        <v>6.7805564762970363</v>
      </c>
      <c r="H249" s="37">
        <f>Input!F248*(1-B249)</f>
        <v>0</v>
      </c>
      <c r="I249" s="37">
        <f>Input!G248*(1-B249)</f>
        <v>0</v>
      </c>
      <c r="J249" s="17"/>
    </row>
    <row r="250" spans="1:10" x14ac:dyDescent="0.25">
      <c r="A250" s="29" t="s">
        <v>272</v>
      </c>
      <c r="J250" s="17"/>
    </row>
    <row r="251" spans="1:10" x14ac:dyDescent="0.25">
      <c r="A251" s="4" t="s">
        <v>217</v>
      </c>
      <c r="B251" s="39">
        <f>SUMPRODUCT($B136:$F136,Input!$B$154:$F$154)</f>
        <v>0</v>
      </c>
      <c r="C251" s="41">
        <f>B251</f>
        <v>0</v>
      </c>
      <c r="D251" s="37">
        <f>Input!B250*(1-B251)</f>
        <v>265.80818738323097</v>
      </c>
      <c r="E251" s="37">
        <f>Input!C250*(1-B251)</f>
        <v>0</v>
      </c>
      <c r="F251" s="37">
        <f>Input!D250*(1-B251)</f>
        <v>0</v>
      </c>
      <c r="G251" s="37">
        <f>Input!E250*(1-C251)</f>
        <v>7</v>
      </c>
      <c r="H251" s="37">
        <f>Input!F250*(1-B251)</f>
        <v>0</v>
      </c>
      <c r="I251" s="37">
        <f>Input!G250*(1-B251)</f>
        <v>0</v>
      </c>
      <c r="J251" s="17"/>
    </row>
    <row r="252" spans="1:10" x14ac:dyDescent="0.25">
      <c r="A252" s="4" t="s">
        <v>273</v>
      </c>
      <c r="B252" s="39">
        <f>SUMPRODUCT($B137:$F137,Input!$B$154:$F$154)</f>
        <v>0.35385228459835483</v>
      </c>
      <c r="C252" s="41">
        <f>B252</f>
        <v>0.35385228459835483</v>
      </c>
      <c r="D252" s="37">
        <f>Input!B251*(1-B252)</f>
        <v>0</v>
      </c>
      <c r="E252" s="37">
        <f>Input!C251*(1-B252)</f>
        <v>0</v>
      </c>
      <c r="F252" s="37">
        <f>Input!D251*(1-B252)</f>
        <v>0</v>
      </c>
      <c r="G252" s="37">
        <f>Input!E251*(1-C252)</f>
        <v>0</v>
      </c>
      <c r="H252" s="37">
        <f>Input!F251*(1-B252)</f>
        <v>0</v>
      </c>
      <c r="I252" s="37">
        <f>Input!G251*(1-B252)</f>
        <v>0</v>
      </c>
      <c r="J252" s="17"/>
    </row>
    <row r="253" spans="1:10" x14ac:dyDescent="0.25">
      <c r="A253" s="4" t="s">
        <v>274</v>
      </c>
      <c r="B253" s="39">
        <f>SUMPRODUCT($B138:$F138,Input!$B$154:$F$154)</f>
        <v>0.57621522023143523</v>
      </c>
      <c r="C253" s="41">
        <f>B253</f>
        <v>0.57621522023143523</v>
      </c>
      <c r="D253" s="37">
        <f>Input!B252*(1-B253)</f>
        <v>0</v>
      </c>
      <c r="E253" s="37">
        <f>Input!C252*(1-B253)</f>
        <v>0</v>
      </c>
      <c r="F253" s="37">
        <f>Input!D252*(1-B253)</f>
        <v>0</v>
      </c>
      <c r="G253" s="37">
        <f>Input!E252*(1-C253)</f>
        <v>0</v>
      </c>
      <c r="H253" s="37">
        <f>Input!F252*(1-B253)</f>
        <v>0</v>
      </c>
      <c r="I253" s="37">
        <f>Input!G252*(1-B253)</f>
        <v>0</v>
      </c>
      <c r="J253" s="17"/>
    </row>
    <row r="254" spans="1:10" x14ac:dyDescent="0.25">
      <c r="A254" s="29" t="s">
        <v>275</v>
      </c>
      <c r="J254" s="17"/>
    </row>
    <row r="255" spans="1:10" x14ac:dyDescent="0.25">
      <c r="A255" s="4" t="s">
        <v>218</v>
      </c>
      <c r="B255" s="39">
        <f>SUMPRODUCT($B140:$F140,Input!$B$154:$F$154)</f>
        <v>0</v>
      </c>
      <c r="C255" s="41">
        <f>B255</f>
        <v>0</v>
      </c>
      <c r="D255" s="37">
        <f>Input!B254*(1-B255)</f>
        <v>7.86378751503896E-2</v>
      </c>
      <c r="E255" s="37">
        <f>Input!C254*(1-B255)</f>
        <v>0</v>
      </c>
      <c r="F255" s="37">
        <f>Input!D254*(1-B255)</f>
        <v>0</v>
      </c>
      <c r="G255" s="37">
        <f>Input!E254*(1-C255)</f>
        <v>1</v>
      </c>
      <c r="H255" s="37">
        <f>Input!F254*(1-B255)</f>
        <v>0</v>
      </c>
      <c r="I255" s="37">
        <f>Input!G254*(1-B255)</f>
        <v>0</v>
      </c>
      <c r="J255" s="17"/>
    </row>
    <row r="256" spans="1:10" x14ac:dyDescent="0.25">
      <c r="A256" s="4" t="s">
        <v>276</v>
      </c>
      <c r="B256" s="39">
        <f>SUMPRODUCT($B141:$F141,Input!$B$154:$F$154)</f>
        <v>0.35385228459835483</v>
      </c>
      <c r="C256" s="41">
        <f>B256</f>
        <v>0.35385228459835483</v>
      </c>
      <c r="D256" s="37">
        <f>Input!B255*(1-B256)</f>
        <v>0</v>
      </c>
      <c r="E256" s="37">
        <f>Input!C255*(1-B256)</f>
        <v>0</v>
      </c>
      <c r="F256" s="37">
        <f>Input!D255*(1-B256)</f>
        <v>0</v>
      </c>
      <c r="G256" s="37">
        <f>Input!E255*(1-C256)</f>
        <v>0</v>
      </c>
      <c r="H256" s="37">
        <f>Input!F255*(1-B256)</f>
        <v>0</v>
      </c>
      <c r="I256" s="37">
        <f>Input!G255*(1-B256)</f>
        <v>0</v>
      </c>
      <c r="J256" s="17"/>
    </row>
    <row r="257" spans="1:10" x14ac:dyDescent="0.25">
      <c r="A257" s="4" t="s">
        <v>277</v>
      </c>
      <c r="B257" s="39">
        <f>SUMPRODUCT($B142:$F142,Input!$B$154:$F$154)</f>
        <v>0.57621522023143523</v>
      </c>
      <c r="C257" s="41">
        <f>B257</f>
        <v>0.57621522023143523</v>
      </c>
      <c r="D257" s="37">
        <f>Input!B256*(1-B257)</f>
        <v>0</v>
      </c>
      <c r="E257" s="37">
        <f>Input!C256*(1-B257)</f>
        <v>0</v>
      </c>
      <c r="F257" s="37">
        <f>Input!D256*(1-B257)</f>
        <v>0</v>
      </c>
      <c r="G257" s="37">
        <f>Input!E256*(1-C257)</f>
        <v>0</v>
      </c>
      <c r="H257" s="37">
        <f>Input!F256*(1-B257)</f>
        <v>0</v>
      </c>
      <c r="I257" s="37">
        <f>Input!G256*(1-B257)</f>
        <v>0</v>
      </c>
      <c r="J257" s="17"/>
    </row>
    <row r="258" spans="1:10" x14ac:dyDescent="0.25">
      <c r="A258" s="29" t="s">
        <v>278</v>
      </c>
      <c r="J258" s="17"/>
    </row>
    <row r="259" spans="1:10" x14ac:dyDescent="0.25">
      <c r="A259" s="4" t="s">
        <v>219</v>
      </c>
      <c r="B259" s="39">
        <f>SUMPRODUCT($B144:$F144,Input!$B$154:$F$154)</f>
        <v>0</v>
      </c>
      <c r="C259" s="41">
        <f>B259</f>
        <v>0</v>
      </c>
      <c r="D259" s="37">
        <f>Input!B258*(1-B259)</f>
        <v>14294.4549718826</v>
      </c>
      <c r="E259" s="37">
        <f>Input!C258*(1-B259)</f>
        <v>32942.966923018401</v>
      </c>
      <c r="F259" s="37">
        <f>Input!D258*(1-B259)</f>
        <v>213416.95592620299</v>
      </c>
      <c r="G259" s="37">
        <f>Input!E258*(1-C259)</f>
        <v>23</v>
      </c>
      <c r="H259" s="37">
        <f>Input!F258*(1-B259)</f>
        <v>0</v>
      </c>
      <c r="I259" s="37">
        <f>Input!G258*(1-B259)</f>
        <v>0</v>
      </c>
      <c r="J259" s="17"/>
    </row>
    <row r="260" spans="1:10" x14ac:dyDescent="0.25">
      <c r="A260" s="4" t="s">
        <v>279</v>
      </c>
      <c r="B260" s="39">
        <f>SUMPRODUCT($B145:$F145,Input!$B$154:$F$154)</f>
        <v>0.35385228459835483</v>
      </c>
      <c r="C260" s="41">
        <f>B260</f>
        <v>0.35385228459835483</v>
      </c>
      <c r="D260" s="37">
        <f>Input!B259*(1-B260)</f>
        <v>0</v>
      </c>
      <c r="E260" s="37">
        <f>Input!C259*(1-B260)</f>
        <v>0</v>
      </c>
      <c r="F260" s="37">
        <f>Input!D259*(1-B260)</f>
        <v>0</v>
      </c>
      <c r="G260" s="37">
        <f>Input!E259*(1-C260)</f>
        <v>0</v>
      </c>
      <c r="H260" s="37">
        <f>Input!F259*(1-B260)</f>
        <v>0</v>
      </c>
      <c r="I260" s="37">
        <f>Input!G259*(1-B260)</f>
        <v>0</v>
      </c>
      <c r="J260" s="17"/>
    </row>
    <row r="261" spans="1:10" x14ac:dyDescent="0.25">
      <c r="A261" s="4" t="s">
        <v>280</v>
      </c>
      <c r="B261" s="39">
        <f>SUMPRODUCT($B146:$F146,Input!$B$154:$F$154)</f>
        <v>0.57621522023143523</v>
      </c>
      <c r="C261" s="41">
        <f>B261</f>
        <v>0.57621522023143523</v>
      </c>
      <c r="D261" s="37">
        <f>Input!B260*(1-B261)</f>
        <v>0</v>
      </c>
      <c r="E261" s="37">
        <f>Input!C260*(1-B261)</f>
        <v>0</v>
      </c>
      <c r="F261" s="37">
        <f>Input!D260*(1-B261)</f>
        <v>0</v>
      </c>
      <c r="G261" s="37">
        <f>Input!E260*(1-C261)</f>
        <v>0</v>
      </c>
      <c r="H261" s="37">
        <f>Input!F260*(1-B261)</f>
        <v>0</v>
      </c>
      <c r="I261" s="37">
        <f>Input!G260*(1-B261)</f>
        <v>0</v>
      </c>
      <c r="J261" s="17"/>
    </row>
    <row r="262" spans="1:10" x14ac:dyDescent="0.25">
      <c r="A262" s="29" t="s">
        <v>281</v>
      </c>
      <c r="J262" s="17"/>
    </row>
    <row r="263" spans="1:10" x14ac:dyDescent="0.25">
      <c r="A263" s="4" t="s">
        <v>181</v>
      </c>
      <c r="B263" s="39">
        <f>SUMPRODUCT($B148:$F148,Input!$B$154:$F$154)</f>
        <v>0</v>
      </c>
      <c r="C263" s="41">
        <f>B263</f>
        <v>0</v>
      </c>
      <c r="D263" s="37">
        <f>Input!B262*(1-B263)</f>
        <v>762.555542901438</v>
      </c>
      <c r="E263" s="37">
        <f>Input!C262*(1-B263)</f>
        <v>0</v>
      </c>
      <c r="F263" s="37">
        <f>Input!D262*(1-B263)</f>
        <v>0</v>
      </c>
      <c r="G263" s="37">
        <f>Input!E262*(1-C263)</f>
        <v>61</v>
      </c>
      <c r="H263" s="37">
        <f>Input!F262*(1-B263)</f>
        <v>0</v>
      </c>
      <c r="I263" s="37">
        <f>Input!G262*(1-B263)</f>
        <v>0</v>
      </c>
      <c r="J263" s="17"/>
    </row>
    <row r="264" spans="1:10" x14ac:dyDescent="0.25">
      <c r="A264" s="4" t="s">
        <v>282</v>
      </c>
      <c r="B264" s="39">
        <f>SUMPRODUCT($B149:$F149,Input!$B$154:$F$154)</f>
        <v>0</v>
      </c>
      <c r="C264" s="40">
        <v>1</v>
      </c>
      <c r="D264" s="37">
        <f>Input!B263*(1-B264)</f>
        <v>0</v>
      </c>
      <c r="E264" s="37">
        <f>Input!C263*(1-B264)</f>
        <v>0</v>
      </c>
      <c r="F264" s="37">
        <f>Input!D263*(1-B264)</f>
        <v>0</v>
      </c>
      <c r="G264" s="37">
        <f>Input!E263*(1-C264)</f>
        <v>0</v>
      </c>
      <c r="H264" s="37">
        <f>Input!F263*(1-B264)</f>
        <v>0</v>
      </c>
      <c r="I264" s="37">
        <f>Input!G263*(1-B264)</f>
        <v>0</v>
      </c>
      <c r="J264" s="17"/>
    </row>
    <row r="265" spans="1:10" x14ac:dyDescent="0.25">
      <c r="A265" s="4" t="s">
        <v>283</v>
      </c>
      <c r="B265" s="39">
        <f>SUMPRODUCT($B150:$F150,Input!$B$154:$F$154)</f>
        <v>0</v>
      </c>
      <c r="C265" s="40">
        <v>1</v>
      </c>
      <c r="D265" s="37">
        <f>Input!B264*(1-B265)</f>
        <v>0</v>
      </c>
      <c r="E265" s="37">
        <f>Input!C264*(1-B265)</f>
        <v>0</v>
      </c>
      <c r="F265" s="37">
        <f>Input!D264*(1-B265)</f>
        <v>0</v>
      </c>
      <c r="G265" s="37">
        <f>Input!E264*(1-C265)</f>
        <v>0</v>
      </c>
      <c r="H265" s="37">
        <f>Input!F264*(1-B265)</f>
        <v>0</v>
      </c>
      <c r="I265" s="37">
        <f>Input!G264*(1-B265)</f>
        <v>0</v>
      </c>
      <c r="J265" s="17"/>
    </row>
    <row r="266" spans="1:10" x14ac:dyDescent="0.25">
      <c r="A266" s="29" t="s">
        <v>284</v>
      </c>
      <c r="J266" s="17"/>
    </row>
    <row r="267" spans="1:10" x14ac:dyDescent="0.25">
      <c r="A267" s="4" t="s">
        <v>182</v>
      </c>
      <c r="B267" s="39">
        <f>SUMPRODUCT($B152:$F152,Input!$B$154:$F$154)</f>
        <v>0</v>
      </c>
      <c r="C267" s="41">
        <f>B267</f>
        <v>0</v>
      </c>
      <c r="D267" s="37">
        <f>Input!B266*(1-B267)</f>
        <v>0</v>
      </c>
      <c r="E267" s="37">
        <f>Input!C266*(1-B267)</f>
        <v>0</v>
      </c>
      <c r="F267" s="37">
        <f>Input!D266*(1-B267)</f>
        <v>0</v>
      </c>
      <c r="G267" s="37">
        <f>Input!E266*(1-C267)</f>
        <v>0</v>
      </c>
      <c r="H267" s="37">
        <f>Input!F266*(1-B267)</f>
        <v>0</v>
      </c>
      <c r="I267" s="37">
        <f>Input!G266*(1-B267)</f>
        <v>0</v>
      </c>
      <c r="J267" s="17"/>
    </row>
    <row r="268" spans="1:10" x14ac:dyDescent="0.25">
      <c r="A268" s="4" t="s">
        <v>285</v>
      </c>
      <c r="B268" s="39">
        <f>SUMPRODUCT($B153:$F153,Input!$B$154:$F$154)</f>
        <v>0</v>
      </c>
      <c r="C268" s="40">
        <v>1</v>
      </c>
      <c r="D268" s="37">
        <f>Input!B267*(1-B268)</f>
        <v>0</v>
      </c>
      <c r="E268" s="37">
        <f>Input!C267*(1-B268)</f>
        <v>0</v>
      </c>
      <c r="F268" s="37">
        <f>Input!D267*(1-B268)</f>
        <v>0</v>
      </c>
      <c r="G268" s="37">
        <f>Input!E267*(1-C268)</f>
        <v>0</v>
      </c>
      <c r="H268" s="37">
        <f>Input!F267*(1-B268)</f>
        <v>0</v>
      </c>
      <c r="I268" s="37">
        <f>Input!G267*(1-B268)</f>
        <v>0</v>
      </c>
      <c r="J268" s="17"/>
    </row>
    <row r="269" spans="1:10" x14ac:dyDescent="0.25">
      <c r="A269" s="29" t="s">
        <v>286</v>
      </c>
      <c r="J269" s="17"/>
    </row>
    <row r="270" spans="1:10" x14ac:dyDescent="0.25">
      <c r="A270" s="4" t="s">
        <v>183</v>
      </c>
      <c r="B270" s="39">
        <f>SUMPRODUCT($B155:$F155,Input!$B$154:$F$154)</f>
        <v>0</v>
      </c>
      <c r="C270" s="41">
        <f>B270</f>
        <v>0</v>
      </c>
      <c r="D270" s="37">
        <f>Input!B269*(1-B270)</f>
        <v>29085.818544960101</v>
      </c>
      <c r="E270" s="37">
        <f>Input!C269*(1-B270)</f>
        <v>0</v>
      </c>
      <c r="F270" s="37">
        <f>Input!D269*(1-B270)</f>
        <v>0</v>
      </c>
      <c r="G270" s="37">
        <f>Input!E269*(1-C270)</f>
        <v>203</v>
      </c>
      <c r="H270" s="37">
        <f>Input!F269*(1-B270)</f>
        <v>0</v>
      </c>
      <c r="I270" s="37">
        <f>Input!G269*(1-B270)</f>
        <v>1127.6161999999999</v>
      </c>
      <c r="J270" s="17"/>
    </row>
    <row r="271" spans="1:10" x14ac:dyDescent="0.25">
      <c r="A271" s="4" t="s">
        <v>287</v>
      </c>
      <c r="B271" s="39">
        <f>SUMPRODUCT($B156:$F156,Input!$B$154:$F$154)</f>
        <v>0</v>
      </c>
      <c r="C271" s="40">
        <v>1</v>
      </c>
      <c r="D271" s="37">
        <f>Input!B270*(1-B271)</f>
        <v>0</v>
      </c>
      <c r="E271" s="37">
        <f>Input!C270*(1-B271)</f>
        <v>0</v>
      </c>
      <c r="F271" s="37">
        <f>Input!D270*(1-B271)</f>
        <v>0</v>
      </c>
      <c r="G271" s="37">
        <f>Input!E270*(1-C271)</f>
        <v>0</v>
      </c>
      <c r="H271" s="37">
        <f>Input!F270*(1-B271)</f>
        <v>0</v>
      </c>
      <c r="I271" s="37">
        <f>Input!G270*(1-B271)</f>
        <v>0</v>
      </c>
      <c r="J271" s="17"/>
    </row>
    <row r="272" spans="1:10" x14ac:dyDescent="0.25">
      <c r="A272" s="4" t="s">
        <v>288</v>
      </c>
      <c r="B272" s="39">
        <f>SUMPRODUCT($B157:$F157,Input!$B$154:$F$154)</f>
        <v>0</v>
      </c>
      <c r="C272" s="40">
        <v>1</v>
      </c>
      <c r="D272" s="37">
        <f>Input!B271*(1-B272)</f>
        <v>0</v>
      </c>
      <c r="E272" s="37">
        <f>Input!C271*(1-B272)</f>
        <v>0</v>
      </c>
      <c r="F272" s="37">
        <f>Input!D271*(1-B272)</f>
        <v>0</v>
      </c>
      <c r="G272" s="37">
        <f>Input!E271*(1-C272)</f>
        <v>0</v>
      </c>
      <c r="H272" s="37">
        <f>Input!F271*(1-B272)</f>
        <v>0</v>
      </c>
      <c r="I272" s="37">
        <f>Input!G271*(1-B272)</f>
        <v>0</v>
      </c>
      <c r="J272" s="17"/>
    </row>
    <row r="273" spans="1:10" x14ac:dyDescent="0.25">
      <c r="A273" s="29" t="s">
        <v>289</v>
      </c>
      <c r="J273" s="17"/>
    </row>
    <row r="274" spans="1:10" x14ac:dyDescent="0.25">
      <c r="A274" s="4" t="s">
        <v>184</v>
      </c>
      <c r="B274" s="39">
        <f>SUMPRODUCT($B159:$F159,Input!$B$154:$F$154)</f>
        <v>0</v>
      </c>
      <c r="C274" s="41">
        <f>B274</f>
        <v>0</v>
      </c>
      <c r="D274" s="37">
        <f>Input!B273*(1-B274)</f>
        <v>185.277229324009</v>
      </c>
      <c r="E274" s="37">
        <f>Input!C273*(1-B274)</f>
        <v>727.62032135198103</v>
      </c>
      <c r="F274" s="37">
        <f>Input!D273*(1-B274)</f>
        <v>1587.45912261072</v>
      </c>
      <c r="G274" s="37">
        <f>Input!E273*(1-C274)</f>
        <v>21</v>
      </c>
      <c r="H274" s="37">
        <f>Input!F273*(1-B274)</f>
        <v>0</v>
      </c>
      <c r="I274" s="37">
        <f>Input!G273*(1-B274)</f>
        <v>47.872599999999998</v>
      </c>
      <c r="J274" s="17"/>
    </row>
    <row r="275" spans="1:10" x14ac:dyDescent="0.25">
      <c r="A275" s="4" t="s">
        <v>290</v>
      </c>
      <c r="B275" s="39">
        <f>SUMPRODUCT($B160:$F160,Input!$B$154:$F$154)</f>
        <v>0</v>
      </c>
      <c r="C275" s="40">
        <v>1</v>
      </c>
      <c r="D275" s="37">
        <f>Input!B274*(1-B275)</f>
        <v>4.1044999999999998</v>
      </c>
      <c r="E275" s="37">
        <f>Input!C274*(1-B275)</f>
        <v>21.040299999999998</v>
      </c>
      <c r="F275" s="37">
        <f>Input!D274*(1-B275)</f>
        <v>11.5663</v>
      </c>
      <c r="G275" s="37">
        <f>Input!E274*(1-C275)</f>
        <v>0</v>
      </c>
      <c r="H275" s="37">
        <f>Input!F274*(1-B275)</f>
        <v>0</v>
      </c>
      <c r="I275" s="37">
        <f>Input!G274*(1-B275)</f>
        <v>1.6612</v>
      </c>
      <c r="J275" s="17"/>
    </row>
    <row r="276" spans="1:10" x14ac:dyDescent="0.25">
      <c r="A276" s="4" t="s">
        <v>291</v>
      </c>
      <c r="B276" s="39">
        <f>SUMPRODUCT($B161:$F161,Input!$B$154:$F$154)</f>
        <v>0</v>
      </c>
      <c r="C276" s="40">
        <v>1</v>
      </c>
      <c r="D276" s="37">
        <f>Input!B275*(1-B276)</f>
        <v>0</v>
      </c>
      <c r="E276" s="37">
        <f>Input!C275*(1-B276)</f>
        <v>0</v>
      </c>
      <c r="F276" s="37">
        <f>Input!D275*(1-B276)</f>
        <v>0</v>
      </c>
      <c r="G276" s="37">
        <f>Input!E275*(1-C276)</f>
        <v>0</v>
      </c>
      <c r="H276" s="37">
        <f>Input!F275*(1-B276)</f>
        <v>0</v>
      </c>
      <c r="I276" s="37">
        <f>Input!G275*(1-B276)</f>
        <v>0</v>
      </c>
      <c r="J276" s="17"/>
    </row>
    <row r="277" spans="1:10" x14ac:dyDescent="0.25">
      <c r="A277" s="29" t="s">
        <v>292</v>
      </c>
      <c r="J277" s="17"/>
    </row>
    <row r="278" spans="1:10" x14ac:dyDescent="0.25">
      <c r="A278" s="4" t="s">
        <v>185</v>
      </c>
      <c r="B278" s="39">
        <f>SUMPRODUCT($B163:$F163,Input!$B$154:$F$154)</f>
        <v>0</v>
      </c>
      <c r="C278" s="41">
        <f>B278</f>
        <v>0</v>
      </c>
      <c r="D278" s="37">
        <f>Input!B277*(1-B278)</f>
        <v>1410.5414699999999</v>
      </c>
      <c r="E278" s="37">
        <f>Input!C277*(1-B278)</f>
        <v>0</v>
      </c>
      <c r="F278" s="37">
        <f>Input!D277*(1-B278)</f>
        <v>0</v>
      </c>
      <c r="G278" s="37">
        <f>Input!E277*(1-C278)</f>
        <v>24</v>
      </c>
      <c r="H278" s="37">
        <f>Input!F277*(1-B278)</f>
        <v>0</v>
      </c>
      <c r="I278" s="37">
        <f>Input!G277*(1-B278)</f>
        <v>35.712200000000003</v>
      </c>
      <c r="J278" s="17"/>
    </row>
    <row r="279" spans="1:10" x14ac:dyDescent="0.25">
      <c r="A279" s="4" t="s">
        <v>293</v>
      </c>
      <c r="B279" s="39">
        <f>SUMPRODUCT($B164:$F164,Input!$B$154:$F$154)</f>
        <v>0</v>
      </c>
      <c r="C279" s="40">
        <v>1</v>
      </c>
      <c r="D279" s="37">
        <f>Input!B278*(1-B279)</f>
        <v>0</v>
      </c>
      <c r="E279" s="37">
        <f>Input!C278*(1-B279)</f>
        <v>0</v>
      </c>
      <c r="F279" s="37">
        <f>Input!D278*(1-B279)</f>
        <v>0</v>
      </c>
      <c r="G279" s="37">
        <f>Input!E278*(1-C279)</f>
        <v>0</v>
      </c>
      <c r="H279" s="37">
        <f>Input!F278*(1-B279)</f>
        <v>0</v>
      </c>
      <c r="I279" s="37">
        <f>Input!G278*(1-B279)</f>
        <v>0</v>
      </c>
      <c r="J279" s="17"/>
    </row>
    <row r="280" spans="1:10" x14ac:dyDescent="0.25">
      <c r="A280" s="29" t="s">
        <v>294</v>
      </c>
      <c r="J280" s="17"/>
    </row>
    <row r="281" spans="1:10" x14ac:dyDescent="0.25">
      <c r="A281" s="4" t="s">
        <v>186</v>
      </c>
      <c r="B281" s="39">
        <f>SUMPRODUCT($B166:$F166,Input!$B$154:$F$154)</f>
        <v>0</v>
      </c>
      <c r="C281" s="41">
        <f>B281</f>
        <v>0</v>
      </c>
      <c r="D281" s="37">
        <f>Input!B280*(1-B281)</f>
        <v>40.407200000000003</v>
      </c>
      <c r="E281" s="37">
        <f>Input!C280*(1-B281)</f>
        <v>74.766800000000003</v>
      </c>
      <c r="F281" s="37">
        <f>Input!D280*(1-B281)</f>
        <v>276.07310000000001</v>
      </c>
      <c r="G281" s="37">
        <f>Input!E280*(1-C281)</f>
        <v>9</v>
      </c>
      <c r="H281" s="37">
        <f>Input!F280*(1-B281)</f>
        <v>0</v>
      </c>
      <c r="I281" s="37">
        <f>Input!G280*(1-B281)</f>
        <v>485.75720000000001</v>
      </c>
      <c r="J281" s="17"/>
    </row>
    <row r="282" spans="1:10" x14ac:dyDescent="0.25">
      <c r="A282" s="4" t="s">
        <v>295</v>
      </c>
      <c r="B282" s="39">
        <f>SUMPRODUCT($B167:$F167,Input!$B$154:$F$154)</f>
        <v>0</v>
      </c>
      <c r="C282" s="40">
        <v>1</v>
      </c>
      <c r="D282" s="37">
        <f>Input!B281*(1-B282)</f>
        <v>0</v>
      </c>
      <c r="E282" s="37">
        <f>Input!C281*(1-B282)</f>
        <v>0</v>
      </c>
      <c r="F282" s="37">
        <f>Input!D281*(1-B282)</f>
        <v>0</v>
      </c>
      <c r="G282" s="37">
        <f>Input!E281*(1-C282)</f>
        <v>0</v>
      </c>
      <c r="H282" s="37">
        <f>Input!F281*(1-B282)</f>
        <v>0</v>
      </c>
      <c r="I282" s="37">
        <f>Input!G281*(1-B282)</f>
        <v>0</v>
      </c>
      <c r="J282" s="17"/>
    </row>
    <row r="283" spans="1:10" x14ac:dyDescent="0.25">
      <c r="A283" s="29" t="s">
        <v>296</v>
      </c>
      <c r="J283" s="17"/>
    </row>
    <row r="284" spans="1:10" x14ac:dyDescent="0.25">
      <c r="A284" s="4" t="s">
        <v>194</v>
      </c>
      <c r="B284" s="39">
        <f>SUMPRODUCT($B169:$F169,Input!$B$154:$F$154)</f>
        <v>0</v>
      </c>
      <c r="C284" s="41">
        <f>B284</f>
        <v>0</v>
      </c>
      <c r="D284" s="37">
        <f>Input!B283*(1-B284)</f>
        <v>352888.28028544399</v>
      </c>
      <c r="E284" s="37">
        <f>Input!C283*(1-B284)</f>
        <v>0</v>
      </c>
      <c r="F284" s="37">
        <f>Input!D283*(1-B284)</f>
        <v>0</v>
      </c>
      <c r="G284" s="37">
        <f>Input!E283*(1-C284)</f>
        <v>136</v>
      </c>
      <c r="H284" s="37">
        <f>Input!F283*(1-B284)</f>
        <v>0</v>
      </c>
      <c r="I284" s="37">
        <f>Input!G283*(1-B284)</f>
        <v>9441.6512999999995</v>
      </c>
      <c r="J284" s="17"/>
    </row>
    <row r="285" spans="1:10" x14ac:dyDescent="0.25">
      <c r="A285" s="4" t="s">
        <v>297</v>
      </c>
      <c r="B285" s="39">
        <f>SUMPRODUCT($B170:$F170,Input!$B$154:$F$154)</f>
        <v>0</v>
      </c>
      <c r="C285" s="40">
        <v>1</v>
      </c>
      <c r="D285" s="37">
        <f>Input!B284*(1-B285)</f>
        <v>0</v>
      </c>
      <c r="E285" s="37">
        <f>Input!C284*(1-B285)</f>
        <v>0</v>
      </c>
      <c r="F285" s="37">
        <f>Input!D284*(1-B285)</f>
        <v>0</v>
      </c>
      <c r="G285" s="37">
        <f>Input!E284*(1-C285)</f>
        <v>0</v>
      </c>
      <c r="H285" s="37">
        <f>Input!F284*(1-B285)</f>
        <v>0</v>
      </c>
      <c r="I285" s="37">
        <f>Input!G284*(1-B285)</f>
        <v>0</v>
      </c>
      <c r="J285" s="17"/>
    </row>
    <row r="286" spans="1:10" x14ac:dyDescent="0.25">
      <c r="A286" s="29" t="s">
        <v>298</v>
      </c>
      <c r="J286" s="17"/>
    </row>
    <row r="287" spans="1:10" x14ac:dyDescent="0.25">
      <c r="A287" s="4" t="s">
        <v>195</v>
      </c>
      <c r="B287" s="39">
        <f>SUMPRODUCT($B172:$F172,Input!$B$154:$F$154)</f>
        <v>0</v>
      </c>
      <c r="C287" s="41">
        <f>B287</f>
        <v>0</v>
      </c>
      <c r="D287" s="37">
        <f>Input!B286*(1-B287)</f>
        <v>41856.721964539604</v>
      </c>
      <c r="E287" s="37">
        <f>Input!C286*(1-B287)</f>
        <v>160926.10449400899</v>
      </c>
      <c r="F287" s="37">
        <f>Input!D286*(1-B287)</f>
        <v>333208.89747328497</v>
      </c>
      <c r="G287" s="37">
        <f>Input!E286*(1-C287)</f>
        <v>126</v>
      </c>
      <c r="H287" s="37">
        <f>Input!F286*(1-B287)</f>
        <v>0</v>
      </c>
      <c r="I287" s="37">
        <f>Input!G286*(1-B287)</f>
        <v>12771.8207</v>
      </c>
      <c r="J287" s="17"/>
    </row>
    <row r="288" spans="1:10" x14ac:dyDescent="0.25">
      <c r="A288" s="4" t="s">
        <v>299</v>
      </c>
      <c r="B288" s="39">
        <f>SUMPRODUCT($B173:$F173,Input!$B$154:$F$154)</f>
        <v>0</v>
      </c>
      <c r="C288" s="40">
        <v>1</v>
      </c>
      <c r="D288" s="37">
        <f>Input!B287*(1-B288)</f>
        <v>0</v>
      </c>
      <c r="E288" s="37">
        <f>Input!C287*(1-B288)</f>
        <v>0</v>
      </c>
      <c r="F288" s="37">
        <f>Input!D287*(1-B288)</f>
        <v>0</v>
      </c>
      <c r="G288" s="37">
        <f>Input!E287*(1-C288)</f>
        <v>0</v>
      </c>
      <c r="H288" s="37">
        <f>Input!F287*(1-B288)</f>
        <v>0</v>
      </c>
      <c r="I288" s="37">
        <f>Input!G287*(1-B288)</f>
        <v>0</v>
      </c>
      <c r="J288" s="17"/>
    </row>
    <row r="290" spans="1:8" ht="21" customHeight="1" x14ac:dyDescent="0.3">
      <c r="A290" s="1" t="s">
        <v>527</v>
      </c>
    </row>
    <row r="291" spans="1:8" x14ac:dyDescent="0.25">
      <c r="A291" s="2" t="s">
        <v>350</v>
      </c>
    </row>
    <row r="292" spans="1:8" x14ac:dyDescent="0.25">
      <c r="A292" s="32" t="s">
        <v>528</v>
      </c>
    </row>
    <row r="293" spans="1:8" x14ac:dyDescent="0.25">
      <c r="A293" s="32" t="s">
        <v>529</v>
      </c>
    </row>
    <row r="294" spans="1:8" x14ac:dyDescent="0.25">
      <c r="A294" s="32" t="s">
        <v>530</v>
      </c>
    </row>
    <row r="295" spans="1:8" x14ac:dyDescent="0.25">
      <c r="A295" s="32" t="s">
        <v>531</v>
      </c>
    </row>
    <row r="296" spans="1:8" x14ac:dyDescent="0.25">
      <c r="A296" s="32" t="s">
        <v>532</v>
      </c>
    </row>
    <row r="297" spans="1:8" x14ac:dyDescent="0.25">
      <c r="A297" s="32" t="s">
        <v>533</v>
      </c>
    </row>
    <row r="298" spans="1:8" x14ac:dyDescent="0.25">
      <c r="A298" s="33" t="s">
        <v>353</v>
      </c>
      <c r="B298" s="33" t="s">
        <v>484</v>
      </c>
      <c r="C298" s="33" t="s">
        <v>484</v>
      </c>
      <c r="D298" s="33" t="s">
        <v>484</v>
      </c>
      <c r="E298" s="33" t="s">
        <v>484</v>
      </c>
      <c r="F298" s="33" t="s">
        <v>484</v>
      </c>
      <c r="G298" s="33" t="s">
        <v>484</v>
      </c>
    </row>
    <row r="299" spans="1:8" x14ac:dyDescent="0.25">
      <c r="A299" s="33" t="s">
        <v>356</v>
      </c>
      <c r="B299" s="33" t="s">
        <v>534</v>
      </c>
      <c r="C299" s="33" t="s">
        <v>535</v>
      </c>
      <c r="D299" s="33" t="s">
        <v>536</v>
      </c>
      <c r="E299" s="33" t="s">
        <v>537</v>
      </c>
      <c r="F299" s="33" t="s">
        <v>486</v>
      </c>
      <c r="G299" s="33" t="s">
        <v>538</v>
      </c>
    </row>
    <row r="301" spans="1:8" ht="30" x14ac:dyDescent="0.25">
      <c r="B301" s="15" t="s">
        <v>224</v>
      </c>
      <c r="C301" s="15" t="s">
        <v>225</v>
      </c>
      <c r="D301" s="15" t="s">
        <v>226</v>
      </c>
      <c r="E301" s="15" t="s">
        <v>227</v>
      </c>
      <c r="F301" s="15" t="s">
        <v>228</v>
      </c>
      <c r="G301" s="15" t="s">
        <v>229</v>
      </c>
    </row>
    <row r="302" spans="1:8" x14ac:dyDescent="0.25">
      <c r="A302" s="4" t="s">
        <v>171</v>
      </c>
      <c r="B302" s="21">
        <f t="shared" ref="B302:G302" si="0">SUM(D$193:D$195)</f>
        <v>6643439.9717970481</v>
      </c>
      <c r="C302" s="21">
        <f t="shared" si="0"/>
        <v>0</v>
      </c>
      <c r="D302" s="21">
        <f t="shared" si="0"/>
        <v>0</v>
      </c>
      <c r="E302" s="21">
        <f t="shared" si="0"/>
        <v>2035124.6994942075</v>
      </c>
      <c r="F302" s="21">
        <f t="shared" si="0"/>
        <v>0</v>
      </c>
      <c r="G302" s="21">
        <f t="shared" si="0"/>
        <v>0</v>
      </c>
      <c r="H302" s="17"/>
    </row>
    <row r="303" spans="1:8" x14ac:dyDescent="0.25">
      <c r="A303" s="4" t="s">
        <v>172</v>
      </c>
      <c r="B303" s="21">
        <f t="shared" ref="B303:G303" si="1">SUM(D$197:D$199)</f>
        <v>474873.40763512446</v>
      </c>
      <c r="C303" s="21">
        <f t="shared" si="1"/>
        <v>476597.20011388446</v>
      </c>
      <c r="D303" s="21">
        <f t="shared" si="1"/>
        <v>0</v>
      </c>
      <c r="E303" s="21">
        <f t="shared" si="1"/>
        <v>180410.97029837116</v>
      </c>
      <c r="F303" s="21">
        <f t="shared" si="1"/>
        <v>0</v>
      </c>
      <c r="G303" s="21">
        <f t="shared" si="1"/>
        <v>0</v>
      </c>
      <c r="H303" s="17"/>
    </row>
    <row r="304" spans="1:8" x14ac:dyDescent="0.25">
      <c r="A304" s="4" t="s">
        <v>213</v>
      </c>
      <c r="B304" s="21">
        <f t="shared" ref="B304:G304" si="2">SUM(D$201:D$203)</f>
        <v>16657.9640809597</v>
      </c>
      <c r="C304" s="21">
        <f t="shared" si="2"/>
        <v>0</v>
      </c>
      <c r="D304" s="21">
        <f t="shared" si="2"/>
        <v>0</v>
      </c>
      <c r="E304" s="21">
        <f t="shared" si="2"/>
        <v>5278</v>
      </c>
      <c r="F304" s="21">
        <f t="shared" si="2"/>
        <v>0</v>
      </c>
      <c r="G304" s="21">
        <f t="shared" si="2"/>
        <v>0</v>
      </c>
      <c r="H304" s="17"/>
    </row>
    <row r="305" spans="1:8" x14ac:dyDescent="0.25">
      <c r="A305" s="4" t="s">
        <v>173</v>
      </c>
      <c r="B305" s="21">
        <f t="shared" ref="B305:G305" si="3">SUM(D$205:D$207)</f>
        <v>1575953.3705314007</v>
      </c>
      <c r="C305" s="21">
        <f t="shared" si="3"/>
        <v>0</v>
      </c>
      <c r="D305" s="21">
        <f t="shared" si="3"/>
        <v>0</v>
      </c>
      <c r="E305" s="21">
        <f t="shared" si="3"/>
        <v>123636.37700544407</v>
      </c>
      <c r="F305" s="21">
        <f t="shared" si="3"/>
        <v>0</v>
      </c>
      <c r="G305" s="21">
        <f t="shared" si="3"/>
        <v>0</v>
      </c>
      <c r="H305" s="17"/>
    </row>
    <row r="306" spans="1:8" x14ac:dyDescent="0.25">
      <c r="A306" s="4" t="s">
        <v>174</v>
      </c>
      <c r="B306" s="21">
        <f t="shared" ref="B306:G306" si="4">SUM(D$209:D$211)</f>
        <v>568971.04659727006</v>
      </c>
      <c r="C306" s="21">
        <f t="shared" si="4"/>
        <v>222509.37613980181</v>
      </c>
      <c r="D306" s="21">
        <f t="shared" si="4"/>
        <v>0</v>
      </c>
      <c r="E306" s="21">
        <f t="shared" si="4"/>
        <v>33442.030579177452</v>
      </c>
      <c r="F306" s="21">
        <f t="shared" si="4"/>
        <v>0</v>
      </c>
      <c r="G306" s="21">
        <f t="shared" si="4"/>
        <v>0</v>
      </c>
      <c r="H306" s="17"/>
    </row>
    <row r="307" spans="1:8" x14ac:dyDescent="0.25">
      <c r="A307" s="4" t="s">
        <v>214</v>
      </c>
      <c r="B307" s="21">
        <f t="shared" ref="B307:G307" si="5">SUM(D$213:D$215)</f>
        <v>18224.065631184701</v>
      </c>
      <c r="C307" s="21">
        <f t="shared" si="5"/>
        <v>0</v>
      </c>
      <c r="D307" s="21">
        <f t="shared" si="5"/>
        <v>0</v>
      </c>
      <c r="E307" s="21">
        <f t="shared" si="5"/>
        <v>3531</v>
      </c>
      <c r="F307" s="21">
        <f t="shared" si="5"/>
        <v>0</v>
      </c>
      <c r="G307" s="21">
        <f t="shared" si="5"/>
        <v>0</v>
      </c>
      <c r="H307" s="17"/>
    </row>
    <row r="308" spans="1:8" x14ac:dyDescent="0.25">
      <c r="A308" s="4" t="s">
        <v>175</v>
      </c>
      <c r="B308" s="21">
        <f t="shared" ref="B308:G308" si="6">SUM(D$217:D$219)</f>
        <v>0</v>
      </c>
      <c r="C308" s="21">
        <f t="shared" si="6"/>
        <v>0</v>
      </c>
      <c r="D308" s="21">
        <f t="shared" si="6"/>
        <v>0</v>
      </c>
      <c r="E308" s="21">
        <f t="shared" si="6"/>
        <v>0</v>
      </c>
      <c r="F308" s="21">
        <f t="shared" si="6"/>
        <v>0</v>
      </c>
      <c r="G308" s="21">
        <f t="shared" si="6"/>
        <v>0</v>
      </c>
      <c r="H308" s="17"/>
    </row>
    <row r="309" spans="1:8" x14ac:dyDescent="0.25">
      <c r="A309" s="4" t="s">
        <v>176</v>
      </c>
      <c r="B309" s="21">
        <f t="shared" ref="B309:G309" si="7">SUM(D$221:D$221)</f>
        <v>0</v>
      </c>
      <c r="C309" s="21">
        <f t="shared" si="7"/>
        <v>0</v>
      </c>
      <c r="D309" s="21">
        <f t="shared" si="7"/>
        <v>0</v>
      </c>
      <c r="E309" s="21">
        <f t="shared" si="7"/>
        <v>0</v>
      </c>
      <c r="F309" s="21">
        <f t="shared" si="7"/>
        <v>0</v>
      </c>
      <c r="G309" s="21">
        <f t="shared" si="7"/>
        <v>0</v>
      </c>
      <c r="H309" s="17"/>
    </row>
    <row r="310" spans="1:8" x14ac:dyDescent="0.25">
      <c r="A310" s="4" t="s">
        <v>192</v>
      </c>
      <c r="B310" s="21">
        <f t="shared" ref="B310:G310" si="8">SUM(D$223:D$223)</f>
        <v>5720.3660437803101</v>
      </c>
      <c r="C310" s="21">
        <f t="shared" si="8"/>
        <v>1573.2199873444499</v>
      </c>
      <c r="D310" s="21">
        <f t="shared" si="8"/>
        <v>0</v>
      </c>
      <c r="E310" s="21">
        <f t="shared" si="8"/>
        <v>60</v>
      </c>
      <c r="F310" s="21">
        <f t="shared" si="8"/>
        <v>0</v>
      </c>
      <c r="G310" s="21">
        <f t="shared" si="8"/>
        <v>0</v>
      </c>
      <c r="H310" s="17"/>
    </row>
    <row r="311" spans="1:8" x14ac:dyDescent="0.25">
      <c r="A311" s="4" t="s">
        <v>177</v>
      </c>
      <c r="B311" s="21">
        <f t="shared" ref="B311:G311" si="9">SUM(D$225:D$227)</f>
        <v>0</v>
      </c>
      <c r="C311" s="21">
        <f t="shared" si="9"/>
        <v>0</v>
      </c>
      <c r="D311" s="21">
        <f t="shared" si="9"/>
        <v>0</v>
      </c>
      <c r="E311" s="21">
        <f t="shared" si="9"/>
        <v>0</v>
      </c>
      <c r="F311" s="21">
        <f t="shared" si="9"/>
        <v>0</v>
      </c>
      <c r="G311" s="21">
        <f t="shared" si="9"/>
        <v>0</v>
      </c>
      <c r="H311" s="17"/>
    </row>
    <row r="312" spans="1:8" x14ac:dyDescent="0.25">
      <c r="A312" s="4" t="s">
        <v>178</v>
      </c>
      <c r="B312" s="21">
        <f t="shared" ref="B312:G312" si="10">SUM(D$229:D$231)</f>
        <v>55950.103311028302</v>
      </c>
      <c r="C312" s="21">
        <f t="shared" si="10"/>
        <v>198560.748072744</v>
      </c>
      <c r="D312" s="21">
        <f t="shared" si="10"/>
        <v>257739.12944192201</v>
      </c>
      <c r="E312" s="21">
        <f t="shared" si="10"/>
        <v>5419.348</v>
      </c>
      <c r="F312" s="21">
        <f t="shared" si="10"/>
        <v>0</v>
      </c>
      <c r="G312" s="21">
        <f t="shared" si="10"/>
        <v>0</v>
      </c>
      <c r="H312" s="17"/>
    </row>
    <row r="313" spans="1:8" x14ac:dyDescent="0.25">
      <c r="A313" s="4" t="s">
        <v>179</v>
      </c>
      <c r="B313" s="21">
        <f t="shared" ref="B313:G313" si="11">SUM(D$233:D$235)</f>
        <v>246331.43430053137</v>
      </c>
      <c r="C313" s="21">
        <f t="shared" si="11"/>
        <v>875871.62550879293</v>
      </c>
      <c r="D313" s="21">
        <f t="shared" si="11"/>
        <v>1137709.3225446763</v>
      </c>
      <c r="E313" s="21">
        <f t="shared" si="11"/>
        <v>11631.347900331784</v>
      </c>
      <c r="F313" s="21">
        <f t="shared" si="11"/>
        <v>1602561.4239202088</v>
      </c>
      <c r="G313" s="21">
        <f t="shared" si="11"/>
        <v>266702.18487940362</v>
      </c>
      <c r="H313" s="17"/>
    </row>
    <row r="314" spans="1:8" x14ac:dyDescent="0.25">
      <c r="A314" s="4" t="s">
        <v>180</v>
      </c>
      <c r="B314" s="21">
        <f t="shared" ref="B314:G314" si="12">SUM(D$237:D$238)</f>
        <v>136785.35339146122</v>
      </c>
      <c r="C314" s="21">
        <f t="shared" si="12"/>
        <v>497045.17498328909</v>
      </c>
      <c r="D314" s="21">
        <f t="shared" si="12"/>
        <v>664524.25768133858</v>
      </c>
      <c r="E314" s="21">
        <f t="shared" si="12"/>
        <v>2213.9911651065277</v>
      </c>
      <c r="F314" s="21">
        <f t="shared" si="12"/>
        <v>761915.52218501223</v>
      </c>
      <c r="G314" s="21">
        <f t="shared" si="12"/>
        <v>114520.15090153033</v>
      </c>
      <c r="H314" s="17"/>
    </row>
    <row r="315" spans="1:8" x14ac:dyDescent="0.25">
      <c r="A315" s="4" t="s">
        <v>193</v>
      </c>
      <c r="B315" s="21">
        <f t="shared" ref="B315:G315" si="13">SUM(D$240:D$241)</f>
        <v>510335.61338265805</v>
      </c>
      <c r="C315" s="21">
        <f t="shared" si="13"/>
        <v>1741238.3040345749</v>
      </c>
      <c r="D315" s="21">
        <f t="shared" si="13"/>
        <v>2860623.7145361928</v>
      </c>
      <c r="E315" s="21">
        <f t="shared" si="13"/>
        <v>2120.0575697961308</v>
      </c>
      <c r="F315" s="21">
        <f t="shared" si="13"/>
        <v>1839330.3865514474</v>
      </c>
      <c r="G315" s="21">
        <f t="shared" si="13"/>
        <v>388615.46695082658</v>
      </c>
      <c r="H315" s="17"/>
    </row>
    <row r="316" spans="1:8" x14ac:dyDescent="0.25">
      <c r="A316" s="4" t="s">
        <v>215</v>
      </c>
      <c r="B316" s="21">
        <f t="shared" ref="B316:G316" si="14">SUM(D$243:D$245)</f>
        <v>36671.232710255303</v>
      </c>
      <c r="C316" s="21">
        <f t="shared" si="14"/>
        <v>0</v>
      </c>
      <c r="D316" s="21">
        <f t="shared" si="14"/>
        <v>0</v>
      </c>
      <c r="E316" s="21">
        <f t="shared" si="14"/>
        <v>244</v>
      </c>
      <c r="F316" s="21">
        <f t="shared" si="14"/>
        <v>0</v>
      </c>
      <c r="G316" s="21">
        <f t="shared" si="14"/>
        <v>0</v>
      </c>
      <c r="H316" s="17"/>
    </row>
    <row r="317" spans="1:8" x14ac:dyDescent="0.25">
      <c r="A317" s="4" t="s">
        <v>216</v>
      </c>
      <c r="B317" s="21">
        <f t="shared" ref="B317:G317" si="15">SUM(D$247:D$249)</f>
        <v>10149.072782016661</v>
      </c>
      <c r="C317" s="21">
        <f t="shared" si="15"/>
        <v>0</v>
      </c>
      <c r="D317" s="21">
        <f t="shared" si="15"/>
        <v>0</v>
      </c>
      <c r="E317" s="21">
        <f t="shared" si="15"/>
        <v>360.19556711579736</v>
      </c>
      <c r="F317" s="21">
        <f t="shared" si="15"/>
        <v>0</v>
      </c>
      <c r="G317" s="21">
        <f t="shared" si="15"/>
        <v>0</v>
      </c>
      <c r="H317" s="17"/>
    </row>
    <row r="318" spans="1:8" x14ac:dyDescent="0.25">
      <c r="A318" s="4" t="s">
        <v>217</v>
      </c>
      <c r="B318" s="21">
        <f t="shared" ref="B318:G318" si="16">SUM(D$251:D$253)</f>
        <v>265.80818738323097</v>
      </c>
      <c r="C318" s="21">
        <f t="shared" si="16"/>
        <v>0</v>
      </c>
      <c r="D318" s="21">
        <f t="shared" si="16"/>
        <v>0</v>
      </c>
      <c r="E318" s="21">
        <f t="shared" si="16"/>
        <v>7</v>
      </c>
      <c r="F318" s="21">
        <f t="shared" si="16"/>
        <v>0</v>
      </c>
      <c r="G318" s="21">
        <f t="shared" si="16"/>
        <v>0</v>
      </c>
      <c r="H318" s="17"/>
    </row>
    <row r="319" spans="1:8" x14ac:dyDescent="0.25">
      <c r="A319" s="4" t="s">
        <v>218</v>
      </c>
      <c r="B319" s="21">
        <f t="shared" ref="B319:G319" si="17">SUM(D$255:D$257)</f>
        <v>7.86378751503896E-2</v>
      </c>
      <c r="C319" s="21">
        <f t="shared" si="17"/>
        <v>0</v>
      </c>
      <c r="D319" s="21">
        <f t="shared" si="17"/>
        <v>0</v>
      </c>
      <c r="E319" s="21">
        <f t="shared" si="17"/>
        <v>1</v>
      </c>
      <c r="F319" s="21">
        <f t="shared" si="17"/>
        <v>0</v>
      </c>
      <c r="G319" s="21">
        <f t="shared" si="17"/>
        <v>0</v>
      </c>
      <c r="H319" s="17"/>
    </row>
    <row r="320" spans="1:8" x14ac:dyDescent="0.25">
      <c r="A320" s="4" t="s">
        <v>219</v>
      </c>
      <c r="B320" s="21">
        <f t="shared" ref="B320:G320" si="18">SUM(D$259:D$261)</f>
        <v>14294.4549718826</v>
      </c>
      <c r="C320" s="21">
        <f t="shared" si="18"/>
        <v>32942.966923018401</v>
      </c>
      <c r="D320" s="21">
        <f t="shared" si="18"/>
        <v>213416.95592620299</v>
      </c>
      <c r="E320" s="21">
        <f t="shared" si="18"/>
        <v>23</v>
      </c>
      <c r="F320" s="21">
        <f t="shared" si="18"/>
        <v>0</v>
      </c>
      <c r="G320" s="21">
        <f t="shared" si="18"/>
        <v>0</v>
      </c>
      <c r="H320" s="17"/>
    </row>
    <row r="321" spans="1:8" x14ac:dyDescent="0.25">
      <c r="A321" s="4" t="s">
        <v>181</v>
      </c>
      <c r="B321" s="21">
        <f t="shared" ref="B321:G321" si="19">SUM(D$263:D$265)</f>
        <v>762.555542901438</v>
      </c>
      <c r="C321" s="21">
        <f t="shared" si="19"/>
        <v>0</v>
      </c>
      <c r="D321" s="21">
        <f t="shared" si="19"/>
        <v>0</v>
      </c>
      <c r="E321" s="21">
        <f t="shared" si="19"/>
        <v>61</v>
      </c>
      <c r="F321" s="21">
        <f t="shared" si="19"/>
        <v>0</v>
      </c>
      <c r="G321" s="21">
        <f t="shared" si="19"/>
        <v>0</v>
      </c>
      <c r="H321" s="17"/>
    </row>
    <row r="322" spans="1:8" x14ac:dyDescent="0.25">
      <c r="A322" s="4" t="s">
        <v>182</v>
      </c>
      <c r="B322" s="21">
        <f t="shared" ref="B322:G322" si="20">SUM(D$267:D$268)</f>
        <v>0</v>
      </c>
      <c r="C322" s="21">
        <f t="shared" si="20"/>
        <v>0</v>
      </c>
      <c r="D322" s="21">
        <f t="shared" si="20"/>
        <v>0</v>
      </c>
      <c r="E322" s="21">
        <f t="shared" si="20"/>
        <v>0</v>
      </c>
      <c r="F322" s="21">
        <f t="shared" si="20"/>
        <v>0</v>
      </c>
      <c r="G322" s="21">
        <f t="shared" si="20"/>
        <v>0</v>
      </c>
      <c r="H322" s="17"/>
    </row>
    <row r="323" spans="1:8" x14ac:dyDescent="0.25">
      <c r="A323" s="4" t="s">
        <v>183</v>
      </c>
      <c r="B323" s="21">
        <f t="shared" ref="B323:G323" si="21">SUM(D$270:D$272)</f>
        <v>29085.818544960101</v>
      </c>
      <c r="C323" s="21">
        <f t="shared" si="21"/>
        <v>0</v>
      </c>
      <c r="D323" s="21">
        <f t="shared" si="21"/>
        <v>0</v>
      </c>
      <c r="E323" s="21">
        <f t="shared" si="21"/>
        <v>203</v>
      </c>
      <c r="F323" s="21">
        <f t="shared" si="21"/>
        <v>0</v>
      </c>
      <c r="G323" s="21">
        <f t="shared" si="21"/>
        <v>1127.6161999999999</v>
      </c>
      <c r="H323" s="17"/>
    </row>
    <row r="324" spans="1:8" x14ac:dyDescent="0.25">
      <c r="A324" s="4" t="s">
        <v>184</v>
      </c>
      <c r="B324" s="21">
        <f t="shared" ref="B324:G324" si="22">SUM(D$274:D$276)</f>
        <v>189.381729324009</v>
      </c>
      <c r="C324" s="21">
        <f t="shared" si="22"/>
        <v>748.66062135198104</v>
      </c>
      <c r="D324" s="21">
        <f t="shared" si="22"/>
        <v>1599.0254226107199</v>
      </c>
      <c r="E324" s="21">
        <f t="shared" si="22"/>
        <v>21</v>
      </c>
      <c r="F324" s="21">
        <f t="shared" si="22"/>
        <v>0</v>
      </c>
      <c r="G324" s="21">
        <f t="shared" si="22"/>
        <v>49.533799999999999</v>
      </c>
      <c r="H324" s="17"/>
    </row>
    <row r="325" spans="1:8" x14ac:dyDescent="0.25">
      <c r="A325" s="4" t="s">
        <v>185</v>
      </c>
      <c r="B325" s="21">
        <f t="shared" ref="B325:G325" si="23">SUM(D$278:D$279)</f>
        <v>1410.5414699999999</v>
      </c>
      <c r="C325" s="21">
        <f t="shared" si="23"/>
        <v>0</v>
      </c>
      <c r="D325" s="21">
        <f t="shared" si="23"/>
        <v>0</v>
      </c>
      <c r="E325" s="21">
        <f t="shared" si="23"/>
        <v>24</v>
      </c>
      <c r="F325" s="21">
        <f t="shared" si="23"/>
        <v>0</v>
      </c>
      <c r="G325" s="21">
        <f t="shared" si="23"/>
        <v>35.712200000000003</v>
      </c>
      <c r="H325" s="17"/>
    </row>
    <row r="326" spans="1:8" x14ac:dyDescent="0.25">
      <c r="A326" s="4" t="s">
        <v>186</v>
      </c>
      <c r="B326" s="21">
        <f t="shared" ref="B326:G326" si="24">SUM(D$281:D$282)</f>
        <v>40.407200000000003</v>
      </c>
      <c r="C326" s="21">
        <f t="shared" si="24"/>
        <v>74.766800000000003</v>
      </c>
      <c r="D326" s="21">
        <f t="shared" si="24"/>
        <v>276.07310000000001</v>
      </c>
      <c r="E326" s="21">
        <f t="shared" si="24"/>
        <v>9</v>
      </c>
      <c r="F326" s="21">
        <f t="shared" si="24"/>
        <v>0</v>
      </c>
      <c r="G326" s="21">
        <f t="shared" si="24"/>
        <v>485.75720000000001</v>
      </c>
      <c r="H326" s="17"/>
    </row>
    <row r="327" spans="1:8" x14ac:dyDescent="0.25">
      <c r="A327" s="4" t="s">
        <v>194</v>
      </c>
      <c r="B327" s="21">
        <f t="shared" ref="B327:G327" si="25">SUM(D$284:D$285)</f>
        <v>352888.28028544399</v>
      </c>
      <c r="C327" s="21">
        <f t="shared" si="25"/>
        <v>0</v>
      </c>
      <c r="D327" s="21">
        <f t="shared" si="25"/>
        <v>0</v>
      </c>
      <c r="E327" s="21">
        <f t="shared" si="25"/>
        <v>136</v>
      </c>
      <c r="F327" s="21">
        <f t="shared" si="25"/>
        <v>0</v>
      </c>
      <c r="G327" s="21">
        <f t="shared" si="25"/>
        <v>9441.6512999999995</v>
      </c>
      <c r="H327" s="17"/>
    </row>
    <row r="328" spans="1:8" x14ac:dyDescent="0.25">
      <c r="A328" s="4" t="s">
        <v>195</v>
      </c>
      <c r="B328" s="21">
        <f t="shared" ref="B328:G328" si="26">SUM(D$287:D$288)</f>
        <v>41856.721964539604</v>
      </c>
      <c r="C328" s="21">
        <f t="shared" si="26"/>
        <v>160926.10449400899</v>
      </c>
      <c r="D328" s="21">
        <f t="shared" si="26"/>
        <v>333208.89747328497</v>
      </c>
      <c r="E328" s="21">
        <f t="shared" si="26"/>
        <v>126</v>
      </c>
      <c r="F328" s="21">
        <f t="shared" si="26"/>
        <v>0</v>
      </c>
      <c r="G328" s="21">
        <f t="shared" si="26"/>
        <v>12771.8207</v>
      </c>
      <c r="H328" s="17"/>
    </row>
  </sheetData>
  <sheetProtection sheet="1" objects="1" scenarios="1"/>
  <hyperlinks>
    <hyperlink ref="A14" location="'Input'!B164" display="x1 = 1041. Coincidence factor to system maximum load for each type of demand user (in Load profile data for demand users)"/>
    <hyperlink ref="A15" location="'Input'!C164" display="x2 = 1041. Load factor for each type of demand user (in Load profile data for demand users)"/>
    <hyperlink ref="A41" location="'Loads'!B18" display="x1 = 2301. Demand coefficient (load at time of system maximum load divided by average load)"/>
    <hyperlink ref="A177" location="'Loads'!B76" display="x1 = 2303. Discount map"/>
    <hyperlink ref="A178" location="'Input'!B153" display="x2 = 1037. Embedded network (LDNO) discounts"/>
    <hyperlink ref="A180" location="'Loads'!B191" display="x4 = Discount for each tariff (except for fixed charges) (in LDNO discounts and volumes adjusted for discount)"/>
    <hyperlink ref="A181" location="'Input'!B190" display="x5 = 1053. Rate 1 units (MWh) by tariff (in Volume forecasts for the charging year)"/>
    <hyperlink ref="A182" location="'Input'!C190" display="x6 = 1053. Rate 2 units (MWh) by tariff (in Volume forecasts for the charging year)"/>
    <hyperlink ref="A183" location="'Input'!D190" display="x7 = 1053. Rate 3 units (MWh) by tariff (in Volume forecasts for the charging year)"/>
    <hyperlink ref="A184" location="'Input'!E190" display="x8 = 1053. MPANs by tariff (in Volume forecasts for the charging year)"/>
    <hyperlink ref="A185" location="'Loads'!C191" display="x9 = Discount for each tariff for fixed charges only (in LDNO discounts and volumes adjusted for discount)"/>
    <hyperlink ref="A186" location="'Input'!F190" display="x10 = 1053. Import capacity (kVA) by tariff (in Volume forecasts for the charging year)"/>
    <hyperlink ref="A187" location="'Input'!G190" display="x11 = 1053. Reactive power units (MVArh) by tariff (in Volume forecasts for the charging year)"/>
    <hyperlink ref="A292" location="'Loads'!D191" display="x1 = 2304. Rate 1 units (MWh) (in LDNO discounts and volumes adjusted for discount)"/>
    <hyperlink ref="A293" location="'Loads'!E191" display="x2 = 2304. Rate 2 units (MWh) (in LDNO discounts and volumes adjusted for discount)"/>
    <hyperlink ref="A294" location="'Loads'!F191" display="x3 = 2304. Rate 3 units (MWh) (in LDNO discounts and volumes adjusted for discount)"/>
    <hyperlink ref="A295" location="'Loads'!G191" display="x4 = 2304. MPANs (in LDNO discounts and volumes adjusted for discount)"/>
    <hyperlink ref="A296" location="'Loads'!H191" display="x5 = 2304. Import capacity (kVA) (in LDNO discounts and volumes adjusted for discount)"/>
    <hyperlink ref="A297" location="'Loads'!I191" display="x6 = 2304. Reactive power units (MVArh) (in LDNO discounts and volumes adjusted for discount)"/>
  </hyperlinks>
  <pageMargins left="0.7" right="0.7" top="0.75" bottom="0.75" header="0.3" footer="0.3"/>
  <pageSetup paperSize="9" fitToHeight="0" orientation="portrait"/>
  <headerFooter>
    <oddHeader>&amp;L&amp;A&amp;C&amp;R&amp;P of &amp;N</oddHeader>
    <oddFooter>&amp;F</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912"/>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x14ac:dyDescent="0.25"/>
  <cols>
    <col min="1" max="1" width="50.7109375" customWidth="1"/>
    <col min="2" max="251" width="16.7109375" customWidth="1"/>
  </cols>
  <sheetData>
    <row r="1" spans="1:6" ht="21" customHeight="1" x14ac:dyDescent="0.3">
      <c r="A1" s="1" t="str">
        <f>"Load characteristics for multiple unit rates for "&amp;Input!B7&amp;" in "&amp;Input!C7&amp;" ("&amp;Input!D7&amp;")"</f>
        <v>Load characteristics for multiple unit rates for Electricity North West in 2017/2018 (December 2015)</v>
      </c>
    </row>
    <row r="3" spans="1:6" ht="21" customHeight="1" x14ac:dyDescent="0.3">
      <c r="A3" s="1" t="s">
        <v>539</v>
      </c>
    </row>
    <row r="4" spans="1:6" x14ac:dyDescent="0.25">
      <c r="A4" s="2" t="s">
        <v>350</v>
      </c>
    </row>
    <row r="5" spans="1:6" x14ac:dyDescent="0.25">
      <c r="A5" s="32" t="s">
        <v>540</v>
      </c>
    </row>
    <row r="6" spans="1:6" x14ac:dyDescent="0.25">
      <c r="A6" s="32" t="s">
        <v>541</v>
      </c>
    </row>
    <row r="7" spans="1:6" x14ac:dyDescent="0.25">
      <c r="A7" s="32" t="s">
        <v>542</v>
      </c>
    </row>
    <row r="8" spans="1:6" x14ac:dyDescent="0.25">
      <c r="A8" s="33" t="s">
        <v>353</v>
      </c>
      <c r="B8" s="33" t="s">
        <v>484</v>
      </c>
      <c r="C8" s="33" t="s">
        <v>483</v>
      </c>
      <c r="D8" s="33"/>
      <c r="E8" s="33"/>
    </row>
    <row r="9" spans="1:6" x14ac:dyDescent="0.25">
      <c r="A9" s="33" t="s">
        <v>356</v>
      </c>
      <c r="B9" s="33" t="s">
        <v>534</v>
      </c>
      <c r="C9" s="33" t="s">
        <v>543</v>
      </c>
      <c r="D9" s="33"/>
      <c r="E9" s="33"/>
    </row>
    <row r="11" spans="1:6" ht="30" x14ac:dyDescent="0.25">
      <c r="C11" s="31" t="s">
        <v>545</v>
      </c>
      <c r="D11" s="31"/>
      <c r="E11" s="31"/>
    </row>
    <row r="12" spans="1:6" x14ac:dyDescent="0.25">
      <c r="B12" s="15" t="s">
        <v>544</v>
      </c>
      <c r="C12" s="15" t="s">
        <v>326</v>
      </c>
      <c r="D12" s="15" t="s">
        <v>327</v>
      </c>
      <c r="E12" s="15" t="s">
        <v>328</v>
      </c>
    </row>
    <row r="13" spans="1:6" ht="30" x14ac:dyDescent="0.25">
      <c r="A13" s="4" t="s">
        <v>546</v>
      </c>
      <c r="B13" s="42">
        <f>SUM(Input!$B353:$D353)</f>
        <v>8760</v>
      </c>
      <c r="C13" s="42">
        <f>Input!B353*24*Input!$F58/$B13</f>
        <v>780</v>
      </c>
      <c r="D13" s="42">
        <f>Input!C353*24*Input!$F58/$B13</f>
        <v>2525</v>
      </c>
      <c r="E13" s="42">
        <f>Input!D353*24*Input!$F58/$B13</f>
        <v>5455</v>
      </c>
      <c r="F13" s="17"/>
    </row>
    <row r="15" spans="1:6" ht="21" customHeight="1" x14ac:dyDescent="0.3">
      <c r="A15" s="1" t="s">
        <v>547</v>
      </c>
    </row>
    <row r="16" spans="1:6" x14ac:dyDescent="0.25">
      <c r="A16" s="2" t="s">
        <v>350</v>
      </c>
    </row>
    <row r="17" spans="1:6" x14ac:dyDescent="0.25">
      <c r="A17" s="32" t="s">
        <v>548</v>
      </c>
    </row>
    <row r="18" spans="1:6" x14ac:dyDescent="0.25">
      <c r="A18" s="32" t="s">
        <v>549</v>
      </c>
    </row>
    <row r="19" spans="1:6" x14ac:dyDescent="0.25">
      <c r="A19" s="32" t="s">
        <v>550</v>
      </c>
    </row>
    <row r="20" spans="1:6" x14ac:dyDescent="0.25">
      <c r="A20" s="32" t="s">
        <v>551</v>
      </c>
    </row>
    <row r="21" spans="1:6" x14ac:dyDescent="0.25">
      <c r="A21" s="33" t="s">
        <v>353</v>
      </c>
      <c r="B21" s="33" t="s">
        <v>484</v>
      </c>
      <c r="C21" s="33" t="s">
        <v>483</v>
      </c>
      <c r="D21" s="33"/>
      <c r="E21" s="33"/>
    </row>
    <row r="22" spans="1:6" x14ac:dyDescent="0.25">
      <c r="A22" s="33" t="s">
        <v>356</v>
      </c>
      <c r="B22" s="33" t="s">
        <v>534</v>
      </c>
      <c r="C22" s="33" t="s">
        <v>552</v>
      </c>
      <c r="D22" s="33"/>
      <c r="E22" s="33"/>
    </row>
    <row r="24" spans="1:6" ht="30" x14ac:dyDescent="0.25">
      <c r="C24" s="31" t="s">
        <v>554</v>
      </c>
      <c r="D24" s="31"/>
      <c r="E24" s="31"/>
    </row>
    <row r="25" spans="1:6" x14ac:dyDescent="0.25">
      <c r="B25" s="15" t="s">
        <v>553</v>
      </c>
      <c r="C25" s="15" t="s">
        <v>326</v>
      </c>
      <c r="D25" s="15" t="s">
        <v>327</v>
      </c>
      <c r="E25" s="15" t="s">
        <v>328</v>
      </c>
    </row>
    <row r="26" spans="1:6" x14ac:dyDescent="0.25">
      <c r="A26" s="4" t="s">
        <v>171</v>
      </c>
      <c r="B26" s="39">
        <f>SUM(Input!$B314:$D314)</f>
        <v>1.0000000000000009</v>
      </c>
      <c r="C26" s="39">
        <f>IF($B26,Input!B314/$B26,C$13/Input!$F$58/24)</f>
        <v>0.1267129394160639</v>
      </c>
      <c r="D26" s="39">
        <f>IF($B26,Input!C314/$B26,D$13/Input!$F$58/24)</f>
        <v>0.33181157293058772</v>
      </c>
      <c r="E26" s="39">
        <f>IF($B26,Input!D314/$B26,E$13/Input!$F$58/24)</f>
        <v>0.54147548765334852</v>
      </c>
      <c r="F26" s="17"/>
    </row>
    <row r="27" spans="1:6" x14ac:dyDescent="0.25">
      <c r="A27" s="4" t="s">
        <v>172</v>
      </c>
      <c r="B27" s="39">
        <f>SUM(Input!$B315:$D315)</f>
        <v>1</v>
      </c>
      <c r="C27" s="39">
        <f>IF($B27,Input!B315/$B27,C$13/Input!$F$58/24)</f>
        <v>0.135422987402469</v>
      </c>
      <c r="D27" s="39">
        <f>IF($B27,Input!C315/$B27,D$13/Input!$F$58/24)</f>
        <v>0.34841185886042503</v>
      </c>
      <c r="E27" s="39">
        <f>IF($B27,Input!D315/$B27,E$13/Input!$F$58/24)</f>
        <v>0.51616515373710603</v>
      </c>
      <c r="F27" s="17"/>
    </row>
    <row r="28" spans="1:6" x14ac:dyDescent="0.25">
      <c r="A28" s="4" t="s">
        <v>213</v>
      </c>
      <c r="B28" s="39">
        <f>SUM(Input!$B316:$D316)</f>
        <v>0.99999999999999989</v>
      </c>
      <c r="C28" s="39">
        <f>IF($B28,Input!B316/$B28,C$13/Input!$F$58/24)</f>
        <v>5.2959339628810709E-3</v>
      </c>
      <c r="D28" s="39">
        <f>IF($B28,Input!C316/$B28,D$13/Input!$F$58/24)</f>
        <v>9.4141842042598817E-2</v>
      </c>
      <c r="E28" s="39">
        <f>IF($B28,Input!D316/$B28,E$13/Input!$F$58/24)</f>
        <v>0.90056222399452013</v>
      </c>
      <c r="F28" s="17"/>
    </row>
    <row r="29" spans="1:6" x14ac:dyDescent="0.25">
      <c r="A29" s="4" t="s">
        <v>173</v>
      </c>
      <c r="B29" s="39">
        <f>SUM(Input!$B317:$D317)</f>
        <v>1</v>
      </c>
      <c r="C29" s="39">
        <f>IF($B29,Input!B317/$B29,C$13/Input!$F$58/24)</f>
        <v>0.109274314230623</v>
      </c>
      <c r="D29" s="39">
        <f>IF($B29,Input!C317/$B29,D$13/Input!$F$58/24)</f>
        <v>0.447827832406547</v>
      </c>
      <c r="E29" s="39">
        <f>IF($B29,Input!D317/$B29,E$13/Input!$F$58/24)</f>
        <v>0.44289785336283</v>
      </c>
      <c r="F29" s="17"/>
    </row>
    <row r="30" spans="1:6" x14ac:dyDescent="0.25">
      <c r="A30" s="4" t="s">
        <v>174</v>
      </c>
      <c r="B30" s="39">
        <f>SUM(Input!$B318:$D318)</f>
        <v>1</v>
      </c>
      <c r="C30" s="39">
        <f>IF($B30,Input!B318/$B30,C$13/Input!$F$58/24)</f>
        <v>0.122415485356973</v>
      </c>
      <c r="D30" s="39">
        <f>IF($B30,Input!C318/$B30,D$13/Input!$F$58/24)</f>
        <v>0.46089402775348698</v>
      </c>
      <c r="E30" s="39">
        <f>IF($B30,Input!D318/$B30,E$13/Input!$F$58/24)</f>
        <v>0.41669048688954002</v>
      </c>
      <c r="F30" s="17"/>
    </row>
    <row r="31" spans="1:6" x14ac:dyDescent="0.25">
      <c r="A31" s="4" t="s">
        <v>214</v>
      </c>
      <c r="B31" s="39">
        <f>SUM(Input!$B319:$D319)</f>
        <v>1.0000000000000002</v>
      </c>
      <c r="C31" s="39">
        <f>IF($B31,Input!B319/$B31,C$13/Input!$F$58/24)</f>
        <v>1.5755592705031696E-3</v>
      </c>
      <c r="D31" s="39">
        <f>IF($B31,Input!C319/$B31,D$13/Input!$F$58/24)</f>
        <v>5.0778904213195086E-2</v>
      </c>
      <c r="E31" s="39">
        <f>IF($B31,Input!D319/$B31,E$13/Input!$F$58/24)</f>
        <v>0.94764553651630179</v>
      </c>
      <c r="F31" s="17"/>
    </row>
    <row r="32" spans="1:6" x14ac:dyDescent="0.25">
      <c r="A32" s="4" t="s">
        <v>175</v>
      </c>
      <c r="B32" s="39">
        <f>SUM(Input!$B320:$D320)</f>
        <v>1</v>
      </c>
      <c r="C32" s="39">
        <f>IF($B32,Input!B320/$B32,C$13/Input!$F$58/24)</f>
        <v>0.135991140327402</v>
      </c>
      <c r="D32" s="39">
        <f>IF($B32,Input!C320/$B32,D$13/Input!$F$58/24)</f>
        <v>0.48500362967598298</v>
      </c>
      <c r="E32" s="39">
        <f>IF($B32,Input!D320/$B32,E$13/Input!$F$58/24)</f>
        <v>0.37900522999661501</v>
      </c>
      <c r="F32" s="17"/>
    </row>
    <row r="33" spans="1:6" x14ac:dyDescent="0.25">
      <c r="A33" s="4" t="s">
        <v>176</v>
      </c>
      <c r="B33" s="39">
        <f>SUM(Input!$B321:$D321)</f>
        <v>1.0000000000000009</v>
      </c>
      <c r="C33" s="39">
        <f>IF($B33,Input!B321/$B33,C$13/Input!$F$58/24)</f>
        <v>0.13375743913092888</v>
      </c>
      <c r="D33" s="39">
        <f>IF($B33,Input!C321/$B33,D$13/Input!$F$58/24)</f>
        <v>0.48143444853824757</v>
      </c>
      <c r="E33" s="39">
        <f>IF($B33,Input!D321/$B33,E$13/Input!$F$58/24)</f>
        <v>0.38480811233082368</v>
      </c>
      <c r="F33" s="17"/>
    </row>
    <row r="34" spans="1:6" x14ac:dyDescent="0.25">
      <c r="A34" s="4" t="s">
        <v>192</v>
      </c>
      <c r="B34" s="39">
        <f>SUM(Input!$B322:$D322)</f>
        <v>1</v>
      </c>
      <c r="C34" s="39">
        <f>IF($B34,Input!B322/$B34,C$13/Input!$F$58/24)</f>
        <v>0.130957627063962</v>
      </c>
      <c r="D34" s="39">
        <f>IF($B34,Input!C322/$B34,D$13/Input!$F$58/24)</f>
        <v>0.48933937384065102</v>
      </c>
      <c r="E34" s="39">
        <f>IF($B34,Input!D322/$B34,E$13/Input!$F$58/24)</f>
        <v>0.37970299909538702</v>
      </c>
      <c r="F34" s="17"/>
    </row>
    <row r="36" spans="1:6" ht="21" customHeight="1" x14ac:dyDescent="0.3">
      <c r="A36" s="1" t="s">
        <v>555</v>
      </c>
    </row>
    <row r="37" spans="1:6" x14ac:dyDescent="0.25">
      <c r="A37" s="2" t="s">
        <v>350</v>
      </c>
    </row>
    <row r="38" spans="1:6" x14ac:dyDescent="0.25">
      <c r="A38" s="32" t="s">
        <v>556</v>
      </c>
    </row>
    <row r="39" spans="1:6" x14ac:dyDescent="0.25">
      <c r="A39" s="2" t="s">
        <v>557</v>
      </c>
    </row>
    <row r="40" spans="1:6" x14ac:dyDescent="0.25">
      <c r="A40" s="2" t="s">
        <v>368</v>
      </c>
    </row>
    <row r="42" spans="1:6" x14ac:dyDescent="0.25">
      <c r="B42" s="15" t="s">
        <v>326</v>
      </c>
      <c r="C42" s="15" t="s">
        <v>327</v>
      </c>
      <c r="D42" s="15" t="s">
        <v>328</v>
      </c>
    </row>
    <row r="43" spans="1:6" x14ac:dyDescent="0.25">
      <c r="A43" s="4" t="s">
        <v>171</v>
      </c>
      <c r="B43" s="41">
        <f>C$26</f>
        <v>0.1267129394160639</v>
      </c>
      <c r="C43" s="41">
        <f>D$26</f>
        <v>0.33181157293058772</v>
      </c>
      <c r="D43" s="41">
        <f>E$26</f>
        <v>0.54147548765334852</v>
      </c>
      <c r="E43" s="17"/>
    </row>
    <row r="44" spans="1:6" x14ac:dyDescent="0.25">
      <c r="A44" s="4" t="s">
        <v>172</v>
      </c>
      <c r="B44" s="41">
        <f>C$27</f>
        <v>0.135422987402469</v>
      </c>
      <c r="C44" s="41">
        <f>D$27</f>
        <v>0.34841185886042503</v>
      </c>
      <c r="D44" s="41">
        <f>E$27</f>
        <v>0.51616515373710603</v>
      </c>
      <c r="E44" s="17"/>
    </row>
    <row r="45" spans="1:6" x14ac:dyDescent="0.25">
      <c r="A45" s="4" t="s">
        <v>213</v>
      </c>
      <c r="B45" s="41">
        <f>C$28</f>
        <v>5.2959339628810709E-3</v>
      </c>
      <c r="C45" s="41">
        <f>D$28</f>
        <v>9.4141842042598817E-2</v>
      </c>
      <c r="D45" s="41">
        <f>E$28</f>
        <v>0.90056222399452013</v>
      </c>
      <c r="E45" s="17"/>
    </row>
    <row r="46" spans="1:6" x14ac:dyDescent="0.25">
      <c r="A46" s="4" t="s">
        <v>173</v>
      </c>
      <c r="B46" s="41">
        <f>C$29</f>
        <v>0.109274314230623</v>
      </c>
      <c r="C46" s="41">
        <f>D$29</f>
        <v>0.447827832406547</v>
      </c>
      <c r="D46" s="41">
        <f>E$29</f>
        <v>0.44289785336283</v>
      </c>
      <c r="E46" s="17"/>
    </row>
    <row r="47" spans="1:6" x14ac:dyDescent="0.25">
      <c r="A47" s="4" t="s">
        <v>174</v>
      </c>
      <c r="B47" s="41">
        <f>C$30</f>
        <v>0.122415485356973</v>
      </c>
      <c r="C47" s="41">
        <f>D$30</f>
        <v>0.46089402775348698</v>
      </c>
      <c r="D47" s="41">
        <f>E$30</f>
        <v>0.41669048688954002</v>
      </c>
      <c r="E47" s="17"/>
    </row>
    <row r="48" spans="1:6" x14ac:dyDescent="0.25">
      <c r="A48" s="4" t="s">
        <v>214</v>
      </c>
      <c r="B48" s="41">
        <f>C$31</f>
        <v>1.5755592705031696E-3</v>
      </c>
      <c r="C48" s="41">
        <f>D$31</f>
        <v>5.0778904213195086E-2</v>
      </c>
      <c r="D48" s="41">
        <f>E$31</f>
        <v>0.94764553651630179</v>
      </c>
      <c r="E48" s="17"/>
    </row>
    <row r="49" spans="1:5" x14ac:dyDescent="0.25">
      <c r="A49" s="4" t="s">
        <v>175</v>
      </c>
      <c r="B49" s="41">
        <f>C$32</f>
        <v>0.135991140327402</v>
      </c>
      <c r="C49" s="41">
        <f>D$32</f>
        <v>0.48500362967598298</v>
      </c>
      <c r="D49" s="41">
        <f>E$32</f>
        <v>0.37900522999661501</v>
      </c>
      <c r="E49" s="17"/>
    </row>
    <row r="50" spans="1:5" x14ac:dyDescent="0.25">
      <c r="A50" s="4" t="s">
        <v>176</v>
      </c>
      <c r="B50" s="41">
        <f>C$33</f>
        <v>0.13375743913092888</v>
      </c>
      <c r="C50" s="41">
        <f>D$33</f>
        <v>0.48143444853824757</v>
      </c>
      <c r="D50" s="41">
        <f>E$33</f>
        <v>0.38480811233082368</v>
      </c>
      <c r="E50" s="17"/>
    </row>
    <row r="51" spans="1:5" x14ac:dyDescent="0.25">
      <c r="A51" s="4" t="s">
        <v>192</v>
      </c>
      <c r="B51" s="41">
        <f>C$34</f>
        <v>0.130957627063962</v>
      </c>
      <c r="C51" s="41">
        <f>D$34</f>
        <v>0.48933937384065102</v>
      </c>
      <c r="D51" s="41">
        <f>E$34</f>
        <v>0.37970299909538702</v>
      </c>
      <c r="E51" s="17"/>
    </row>
    <row r="52" spans="1:5" x14ac:dyDescent="0.25">
      <c r="A52" s="4" t="s">
        <v>177</v>
      </c>
      <c r="B52" s="40">
        <v>1</v>
      </c>
      <c r="C52" s="40">
        <v>0</v>
      </c>
      <c r="D52" s="40">
        <v>0</v>
      </c>
      <c r="E52" s="17"/>
    </row>
    <row r="53" spans="1:5" x14ac:dyDescent="0.25">
      <c r="A53" s="4" t="s">
        <v>178</v>
      </c>
      <c r="B53" s="40">
        <v>1</v>
      </c>
      <c r="C53" s="40">
        <v>0</v>
      </c>
      <c r="D53" s="40">
        <v>0</v>
      </c>
      <c r="E53" s="17"/>
    </row>
    <row r="54" spans="1:5" x14ac:dyDescent="0.25">
      <c r="A54" s="4" t="s">
        <v>179</v>
      </c>
      <c r="B54" s="40">
        <v>1</v>
      </c>
      <c r="C54" s="40">
        <v>0</v>
      </c>
      <c r="D54" s="40">
        <v>0</v>
      </c>
      <c r="E54" s="17"/>
    </row>
    <row r="55" spans="1:5" x14ac:dyDescent="0.25">
      <c r="A55" s="4" t="s">
        <v>180</v>
      </c>
      <c r="B55" s="40">
        <v>1</v>
      </c>
      <c r="C55" s="40">
        <v>0</v>
      </c>
      <c r="D55" s="40">
        <v>0</v>
      </c>
      <c r="E55" s="17"/>
    </row>
    <row r="56" spans="1:5" x14ac:dyDescent="0.25">
      <c r="A56" s="4" t="s">
        <v>193</v>
      </c>
      <c r="B56" s="40">
        <v>1</v>
      </c>
      <c r="C56" s="40">
        <v>0</v>
      </c>
      <c r="D56" s="40">
        <v>0</v>
      </c>
      <c r="E56" s="17"/>
    </row>
    <row r="57" spans="1:5" x14ac:dyDescent="0.25">
      <c r="A57" s="4" t="s">
        <v>184</v>
      </c>
      <c r="B57" s="40">
        <v>1</v>
      </c>
      <c r="C57" s="40">
        <v>0</v>
      </c>
      <c r="D57" s="40">
        <v>0</v>
      </c>
      <c r="E57" s="17"/>
    </row>
    <row r="58" spans="1:5" x14ac:dyDescent="0.25">
      <c r="A58" s="4" t="s">
        <v>186</v>
      </c>
      <c r="B58" s="40">
        <v>1</v>
      </c>
      <c r="C58" s="40">
        <v>0</v>
      </c>
      <c r="D58" s="40">
        <v>0</v>
      </c>
      <c r="E58" s="17"/>
    </row>
    <row r="59" spans="1:5" x14ac:dyDescent="0.25">
      <c r="A59" s="4" t="s">
        <v>195</v>
      </c>
      <c r="B59" s="40">
        <v>1</v>
      </c>
      <c r="C59" s="40">
        <v>0</v>
      </c>
      <c r="D59" s="40">
        <v>0</v>
      </c>
      <c r="E59" s="17"/>
    </row>
    <row r="61" spans="1:5" ht="21" customHeight="1" x14ac:dyDescent="0.3">
      <c r="A61" s="1" t="s">
        <v>558</v>
      </c>
    </row>
    <row r="62" spans="1:5" x14ac:dyDescent="0.25">
      <c r="A62" s="2" t="s">
        <v>350</v>
      </c>
    </row>
    <row r="63" spans="1:5" x14ac:dyDescent="0.25">
      <c r="A63" s="32" t="s">
        <v>559</v>
      </c>
    </row>
    <row r="64" spans="1:5" x14ac:dyDescent="0.25">
      <c r="A64" s="32" t="s">
        <v>560</v>
      </c>
    </row>
    <row r="65" spans="1:6" x14ac:dyDescent="0.25">
      <c r="A65" s="32" t="s">
        <v>550</v>
      </c>
    </row>
    <row r="66" spans="1:6" x14ac:dyDescent="0.25">
      <c r="A66" s="32" t="s">
        <v>551</v>
      </c>
    </row>
    <row r="67" spans="1:6" x14ac:dyDescent="0.25">
      <c r="A67" s="33" t="s">
        <v>353</v>
      </c>
      <c r="B67" s="33" t="s">
        <v>484</v>
      </c>
      <c r="C67" s="33" t="s">
        <v>483</v>
      </c>
      <c r="D67" s="33"/>
      <c r="E67" s="33"/>
    </row>
    <row r="68" spans="1:6" x14ac:dyDescent="0.25">
      <c r="A68" s="33" t="s">
        <v>356</v>
      </c>
      <c r="B68" s="33" t="s">
        <v>534</v>
      </c>
      <c r="C68" s="33" t="s">
        <v>552</v>
      </c>
      <c r="D68" s="33"/>
      <c r="E68" s="33"/>
    </row>
    <row r="70" spans="1:6" ht="30" x14ac:dyDescent="0.25">
      <c r="C70" s="31" t="s">
        <v>561</v>
      </c>
      <c r="D70" s="31"/>
      <c r="E70" s="31"/>
    </row>
    <row r="71" spans="1:6" x14ac:dyDescent="0.25">
      <c r="B71" s="15" t="s">
        <v>553</v>
      </c>
      <c r="C71" s="15" t="s">
        <v>326</v>
      </c>
      <c r="D71" s="15" t="s">
        <v>327</v>
      </c>
      <c r="E71" s="15" t="s">
        <v>328</v>
      </c>
    </row>
    <row r="72" spans="1:6" x14ac:dyDescent="0.25">
      <c r="A72" s="4" t="s">
        <v>172</v>
      </c>
      <c r="B72" s="39">
        <f>SUM(Input!$B327:$D327)</f>
        <v>1</v>
      </c>
      <c r="C72" s="39">
        <f>IF($B72,Input!B327/$B72,C$13/Input!$F$58/24)</f>
        <v>0</v>
      </c>
      <c r="D72" s="39">
        <f>IF($B72,Input!C327/$B72,D$13/Input!$F$58/24)</f>
        <v>0</v>
      </c>
      <c r="E72" s="39">
        <f>IF($B72,Input!D327/$B72,E$13/Input!$F$58/24)</f>
        <v>1</v>
      </c>
      <c r="F72" s="17"/>
    </row>
    <row r="73" spans="1:6" x14ac:dyDescent="0.25">
      <c r="A73" s="4" t="s">
        <v>174</v>
      </c>
      <c r="B73" s="39">
        <f>SUM(Input!$B328:$D328)</f>
        <v>1</v>
      </c>
      <c r="C73" s="39">
        <f>IF($B73,Input!B328/$B73,C$13/Input!$F$58/24)</f>
        <v>0</v>
      </c>
      <c r="D73" s="39">
        <f>IF($B73,Input!C328/$B73,D$13/Input!$F$58/24)</f>
        <v>0</v>
      </c>
      <c r="E73" s="39">
        <f>IF($B73,Input!D328/$B73,E$13/Input!$F$58/24)</f>
        <v>1</v>
      </c>
      <c r="F73" s="17"/>
    </row>
    <row r="74" spans="1:6" x14ac:dyDescent="0.25">
      <c r="A74" s="4" t="s">
        <v>175</v>
      </c>
      <c r="B74" s="39">
        <f>SUM(Input!$B329:$D329)</f>
        <v>1</v>
      </c>
      <c r="C74" s="39">
        <f>IF($B74,Input!B329/$B74,C$13/Input!$F$58/24)</f>
        <v>0</v>
      </c>
      <c r="D74" s="39">
        <f>IF($B74,Input!C329/$B74,D$13/Input!$F$58/24)</f>
        <v>0</v>
      </c>
      <c r="E74" s="39">
        <f>IF($B74,Input!D329/$B74,E$13/Input!$F$58/24)</f>
        <v>1</v>
      </c>
      <c r="F74" s="17"/>
    </row>
    <row r="75" spans="1:6" x14ac:dyDescent="0.25">
      <c r="A75" s="4" t="s">
        <v>176</v>
      </c>
      <c r="B75" s="39">
        <f>SUM(Input!$B330:$D330)</f>
        <v>1</v>
      </c>
      <c r="C75" s="39">
        <f>IF($B75,Input!B330/$B75,C$13/Input!$F$58/24)</f>
        <v>0</v>
      </c>
      <c r="D75" s="39">
        <f>IF($B75,Input!C330/$B75,D$13/Input!$F$58/24)</f>
        <v>0</v>
      </c>
      <c r="E75" s="39">
        <f>IF($B75,Input!D330/$B75,E$13/Input!$F$58/24)</f>
        <v>1</v>
      </c>
      <c r="F75" s="17"/>
    </row>
    <row r="76" spans="1:6" x14ac:dyDescent="0.25">
      <c r="A76" s="4" t="s">
        <v>192</v>
      </c>
      <c r="B76" s="39">
        <f>SUM(Input!$B331:$D331)</f>
        <v>1</v>
      </c>
      <c r="C76" s="39">
        <f>IF($B76,Input!B331/$B76,C$13/Input!$F$58/24)</f>
        <v>0</v>
      </c>
      <c r="D76" s="39">
        <f>IF($B76,Input!C331/$B76,D$13/Input!$F$58/24)</f>
        <v>0</v>
      </c>
      <c r="E76" s="39">
        <f>IF($B76,Input!D331/$B76,E$13/Input!$F$58/24)</f>
        <v>1</v>
      </c>
      <c r="F76" s="17"/>
    </row>
    <row r="78" spans="1:6" ht="21" customHeight="1" x14ac:dyDescent="0.3">
      <c r="A78" s="1" t="s">
        <v>562</v>
      </c>
    </row>
    <row r="79" spans="1:6" x14ac:dyDescent="0.25">
      <c r="A79" s="2" t="s">
        <v>350</v>
      </c>
    </row>
    <row r="80" spans="1:6" x14ac:dyDescent="0.25">
      <c r="A80" s="32" t="s">
        <v>563</v>
      </c>
    </row>
    <row r="81" spans="1:5" x14ac:dyDescent="0.25">
      <c r="A81" s="2" t="s">
        <v>564</v>
      </c>
    </row>
    <row r="82" spans="1:5" x14ac:dyDescent="0.25">
      <c r="A82" s="2" t="s">
        <v>368</v>
      </c>
    </row>
    <row r="84" spans="1:5" x14ac:dyDescent="0.25">
      <c r="B84" s="15" t="s">
        <v>326</v>
      </c>
      <c r="C84" s="15" t="s">
        <v>327</v>
      </c>
      <c r="D84" s="15" t="s">
        <v>328</v>
      </c>
    </row>
    <row r="85" spans="1:5" x14ac:dyDescent="0.25">
      <c r="A85" s="4" t="s">
        <v>172</v>
      </c>
      <c r="B85" s="41">
        <f>C$72</f>
        <v>0</v>
      </c>
      <c r="C85" s="41">
        <f>D$72</f>
        <v>0</v>
      </c>
      <c r="D85" s="41">
        <f>E$72</f>
        <v>1</v>
      </c>
      <c r="E85" s="17"/>
    </row>
    <row r="86" spans="1:5" x14ac:dyDescent="0.25">
      <c r="A86" s="4" t="s">
        <v>174</v>
      </c>
      <c r="B86" s="41">
        <f>C$73</f>
        <v>0</v>
      </c>
      <c r="C86" s="41">
        <f>D$73</f>
        <v>0</v>
      </c>
      <c r="D86" s="41">
        <f>E$73</f>
        <v>1</v>
      </c>
      <c r="E86" s="17"/>
    </row>
    <row r="87" spans="1:5" x14ac:dyDescent="0.25">
      <c r="A87" s="4" t="s">
        <v>175</v>
      </c>
      <c r="B87" s="41">
        <f>C$74</f>
        <v>0</v>
      </c>
      <c r="C87" s="41">
        <f>D$74</f>
        <v>0</v>
      </c>
      <c r="D87" s="41">
        <f>E$74</f>
        <v>1</v>
      </c>
      <c r="E87" s="17"/>
    </row>
    <row r="88" spans="1:5" x14ac:dyDescent="0.25">
      <c r="A88" s="4" t="s">
        <v>176</v>
      </c>
      <c r="B88" s="41">
        <f>C$75</f>
        <v>0</v>
      </c>
      <c r="C88" s="41">
        <f>D$75</f>
        <v>0</v>
      </c>
      <c r="D88" s="41">
        <f>E$75</f>
        <v>1</v>
      </c>
      <c r="E88" s="17"/>
    </row>
    <row r="89" spans="1:5" x14ac:dyDescent="0.25">
      <c r="A89" s="4" t="s">
        <v>192</v>
      </c>
      <c r="B89" s="41">
        <f>C$76</f>
        <v>0</v>
      </c>
      <c r="C89" s="41">
        <f>D$76</f>
        <v>0</v>
      </c>
      <c r="D89" s="41">
        <f>E$76</f>
        <v>1</v>
      </c>
      <c r="E89" s="17"/>
    </row>
    <row r="90" spans="1:5" x14ac:dyDescent="0.25">
      <c r="A90" s="4" t="s">
        <v>177</v>
      </c>
      <c r="B90" s="40">
        <v>0</v>
      </c>
      <c r="C90" s="40">
        <v>1</v>
      </c>
      <c r="D90" s="40">
        <v>0</v>
      </c>
      <c r="E90" s="17"/>
    </row>
    <row r="91" spans="1:5" x14ac:dyDescent="0.25">
      <c r="A91" s="4" t="s">
        <v>178</v>
      </c>
      <c r="B91" s="40">
        <v>0</v>
      </c>
      <c r="C91" s="40">
        <v>1</v>
      </c>
      <c r="D91" s="40">
        <v>0</v>
      </c>
      <c r="E91" s="17"/>
    </row>
    <row r="92" spans="1:5" x14ac:dyDescent="0.25">
      <c r="A92" s="4" t="s">
        <v>179</v>
      </c>
      <c r="B92" s="40">
        <v>0</v>
      </c>
      <c r="C92" s="40">
        <v>1</v>
      </c>
      <c r="D92" s="40">
        <v>0</v>
      </c>
      <c r="E92" s="17"/>
    </row>
    <row r="93" spans="1:5" x14ac:dyDescent="0.25">
      <c r="A93" s="4" t="s">
        <v>180</v>
      </c>
      <c r="B93" s="40">
        <v>0</v>
      </c>
      <c r="C93" s="40">
        <v>1</v>
      </c>
      <c r="D93" s="40">
        <v>0</v>
      </c>
      <c r="E93" s="17"/>
    </row>
    <row r="94" spans="1:5" x14ac:dyDescent="0.25">
      <c r="A94" s="4" t="s">
        <v>193</v>
      </c>
      <c r="B94" s="40">
        <v>0</v>
      </c>
      <c r="C94" s="40">
        <v>1</v>
      </c>
      <c r="D94" s="40">
        <v>0</v>
      </c>
      <c r="E94" s="17"/>
    </row>
    <row r="95" spans="1:5" x14ac:dyDescent="0.25">
      <c r="A95" s="4" t="s">
        <v>184</v>
      </c>
      <c r="B95" s="40">
        <v>0</v>
      </c>
      <c r="C95" s="40">
        <v>1</v>
      </c>
      <c r="D95" s="40">
        <v>0</v>
      </c>
      <c r="E95" s="17"/>
    </row>
    <row r="96" spans="1:5" x14ac:dyDescent="0.25">
      <c r="A96" s="4" t="s">
        <v>186</v>
      </c>
      <c r="B96" s="40">
        <v>0</v>
      </c>
      <c r="C96" s="40">
        <v>1</v>
      </c>
      <c r="D96" s="40">
        <v>0</v>
      </c>
      <c r="E96" s="17"/>
    </row>
    <row r="97" spans="1:5" x14ac:dyDescent="0.25">
      <c r="A97" s="4" t="s">
        <v>195</v>
      </c>
      <c r="B97" s="40">
        <v>0</v>
      </c>
      <c r="C97" s="40">
        <v>1</v>
      </c>
      <c r="D97" s="40">
        <v>0</v>
      </c>
      <c r="E97" s="17"/>
    </row>
    <row r="99" spans="1:5" ht="21" customHeight="1" x14ac:dyDescent="0.3">
      <c r="A99" s="1" t="s">
        <v>565</v>
      </c>
    </row>
    <row r="101" spans="1:5" x14ac:dyDescent="0.25">
      <c r="B101" s="15" t="s">
        <v>326</v>
      </c>
      <c r="C101" s="15" t="s">
        <v>327</v>
      </c>
      <c r="D101" s="15" t="s">
        <v>328</v>
      </c>
    </row>
    <row r="102" spans="1:5" x14ac:dyDescent="0.25">
      <c r="A102" s="4" t="s">
        <v>177</v>
      </c>
      <c r="B102" s="40">
        <v>0</v>
      </c>
      <c r="C102" s="40">
        <v>0</v>
      </c>
      <c r="D102" s="40">
        <v>1</v>
      </c>
      <c r="E102" s="17"/>
    </row>
    <row r="103" spans="1:5" x14ac:dyDescent="0.25">
      <c r="A103" s="4" t="s">
        <v>178</v>
      </c>
      <c r="B103" s="40">
        <v>0</v>
      </c>
      <c r="C103" s="40">
        <v>0</v>
      </c>
      <c r="D103" s="40">
        <v>1</v>
      </c>
      <c r="E103" s="17"/>
    </row>
    <row r="104" spans="1:5" x14ac:dyDescent="0.25">
      <c r="A104" s="4" t="s">
        <v>179</v>
      </c>
      <c r="B104" s="40">
        <v>0</v>
      </c>
      <c r="C104" s="40">
        <v>0</v>
      </c>
      <c r="D104" s="40">
        <v>1</v>
      </c>
      <c r="E104" s="17"/>
    </row>
    <row r="105" spans="1:5" x14ac:dyDescent="0.25">
      <c r="A105" s="4" t="s">
        <v>180</v>
      </c>
      <c r="B105" s="40">
        <v>0</v>
      </c>
      <c r="C105" s="40">
        <v>0</v>
      </c>
      <c r="D105" s="40">
        <v>1</v>
      </c>
      <c r="E105" s="17"/>
    </row>
    <row r="106" spans="1:5" x14ac:dyDescent="0.25">
      <c r="A106" s="4" t="s">
        <v>193</v>
      </c>
      <c r="B106" s="40">
        <v>0</v>
      </c>
      <c r="C106" s="40">
        <v>0</v>
      </c>
      <c r="D106" s="40">
        <v>1</v>
      </c>
      <c r="E106" s="17"/>
    </row>
    <row r="107" spans="1:5" x14ac:dyDescent="0.25">
      <c r="A107" s="4" t="s">
        <v>184</v>
      </c>
      <c r="B107" s="40">
        <v>0</v>
      </c>
      <c r="C107" s="40">
        <v>0</v>
      </c>
      <c r="D107" s="40">
        <v>1</v>
      </c>
      <c r="E107" s="17"/>
    </row>
    <row r="108" spans="1:5" x14ac:dyDescent="0.25">
      <c r="A108" s="4" t="s">
        <v>186</v>
      </c>
      <c r="B108" s="40">
        <v>0</v>
      </c>
      <c r="C108" s="40">
        <v>0</v>
      </c>
      <c r="D108" s="40">
        <v>1</v>
      </c>
      <c r="E108" s="17"/>
    </row>
    <row r="109" spans="1:5" x14ac:dyDescent="0.25">
      <c r="A109" s="4" t="s">
        <v>195</v>
      </c>
      <c r="B109" s="40">
        <v>0</v>
      </c>
      <c r="C109" s="40">
        <v>0</v>
      </c>
      <c r="D109" s="40">
        <v>1</v>
      </c>
      <c r="E109" s="17"/>
    </row>
    <row r="111" spans="1:5" ht="21" customHeight="1" x14ac:dyDescent="0.3">
      <c r="A111" s="1" t="s">
        <v>566</v>
      </c>
    </row>
    <row r="112" spans="1:5" x14ac:dyDescent="0.25">
      <c r="A112" s="2" t="s">
        <v>350</v>
      </c>
    </row>
    <row r="113" spans="1:3" x14ac:dyDescent="0.25">
      <c r="A113" s="32" t="s">
        <v>567</v>
      </c>
    </row>
    <row r="114" spans="1:3" x14ac:dyDescent="0.25">
      <c r="A114" s="32" t="s">
        <v>568</v>
      </c>
    </row>
    <row r="115" spans="1:3" x14ac:dyDescent="0.25">
      <c r="A115" s="32" t="s">
        <v>569</v>
      </c>
    </row>
    <row r="116" spans="1:3" x14ac:dyDescent="0.25">
      <c r="A116" s="2" t="s">
        <v>570</v>
      </c>
    </row>
    <row r="118" spans="1:3" x14ac:dyDescent="0.25">
      <c r="B118" s="15" t="s">
        <v>571</v>
      </c>
    </row>
    <row r="119" spans="1:3" x14ac:dyDescent="0.25">
      <c r="A119" s="4" t="s">
        <v>171</v>
      </c>
      <c r="B119" s="21">
        <f>Loads!B302+Loads!C302+Loads!D302</f>
        <v>6643439.9717970481</v>
      </c>
      <c r="C119" s="17"/>
    </row>
    <row r="120" spans="1:3" x14ac:dyDescent="0.25">
      <c r="A120" s="4" t="s">
        <v>172</v>
      </c>
      <c r="B120" s="21">
        <f>Loads!B303+Loads!C303+Loads!D303</f>
        <v>951470.60774900892</v>
      </c>
      <c r="C120" s="17"/>
    </row>
    <row r="121" spans="1:3" x14ac:dyDescent="0.25">
      <c r="A121" s="4" t="s">
        <v>213</v>
      </c>
      <c r="B121" s="21">
        <f>Loads!B304+Loads!C304+Loads!D304</f>
        <v>16657.9640809597</v>
      </c>
      <c r="C121" s="17"/>
    </row>
    <row r="122" spans="1:3" x14ac:dyDescent="0.25">
      <c r="A122" s="4" t="s">
        <v>173</v>
      </c>
      <c r="B122" s="21">
        <f>Loads!B305+Loads!C305+Loads!D305</f>
        <v>1575953.3705314007</v>
      </c>
      <c r="C122" s="17"/>
    </row>
    <row r="123" spans="1:3" x14ac:dyDescent="0.25">
      <c r="A123" s="4" t="s">
        <v>174</v>
      </c>
      <c r="B123" s="21">
        <f>Loads!B306+Loads!C306+Loads!D306</f>
        <v>791480.42273707187</v>
      </c>
      <c r="C123" s="17"/>
    </row>
    <row r="124" spans="1:3" x14ac:dyDescent="0.25">
      <c r="A124" s="4" t="s">
        <v>214</v>
      </c>
      <c r="B124" s="21">
        <f>Loads!B307+Loads!C307+Loads!D307</f>
        <v>18224.065631184701</v>
      </c>
      <c r="C124" s="17"/>
    </row>
    <row r="125" spans="1:3" x14ac:dyDescent="0.25">
      <c r="A125" s="4" t="s">
        <v>175</v>
      </c>
      <c r="B125" s="21">
        <f>Loads!B308+Loads!C308+Loads!D308</f>
        <v>0</v>
      </c>
      <c r="C125" s="17"/>
    </row>
    <row r="126" spans="1:3" x14ac:dyDescent="0.25">
      <c r="A126" s="4" t="s">
        <v>176</v>
      </c>
      <c r="B126" s="21">
        <f>Loads!B309+Loads!C309+Loads!D309</f>
        <v>0</v>
      </c>
      <c r="C126" s="17"/>
    </row>
    <row r="127" spans="1:3" x14ac:dyDescent="0.25">
      <c r="A127" s="4" t="s">
        <v>192</v>
      </c>
      <c r="B127" s="21">
        <f>Loads!B310+Loads!C310+Loads!D310</f>
        <v>7293.5860311247598</v>
      </c>
      <c r="C127" s="17"/>
    </row>
    <row r="128" spans="1:3" x14ac:dyDescent="0.25">
      <c r="A128" s="4" t="s">
        <v>177</v>
      </c>
      <c r="B128" s="21">
        <f>Loads!B311+Loads!C311+Loads!D311</f>
        <v>0</v>
      </c>
      <c r="C128" s="17"/>
    </row>
    <row r="129" spans="1:3" x14ac:dyDescent="0.25">
      <c r="A129" s="4" t="s">
        <v>178</v>
      </c>
      <c r="B129" s="21">
        <f>Loads!B312+Loads!C312+Loads!D312</f>
        <v>512249.98082569428</v>
      </c>
      <c r="C129" s="17"/>
    </row>
    <row r="130" spans="1:3" x14ac:dyDescent="0.25">
      <c r="A130" s="4" t="s">
        <v>179</v>
      </c>
      <c r="B130" s="21">
        <f>Loads!B313+Loads!C313+Loads!D313</f>
        <v>2259912.3823540006</v>
      </c>
      <c r="C130" s="17"/>
    </row>
    <row r="131" spans="1:3" x14ac:dyDescent="0.25">
      <c r="A131" s="4" t="s">
        <v>180</v>
      </c>
      <c r="B131" s="21">
        <f>Loads!B314+Loads!C314+Loads!D314</f>
        <v>1298354.7860560887</v>
      </c>
      <c r="C131" s="17"/>
    </row>
    <row r="132" spans="1:3" x14ac:dyDescent="0.25">
      <c r="A132" s="4" t="s">
        <v>193</v>
      </c>
      <c r="B132" s="21">
        <f>Loads!B315+Loads!C315+Loads!D315</f>
        <v>5112197.6319534257</v>
      </c>
      <c r="C132" s="17"/>
    </row>
    <row r="133" spans="1:3" x14ac:dyDescent="0.25">
      <c r="A133" s="4" t="s">
        <v>215</v>
      </c>
      <c r="B133" s="21">
        <f>Loads!B316+Loads!C316+Loads!D316</f>
        <v>36671.232710255303</v>
      </c>
      <c r="C133" s="17"/>
    </row>
    <row r="134" spans="1:3" x14ac:dyDescent="0.25">
      <c r="A134" s="4" t="s">
        <v>216</v>
      </c>
      <c r="B134" s="21">
        <f>Loads!B317+Loads!C317+Loads!D317</f>
        <v>10149.072782016661</v>
      </c>
      <c r="C134" s="17"/>
    </row>
    <row r="135" spans="1:3" x14ac:dyDescent="0.25">
      <c r="A135" s="4" t="s">
        <v>217</v>
      </c>
      <c r="B135" s="21">
        <f>Loads!B318+Loads!C318+Loads!D318</f>
        <v>265.80818738323097</v>
      </c>
      <c r="C135" s="17"/>
    </row>
    <row r="136" spans="1:3" x14ac:dyDescent="0.25">
      <c r="A136" s="4" t="s">
        <v>218</v>
      </c>
      <c r="B136" s="21">
        <f>Loads!B319+Loads!C319+Loads!D319</f>
        <v>7.86378751503896E-2</v>
      </c>
      <c r="C136" s="17"/>
    </row>
    <row r="137" spans="1:3" x14ac:dyDescent="0.25">
      <c r="A137" s="4" t="s">
        <v>219</v>
      </c>
      <c r="B137" s="21">
        <f>Loads!B320+Loads!C320+Loads!D320</f>
        <v>260654.37782110399</v>
      </c>
      <c r="C137" s="17"/>
    </row>
    <row r="138" spans="1:3" x14ac:dyDescent="0.25">
      <c r="A138" s="4" t="s">
        <v>181</v>
      </c>
      <c r="B138" s="21">
        <f>Loads!B321+Loads!C321+Loads!D321</f>
        <v>762.555542901438</v>
      </c>
      <c r="C138" s="17"/>
    </row>
    <row r="139" spans="1:3" x14ac:dyDescent="0.25">
      <c r="A139" s="4" t="s">
        <v>182</v>
      </c>
      <c r="B139" s="21">
        <f>Loads!B322+Loads!C322+Loads!D322</f>
        <v>0</v>
      </c>
      <c r="C139" s="17"/>
    </row>
    <row r="140" spans="1:3" x14ac:dyDescent="0.25">
      <c r="A140" s="4" t="s">
        <v>183</v>
      </c>
      <c r="B140" s="21">
        <f>Loads!B323+Loads!C323+Loads!D323</f>
        <v>29085.818544960101</v>
      </c>
      <c r="C140" s="17"/>
    </row>
    <row r="141" spans="1:3" x14ac:dyDescent="0.25">
      <c r="A141" s="4" t="s">
        <v>184</v>
      </c>
      <c r="B141" s="21">
        <f>Loads!B324+Loads!C324+Loads!D324</f>
        <v>2537.0677732867098</v>
      </c>
      <c r="C141" s="17"/>
    </row>
    <row r="142" spans="1:3" x14ac:dyDescent="0.25">
      <c r="A142" s="4" t="s">
        <v>185</v>
      </c>
      <c r="B142" s="21">
        <f>Loads!B325+Loads!C325+Loads!D325</f>
        <v>1410.5414699999999</v>
      </c>
      <c r="C142" s="17"/>
    </row>
    <row r="143" spans="1:3" x14ac:dyDescent="0.25">
      <c r="A143" s="4" t="s">
        <v>186</v>
      </c>
      <c r="B143" s="21">
        <f>Loads!B326+Loads!C326+Loads!D326</f>
        <v>391.24710000000005</v>
      </c>
      <c r="C143" s="17"/>
    </row>
    <row r="144" spans="1:3" x14ac:dyDescent="0.25">
      <c r="A144" s="4" t="s">
        <v>194</v>
      </c>
      <c r="B144" s="21">
        <f>Loads!B327+Loads!C327+Loads!D327</f>
        <v>352888.28028544399</v>
      </c>
      <c r="C144" s="17"/>
    </row>
    <row r="145" spans="1:6" x14ac:dyDescent="0.25">
      <c r="A145" s="4" t="s">
        <v>195</v>
      </c>
      <c r="B145" s="21">
        <f>Loads!B328+Loads!C328+Loads!D328</f>
        <v>535991.72393183364</v>
      </c>
      <c r="C145" s="17"/>
    </row>
    <row r="147" spans="1:6" ht="21" customHeight="1" x14ac:dyDescent="0.3">
      <c r="A147" s="1" t="s">
        <v>572</v>
      </c>
    </row>
    <row r="148" spans="1:6" x14ac:dyDescent="0.25">
      <c r="A148" s="2" t="s">
        <v>350</v>
      </c>
    </row>
    <row r="149" spans="1:6" x14ac:dyDescent="0.25">
      <c r="A149" s="32" t="s">
        <v>573</v>
      </c>
    </row>
    <row r="150" spans="1:6" x14ac:dyDescent="0.25">
      <c r="A150" s="32" t="s">
        <v>574</v>
      </c>
    </row>
    <row r="151" spans="1:6" x14ac:dyDescent="0.25">
      <c r="A151" s="32" t="s">
        <v>575</v>
      </c>
    </row>
    <row r="152" spans="1:6" x14ac:dyDescent="0.25">
      <c r="A152" s="32" t="s">
        <v>576</v>
      </c>
    </row>
    <row r="153" spans="1:6" x14ac:dyDescent="0.25">
      <c r="A153" s="32" t="s">
        <v>577</v>
      </c>
    </row>
    <row r="154" spans="1:6" x14ac:dyDescent="0.25">
      <c r="A154" s="32" t="s">
        <v>578</v>
      </c>
    </row>
    <row r="155" spans="1:6" x14ac:dyDescent="0.25">
      <c r="A155" s="33" t="s">
        <v>353</v>
      </c>
      <c r="B155" s="33" t="s">
        <v>483</v>
      </c>
      <c r="C155" s="33"/>
      <c r="D155" s="33"/>
      <c r="E155" s="33" t="s">
        <v>483</v>
      </c>
    </row>
    <row r="156" spans="1:6" ht="30" x14ac:dyDescent="0.25">
      <c r="A156" s="33" t="s">
        <v>356</v>
      </c>
      <c r="B156" s="33" t="s">
        <v>579</v>
      </c>
      <c r="C156" s="33"/>
      <c r="D156" s="33"/>
      <c r="E156" s="33" t="s">
        <v>580</v>
      </c>
    </row>
    <row r="158" spans="1:6" ht="30" x14ac:dyDescent="0.25">
      <c r="B158" s="31" t="s">
        <v>581</v>
      </c>
      <c r="C158" s="31"/>
      <c r="D158" s="31"/>
    </row>
    <row r="159" spans="1:6" ht="45" x14ac:dyDescent="0.25">
      <c r="B159" s="15" t="s">
        <v>326</v>
      </c>
      <c r="C159" s="15" t="s">
        <v>327</v>
      </c>
      <c r="D159" s="15" t="s">
        <v>328</v>
      </c>
      <c r="E159" s="15" t="s">
        <v>582</v>
      </c>
    </row>
    <row r="160" spans="1:6" x14ac:dyDescent="0.25">
      <c r="A160" s="4" t="s">
        <v>171</v>
      </c>
      <c r="B160" s="39">
        <f>IF($B$119&gt;0,(Loads!$B$302*B$43)/$B$119,0)</f>
        <v>0.1267129394160639</v>
      </c>
      <c r="C160" s="39">
        <f>IF($B$119&gt;0,(Loads!$B$302*C$43)/$B$119,0)</f>
        <v>0.33181157293058772</v>
      </c>
      <c r="D160" s="39">
        <f>IF($B$119&gt;0,(Loads!$B$302*D$43)/$B$119,0)</f>
        <v>0.54147548765334852</v>
      </c>
      <c r="E160" s="37">
        <f>IF($C$13&gt;0,$B160*Input!$F$58*24/$C$13,0)</f>
        <v>1.4230837811342563</v>
      </c>
      <c r="F160" s="17"/>
    </row>
    <row r="161" spans="1:6" x14ac:dyDescent="0.25">
      <c r="A161" s="4" t="s">
        <v>173</v>
      </c>
      <c r="B161" s="39">
        <f>IF($B$122&gt;0,(Loads!$B$305*B$46)/$B$122,0)</f>
        <v>0.109274314230623</v>
      </c>
      <c r="C161" s="39">
        <f>IF($B$122&gt;0,(Loads!$B$305*C$46)/$B$122,0)</f>
        <v>0.447827832406547</v>
      </c>
      <c r="D161" s="39">
        <f>IF($B$122&gt;0,(Loads!$B$305*D$46)/$B$122,0)</f>
        <v>0.44289785336283</v>
      </c>
      <c r="E161" s="37">
        <f>IF($C$13&gt;0,$B161*Input!$F$58*24/$C$13,0)</f>
        <v>1.2272346059746893</v>
      </c>
      <c r="F161" s="17"/>
    </row>
    <row r="163" spans="1:6" ht="21" customHeight="1" x14ac:dyDescent="0.3">
      <c r="A163" s="1" t="s">
        <v>583</v>
      </c>
    </row>
    <row r="164" spans="1:6" x14ac:dyDescent="0.25">
      <c r="A164" s="2" t="s">
        <v>350</v>
      </c>
    </row>
    <row r="165" spans="1:6" x14ac:dyDescent="0.25">
      <c r="A165" s="32" t="s">
        <v>573</v>
      </c>
    </row>
    <row r="166" spans="1:6" x14ac:dyDescent="0.25">
      <c r="A166" s="32" t="s">
        <v>574</v>
      </c>
    </row>
    <row r="167" spans="1:6" x14ac:dyDescent="0.25">
      <c r="A167" s="32" t="s">
        <v>575</v>
      </c>
    </row>
    <row r="168" spans="1:6" x14ac:dyDescent="0.25">
      <c r="A168" s="32" t="s">
        <v>584</v>
      </c>
    </row>
    <row r="169" spans="1:6" x14ac:dyDescent="0.25">
      <c r="A169" s="32" t="s">
        <v>585</v>
      </c>
    </row>
    <row r="170" spans="1:6" x14ac:dyDescent="0.25">
      <c r="A170" s="32" t="s">
        <v>586</v>
      </c>
    </row>
    <row r="171" spans="1:6" x14ac:dyDescent="0.25">
      <c r="A171" s="32" t="s">
        <v>587</v>
      </c>
    </row>
    <row r="172" spans="1:6" x14ac:dyDescent="0.25">
      <c r="A172" s="32" t="s">
        <v>588</v>
      </c>
    </row>
    <row r="173" spans="1:6" x14ac:dyDescent="0.25">
      <c r="A173" s="33" t="s">
        <v>353</v>
      </c>
      <c r="B173" s="33" t="s">
        <v>483</v>
      </c>
      <c r="C173" s="33"/>
      <c r="D173" s="33"/>
      <c r="E173" s="33" t="s">
        <v>483</v>
      </c>
    </row>
    <row r="174" spans="1:6" ht="30" x14ac:dyDescent="0.25">
      <c r="A174" s="33" t="s">
        <v>356</v>
      </c>
      <c r="B174" s="33" t="s">
        <v>589</v>
      </c>
      <c r="C174" s="33"/>
      <c r="D174" s="33"/>
      <c r="E174" s="33" t="s">
        <v>590</v>
      </c>
    </row>
    <row r="176" spans="1:6" ht="30" x14ac:dyDescent="0.25">
      <c r="B176" s="31" t="s">
        <v>591</v>
      </c>
      <c r="C176" s="31"/>
      <c r="D176" s="31"/>
    </row>
    <row r="177" spans="1:6" ht="45" x14ac:dyDescent="0.25">
      <c r="B177" s="15" t="s">
        <v>326</v>
      </c>
      <c r="C177" s="15" t="s">
        <v>327</v>
      </c>
      <c r="D177" s="15" t="s">
        <v>328</v>
      </c>
      <c r="E177" s="15" t="s">
        <v>592</v>
      </c>
    </row>
    <row r="178" spans="1:6" x14ac:dyDescent="0.25">
      <c r="A178" s="4" t="s">
        <v>172</v>
      </c>
      <c r="B178" s="39">
        <f>IF($B$120&gt;0,(Loads!$B$303*B$44+Loads!$C$303*B$85)/$B$120,0)</f>
        <v>6.758881985023249E-2</v>
      </c>
      <c r="C178" s="39">
        <f>IF($B$120&gt;0,(Loads!$B$303*C$44+Loads!$C$303*C$85)/$B$120,0)</f>
        <v>0.17389031813495912</v>
      </c>
      <c r="D178" s="39">
        <f>IF($B$120&gt;0,(Loads!$B$303*D$44+Loads!$C$303*D$85)/$B$120,0)</f>
        <v>0.75852086201480839</v>
      </c>
      <c r="E178" s="37">
        <f>IF($C$13&gt;0,$B178*Input!$F$58*24/$C$13,0)</f>
        <v>0.75907443831799581</v>
      </c>
      <c r="F178" s="17"/>
    </row>
    <row r="179" spans="1:6" x14ac:dyDescent="0.25">
      <c r="A179" s="4" t="s">
        <v>174</v>
      </c>
      <c r="B179" s="39">
        <f>IF($B$123&gt;0,(Loads!$B$306*B$47+Loads!$C$306*B$86)/$B$123,0)</f>
        <v>8.8000744961455074E-2</v>
      </c>
      <c r="C179" s="39">
        <f>IF($B$123&gt;0,(Loads!$B$306*C$47+Loads!$C$306*C$86)/$B$123,0)</f>
        <v>0.33132260736719038</v>
      </c>
      <c r="D179" s="39">
        <f>IF($B$123&gt;0,(Loads!$B$306*D$47+Loads!$C$306*D$86)/$B$123,0)</f>
        <v>0.58067664767135452</v>
      </c>
      <c r="E179" s="37">
        <f>IF($C$13&gt;0,$B179*Input!$F$58*24/$C$13,0)</f>
        <v>0.98831605879787998</v>
      </c>
      <c r="F179" s="17"/>
    </row>
    <row r="180" spans="1:6" x14ac:dyDescent="0.25">
      <c r="A180" s="4" t="s">
        <v>175</v>
      </c>
      <c r="B180" s="39">
        <f>IF($B$125&gt;0,(Loads!$B$308*B$49+Loads!$C$308*B$87)/$B$125,0)</f>
        <v>0</v>
      </c>
      <c r="C180" s="39">
        <f>IF($B$125&gt;0,(Loads!$B$308*C$49+Loads!$C$308*C$87)/$B$125,0)</f>
        <v>0</v>
      </c>
      <c r="D180" s="39">
        <f>IF($B$125&gt;0,(Loads!$B$308*D$49+Loads!$C$308*D$87)/$B$125,0)</f>
        <v>0</v>
      </c>
      <c r="E180" s="37">
        <f>IF($C$13&gt;0,$B180*Input!$F$58*24/$C$13,0)</f>
        <v>0</v>
      </c>
      <c r="F180" s="17"/>
    </row>
    <row r="181" spans="1:6" x14ac:dyDescent="0.25">
      <c r="A181" s="4" t="s">
        <v>176</v>
      </c>
      <c r="B181" s="39">
        <f>IF($B$126&gt;0,(Loads!$B$309*B$50+Loads!$C$309*B$88)/$B$126,0)</f>
        <v>0</v>
      </c>
      <c r="C181" s="39">
        <f>IF($B$126&gt;0,(Loads!$B$309*C$50+Loads!$C$309*C$88)/$B$126,0)</f>
        <v>0</v>
      </c>
      <c r="D181" s="39">
        <f>IF($B$126&gt;0,(Loads!$B$309*D$50+Loads!$C$309*D$88)/$B$126,0)</f>
        <v>0</v>
      </c>
      <c r="E181" s="37">
        <f>IF($C$13&gt;0,$B181*Input!$F$58*24/$C$13,0)</f>
        <v>0</v>
      </c>
      <c r="F181" s="17"/>
    </row>
    <row r="182" spans="1:6" x14ac:dyDescent="0.25">
      <c r="A182" s="4" t="s">
        <v>192</v>
      </c>
      <c r="B182" s="39">
        <f>IF($B$127&gt;0,(Loads!$B$310*B$51+Loads!$C$310*B$89)/$B$127,0)</f>
        <v>0.10271018396628268</v>
      </c>
      <c r="C182" s="39">
        <f>IF($B$127&gt;0,(Loads!$B$310*C$51+Loads!$C$310*C$89)/$B$127,0)</f>
        <v>0.38378930831245822</v>
      </c>
      <c r="D182" s="39">
        <f>IF($B$127&gt;0,(Loads!$B$310*D$51+Loads!$C$310*D$89)/$B$127,0)</f>
        <v>0.5135005077212591</v>
      </c>
      <c r="E182" s="37">
        <f>IF($C$13&gt;0,$B182*Input!$F$58*24/$C$13,0)</f>
        <v>1.1535143737751745</v>
      </c>
      <c r="F182" s="17"/>
    </row>
    <row r="184" spans="1:6" ht="21" customHeight="1" x14ac:dyDescent="0.3">
      <c r="A184" s="1" t="s">
        <v>593</v>
      </c>
    </row>
    <row r="185" spans="1:6" x14ac:dyDescent="0.25">
      <c r="A185" s="2" t="s">
        <v>350</v>
      </c>
    </row>
    <row r="186" spans="1:6" x14ac:dyDescent="0.25">
      <c r="A186" s="32" t="s">
        <v>573</v>
      </c>
    </row>
    <row r="187" spans="1:6" x14ac:dyDescent="0.25">
      <c r="A187" s="32" t="s">
        <v>574</v>
      </c>
    </row>
    <row r="188" spans="1:6" x14ac:dyDescent="0.25">
      <c r="A188" s="32" t="s">
        <v>575</v>
      </c>
    </row>
    <row r="189" spans="1:6" x14ac:dyDescent="0.25">
      <c r="A189" s="32" t="s">
        <v>584</v>
      </c>
    </row>
    <row r="190" spans="1:6" x14ac:dyDescent="0.25">
      <c r="A190" s="32" t="s">
        <v>585</v>
      </c>
    </row>
    <row r="191" spans="1:6" x14ac:dyDescent="0.25">
      <c r="A191" s="32" t="s">
        <v>594</v>
      </c>
    </row>
    <row r="192" spans="1:6" x14ac:dyDescent="0.25">
      <c r="A192" s="32" t="s">
        <v>595</v>
      </c>
    </row>
    <row r="193" spans="1:6" x14ac:dyDescent="0.25">
      <c r="A193" s="32" t="s">
        <v>596</v>
      </c>
    </row>
    <row r="194" spans="1:6" x14ac:dyDescent="0.25">
      <c r="A194" s="32" t="s">
        <v>597</v>
      </c>
    </row>
    <row r="195" spans="1:6" x14ac:dyDescent="0.25">
      <c r="A195" s="32" t="s">
        <v>598</v>
      </c>
    </row>
    <row r="196" spans="1:6" x14ac:dyDescent="0.25">
      <c r="A196" s="33" t="s">
        <v>353</v>
      </c>
      <c r="B196" s="33" t="s">
        <v>483</v>
      </c>
      <c r="C196" s="33"/>
      <c r="D196" s="33"/>
      <c r="E196" s="33" t="s">
        <v>483</v>
      </c>
    </row>
    <row r="197" spans="1:6" ht="30" x14ac:dyDescent="0.25">
      <c r="A197" s="33" t="s">
        <v>356</v>
      </c>
      <c r="B197" s="33" t="s">
        <v>599</v>
      </c>
      <c r="C197" s="33"/>
      <c r="D197" s="33"/>
      <c r="E197" s="33" t="s">
        <v>600</v>
      </c>
    </row>
    <row r="199" spans="1:6" ht="30" x14ac:dyDescent="0.25">
      <c r="B199" s="31" t="s">
        <v>601</v>
      </c>
      <c r="C199" s="31"/>
      <c r="D199" s="31"/>
    </row>
    <row r="200" spans="1:6" ht="45" x14ac:dyDescent="0.25">
      <c r="B200" s="15" t="s">
        <v>326</v>
      </c>
      <c r="C200" s="15" t="s">
        <v>327</v>
      </c>
      <c r="D200" s="15" t="s">
        <v>328</v>
      </c>
      <c r="E200" s="15" t="s">
        <v>602</v>
      </c>
    </row>
    <row r="201" spans="1:6" x14ac:dyDescent="0.25">
      <c r="A201" s="4" t="s">
        <v>177</v>
      </c>
      <c r="B201" s="39">
        <f>IF($B$128&gt;0,(Loads!$B$311*B$52+Loads!$C$311*B$90+Loads!$D$311*B$102)/$B$128,0)</f>
        <v>0</v>
      </c>
      <c r="C201" s="39">
        <f>IF($B$128&gt;0,(Loads!$B$311*C$52+Loads!$C$311*C$90+Loads!$D$311*C$102)/$B$128,0)</f>
        <v>0</v>
      </c>
      <c r="D201" s="39">
        <f>IF($B$128&gt;0,(Loads!$B$311*D$52+Loads!$C$311*D$90+Loads!$D$311*D$102)/$B$128,0)</f>
        <v>0</v>
      </c>
      <c r="E201" s="37">
        <f>IF($C$13&gt;0,$B201*Input!$F$58*24/$C$13,0)</f>
        <v>0</v>
      </c>
      <c r="F201" s="17"/>
    </row>
    <row r="202" spans="1:6" x14ac:dyDescent="0.25">
      <c r="A202" s="4" t="s">
        <v>178</v>
      </c>
      <c r="B202" s="39">
        <f>IF($B$129&gt;0,(Loads!$B$312*B$53+Loads!$C$312*B$91+Loads!$D$312*B$103)/$B$129,0)</f>
        <v>0.10922421748233643</v>
      </c>
      <c r="C202" s="39">
        <f>IF($B$129&gt;0,(Loads!$B$312*C$53+Loads!$C$312*C$91+Loads!$D$312*C$103)/$B$129,0)</f>
        <v>0.38762470572021201</v>
      </c>
      <c r="D202" s="39">
        <f>IF($B$129&gt;0,(Loads!$B$312*D$53+Loads!$C$312*D$91+Loads!$D$312*D$103)/$B$129,0)</f>
        <v>0.50315107679745164</v>
      </c>
      <c r="E202" s="37">
        <f>IF($C$13&gt;0,$B202*Input!$F$58*24/$C$13,0)</f>
        <v>1.2266719809554707</v>
      </c>
      <c r="F202" s="17"/>
    </row>
    <row r="203" spans="1:6" x14ac:dyDescent="0.25">
      <c r="A203" s="4" t="s">
        <v>179</v>
      </c>
      <c r="B203" s="39">
        <f>IF($B$130&gt;0,(Loads!$B$313*B$54+Loads!$C$313*B$92+Loads!$D$313*B$104)/$B$130,0)</f>
        <v>0.10900043569120334</v>
      </c>
      <c r="C203" s="39">
        <f>IF($B$130&gt;0,(Loads!$B$313*C$54+Loads!$C$313*C$92+Loads!$D$313*C$104)/$B$130,0)</f>
        <v>0.38756884220283605</v>
      </c>
      <c r="D203" s="39">
        <f>IF($B$130&gt;0,(Loads!$B$313*D$54+Loads!$C$313*D$92+Loads!$D$313*D$104)/$B$130,0)</f>
        <v>0.50343072210596063</v>
      </c>
      <c r="E203" s="37">
        <f>IF($C$13&gt;0,$B203*Input!$F$58*24/$C$13,0)</f>
        <v>1.2241587393012068</v>
      </c>
      <c r="F203" s="17"/>
    </row>
    <row r="204" spans="1:6" x14ac:dyDescent="0.25">
      <c r="A204" s="4" t="s">
        <v>180</v>
      </c>
      <c r="B204" s="39">
        <f>IF($B$131&gt;0,(Loads!$B$314*B$55+Loads!$C$314*B$93+Loads!$D$314*B$105)/$B$131,0)</f>
        <v>0.10535283179951409</v>
      </c>
      <c r="C204" s="39">
        <f>IF($B$131&gt;0,(Loads!$B$314*C$55+Loads!$C$314*C$93+Loads!$D$314*C$105)/$B$131,0)</f>
        <v>0.38282692860333234</v>
      </c>
      <c r="D204" s="39">
        <f>IF($B$131&gt;0,(Loads!$B$314*D$55+Loads!$C$314*D$93+Loads!$D$314*D$105)/$B$131,0)</f>
        <v>0.51182023959715373</v>
      </c>
      <c r="E204" s="37">
        <f>IF($C$13&gt;0,$B204*Input!$F$58*24/$C$13,0)</f>
        <v>1.1831933417483889</v>
      </c>
      <c r="F204" s="17"/>
    </row>
    <row r="205" spans="1:6" x14ac:dyDescent="0.25">
      <c r="A205" s="4" t="s">
        <v>193</v>
      </c>
      <c r="B205" s="39">
        <f>IF($B$132&gt;0,(Loads!$B$315*B$56+Loads!$C$315*B$94+Loads!$D$315*B$106)/$B$132,0)</f>
        <v>9.9827050932624714E-2</v>
      </c>
      <c r="C205" s="39">
        <f>IF($B$132&gt;0,(Loads!$B$315*C$56+Loads!$C$315*C$94+Loads!$D$315*C$106)/$B$132,0)</f>
        <v>0.34060465369161186</v>
      </c>
      <c r="D205" s="39">
        <f>IF($B$132&gt;0,(Loads!$B$315*D$56+Loads!$C$315*D$94+Loads!$D$315*D$106)/$B$132,0)</f>
        <v>0.55956829537576347</v>
      </c>
      <c r="E205" s="37">
        <f>IF($C$13&gt;0,$B205*Input!$F$58*24/$C$13,0)</f>
        <v>1.1211345720125543</v>
      </c>
      <c r="F205" s="17"/>
    </row>
    <row r="207" spans="1:6" ht="21" customHeight="1" x14ac:dyDescent="0.3">
      <c r="A207" s="1" t="s">
        <v>603</v>
      </c>
    </row>
    <row r="208" spans="1:6" x14ac:dyDescent="0.25">
      <c r="A208" s="2" t="s">
        <v>350</v>
      </c>
    </row>
    <row r="209" spans="1:4" x14ac:dyDescent="0.25">
      <c r="A209" s="32" t="s">
        <v>604</v>
      </c>
    </row>
    <row r="210" spans="1:4" x14ac:dyDescent="0.25">
      <c r="A210" s="32" t="s">
        <v>605</v>
      </c>
    </row>
    <row r="211" spans="1:4" x14ac:dyDescent="0.25">
      <c r="A211" s="32" t="s">
        <v>606</v>
      </c>
    </row>
    <row r="212" spans="1:4" x14ac:dyDescent="0.25">
      <c r="A212" s="32" t="s">
        <v>607</v>
      </c>
    </row>
    <row r="213" spans="1:4" x14ac:dyDescent="0.25">
      <c r="A213" s="32" t="s">
        <v>608</v>
      </c>
    </row>
    <row r="214" spans="1:4" x14ac:dyDescent="0.25">
      <c r="A214" s="33" t="s">
        <v>353</v>
      </c>
      <c r="B214" s="33" t="s">
        <v>517</v>
      </c>
      <c r="C214" s="33" t="s">
        <v>483</v>
      </c>
    </row>
    <row r="215" spans="1:4" ht="30" x14ac:dyDescent="0.25">
      <c r="A215" s="33" t="s">
        <v>356</v>
      </c>
      <c r="B215" s="33" t="s">
        <v>609</v>
      </c>
      <c r="C215" s="33" t="s">
        <v>610</v>
      </c>
    </row>
    <row r="217" spans="1:4" ht="75" x14ac:dyDescent="0.25">
      <c r="B217" s="15" t="s">
        <v>611</v>
      </c>
      <c r="C217" s="15" t="s">
        <v>612</v>
      </c>
    </row>
    <row r="218" spans="1:4" x14ac:dyDescent="0.25">
      <c r="A218" s="4" t="s">
        <v>171</v>
      </c>
      <c r="B218" s="38">
        <f>E$160</f>
        <v>1.4230837811342563</v>
      </c>
      <c r="C218" s="37">
        <f>IF($B218&lt;&gt;0,Loads!B$46/$B218,IF(Loads!B$46&lt;0,-1,1))</f>
        <v>1.4035668034517013</v>
      </c>
      <c r="D218" s="17"/>
    </row>
    <row r="219" spans="1:4" x14ac:dyDescent="0.25">
      <c r="A219" s="4" t="s">
        <v>172</v>
      </c>
      <c r="B219" s="38">
        <f>E$178</f>
        <v>0.75907443831799581</v>
      </c>
      <c r="C219" s="37">
        <f>IF($B219&lt;&gt;0,Loads!B$47/$B219,IF(Loads!B$47&lt;0,-1,1))</f>
        <v>1.5754629644109663</v>
      </c>
      <c r="D219" s="17"/>
    </row>
    <row r="220" spans="1:4" x14ac:dyDescent="0.25">
      <c r="A220" s="4" t="s">
        <v>213</v>
      </c>
      <c r="B220" s="10"/>
      <c r="C220" s="37">
        <f>IF($B220&lt;&gt;0,Loads!B$48/$B220,IF(Loads!B$48&lt;0,-1,1))</f>
        <v>1</v>
      </c>
      <c r="D220" s="17"/>
    </row>
    <row r="221" spans="1:4" x14ac:dyDescent="0.25">
      <c r="A221" s="4" t="s">
        <v>173</v>
      </c>
      <c r="B221" s="38">
        <f>E$161</f>
        <v>1.2272346059746893</v>
      </c>
      <c r="C221" s="37">
        <f>IF($B221&lt;&gt;0,Loads!B$49/$B221,IF(Loads!B$49&lt;0,-1,1))</f>
        <v>1.396142955915832</v>
      </c>
      <c r="D221" s="17"/>
    </row>
    <row r="222" spans="1:4" x14ac:dyDescent="0.25">
      <c r="A222" s="4" t="s">
        <v>174</v>
      </c>
      <c r="B222" s="38">
        <f>E$179</f>
        <v>0.98831605879787998</v>
      </c>
      <c r="C222" s="37">
        <f>IF($B222&lt;&gt;0,Loads!B$50/$B222,IF(Loads!B$50&lt;0,-1,1))</f>
        <v>1.3171012328356801</v>
      </c>
      <c r="D222" s="17"/>
    </row>
    <row r="223" spans="1:4" x14ac:dyDescent="0.25">
      <c r="A223" s="4" t="s">
        <v>214</v>
      </c>
      <c r="B223" s="10"/>
      <c r="C223" s="37">
        <f>IF($B223&lt;&gt;0,Loads!B$51/$B223,IF(Loads!B$51&lt;0,-1,1))</f>
        <v>1</v>
      </c>
      <c r="D223" s="17"/>
    </row>
    <row r="224" spans="1:4" x14ac:dyDescent="0.25">
      <c r="A224" s="4" t="s">
        <v>175</v>
      </c>
      <c r="B224" s="38">
        <f>E$180</f>
        <v>0</v>
      </c>
      <c r="C224" s="37">
        <f>IF($B224&lt;&gt;0,Loads!B$52/$B224,IF(Loads!B$52&lt;0,-1,1))</f>
        <v>1</v>
      </c>
      <c r="D224" s="17"/>
    </row>
    <row r="225" spans="1:4" x14ac:dyDescent="0.25">
      <c r="A225" s="4" t="s">
        <v>176</v>
      </c>
      <c r="B225" s="38">
        <f>E$181</f>
        <v>0</v>
      </c>
      <c r="C225" s="37">
        <f>IF($B225&lt;&gt;0,Loads!B$53/$B225,IF(Loads!B$53&lt;0,-1,1))</f>
        <v>1</v>
      </c>
      <c r="D225" s="17"/>
    </row>
    <row r="226" spans="1:4" x14ac:dyDescent="0.25">
      <c r="A226" s="4" t="s">
        <v>192</v>
      </c>
      <c r="B226" s="38">
        <f>E$182</f>
        <v>1.1535143737751745</v>
      </c>
      <c r="C226" s="37">
        <f>IF($B226&lt;&gt;0,Loads!B$54/$B226,IF(Loads!B$54&lt;0,-1,1))</f>
        <v>1.2634850782759686</v>
      </c>
      <c r="D226" s="17"/>
    </row>
    <row r="227" spans="1:4" x14ac:dyDescent="0.25">
      <c r="A227" s="4" t="s">
        <v>177</v>
      </c>
      <c r="B227" s="38">
        <f>E$201</f>
        <v>0</v>
      </c>
      <c r="C227" s="37">
        <f>IF($B227&lt;&gt;0,Loads!B$55/$B227,IF(Loads!B$55&lt;0,-1,1))</f>
        <v>1</v>
      </c>
      <c r="D227" s="17"/>
    </row>
    <row r="228" spans="1:4" x14ac:dyDescent="0.25">
      <c r="A228" s="4" t="s">
        <v>178</v>
      </c>
      <c r="B228" s="38">
        <f>E$202</f>
        <v>1.2266719809554707</v>
      </c>
      <c r="C228" s="37">
        <f>IF($B228&lt;&gt;0,Loads!B$56/$B228,IF(Loads!B$56&lt;0,-1,1))</f>
        <v>1.3967833104438552</v>
      </c>
      <c r="D228" s="17"/>
    </row>
    <row r="229" spans="1:4" x14ac:dyDescent="0.25">
      <c r="A229" s="4" t="s">
        <v>179</v>
      </c>
      <c r="B229" s="38">
        <f>E$203</f>
        <v>1.2241587393012068</v>
      </c>
      <c r="C229" s="37">
        <f>IF($B229&lt;&gt;0,Loads!B$57/$B229,IF(Loads!B$57&lt;0,-1,1))</f>
        <v>1.198620579126376</v>
      </c>
      <c r="D229" s="17"/>
    </row>
    <row r="230" spans="1:4" x14ac:dyDescent="0.25">
      <c r="A230" s="4" t="s">
        <v>180</v>
      </c>
      <c r="B230" s="38">
        <f>E$204</f>
        <v>1.1831933417483889</v>
      </c>
      <c r="C230" s="37">
        <f>IF($B230&lt;&gt;0,Loads!B$58/$B230,IF(Loads!B$58&lt;0,-1,1))</f>
        <v>1.1888735131352086</v>
      </c>
      <c r="D230" s="17"/>
    </row>
    <row r="231" spans="1:4" x14ac:dyDescent="0.25">
      <c r="A231" s="4" t="s">
        <v>193</v>
      </c>
      <c r="B231" s="38">
        <f>E$205</f>
        <v>1.1211345720125543</v>
      </c>
      <c r="C231" s="37">
        <f>IF($B231&lt;&gt;0,Loads!B$59/$B231,IF(Loads!B$59&lt;0,-1,1))</f>
        <v>1.0744121951833059</v>
      </c>
      <c r="D231" s="17"/>
    </row>
    <row r="232" spans="1:4" x14ac:dyDescent="0.25">
      <c r="A232" s="4" t="s">
        <v>184</v>
      </c>
      <c r="B232" s="10"/>
      <c r="C232" s="37">
        <f>IF($B232&lt;&gt;0,Loads!B$68/$B232,IF(Loads!B$68&lt;0,-1,1))</f>
        <v>-1</v>
      </c>
      <c r="D232" s="17"/>
    </row>
    <row r="233" spans="1:4" x14ac:dyDescent="0.25">
      <c r="A233" s="4" t="s">
        <v>186</v>
      </c>
      <c r="B233" s="10"/>
      <c r="C233" s="37">
        <f>IF($B233&lt;&gt;0,Loads!B$70/$B233,IF(Loads!B$70&lt;0,-1,1))</f>
        <v>-1</v>
      </c>
      <c r="D233" s="17"/>
    </row>
    <row r="234" spans="1:4" x14ac:dyDescent="0.25">
      <c r="A234" s="4" t="s">
        <v>195</v>
      </c>
      <c r="B234" s="10"/>
      <c r="C234" s="37">
        <f>IF($B234&lt;&gt;0,Loads!B$72/$B234,IF(Loads!B$72&lt;0,-1,1))</f>
        <v>-1</v>
      </c>
      <c r="D234" s="17"/>
    </row>
    <row r="236" spans="1:4" ht="21" customHeight="1" x14ac:dyDescent="0.3">
      <c r="A236" s="1" t="s">
        <v>613</v>
      </c>
    </row>
    <row r="237" spans="1:4" x14ac:dyDescent="0.25">
      <c r="A237" s="2" t="s">
        <v>350</v>
      </c>
    </row>
    <row r="238" spans="1:4" x14ac:dyDescent="0.25">
      <c r="A238" s="32" t="s">
        <v>614</v>
      </c>
    </row>
    <row r="239" spans="1:4" x14ac:dyDescent="0.25">
      <c r="A239" s="32" t="s">
        <v>615</v>
      </c>
    </row>
    <row r="240" spans="1:4" x14ac:dyDescent="0.25">
      <c r="A240" s="32" t="s">
        <v>616</v>
      </c>
    </row>
    <row r="241" spans="1:6" x14ac:dyDescent="0.25">
      <c r="A241" s="32" t="s">
        <v>617</v>
      </c>
    </row>
    <row r="242" spans="1:6" x14ac:dyDescent="0.25">
      <c r="A242" s="33" t="s">
        <v>353</v>
      </c>
      <c r="B242" s="33" t="s">
        <v>484</v>
      </c>
      <c r="C242" s="33" t="s">
        <v>483</v>
      </c>
      <c r="D242" s="33"/>
      <c r="E242" s="33"/>
    </row>
    <row r="243" spans="1:6" x14ac:dyDescent="0.25">
      <c r="A243" s="33" t="s">
        <v>356</v>
      </c>
      <c r="B243" s="33" t="s">
        <v>534</v>
      </c>
      <c r="C243" s="33" t="s">
        <v>618</v>
      </c>
      <c r="D243" s="33"/>
      <c r="E243" s="33"/>
    </row>
    <row r="245" spans="1:6" x14ac:dyDescent="0.25">
      <c r="C245" s="31" t="s">
        <v>620</v>
      </c>
      <c r="D245" s="31"/>
      <c r="E245" s="31"/>
    </row>
    <row r="246" spans="1:6" ht="30" x14ac:dyDescent="0.25">
      <c r="B246" s="15" t="s">
        <v>619</v>
      </c>
      <c r="C246" s="15" t="s">
        <v>326</v>
      </c>
      <c r="D246" s="15" t="s">
        <v>327</v>
      </c>
      <c r="E246" s="15" t="s">
        <v>328</v>
      </c>
    </row>
    <row r="247" spans="1:6" x14ac:dyDescent="0.25">
      <c r="A247" s="4" t="s">
        <v>139</v>
      </c>
      <c r="B247" s="39">
        <f>SUM(Input!$B360:$D360)</f>
        <v>0.99999999999999989</v>
      </c>
      <c r="C247" s="39">
        <f>IF($B247,Input!B360/$B247,Input!B$353/$B$13)</f>
        <v>0.89060887512899911</v>
      </c>
      <c r="D247" s="39">
        <f>IF($B247,Input!C360/$B247,Input!C$353/$B$13)</f>
        <v>9.1847265221878208E-2</v>
      </c>
      <c r="E247" s="39">
        <f>IF($B247,Input!D360/$B247,Input!D$353/$B$13)</f>
        <v>1.7543859649122803E-2</v>
      </c>
      <c r="F247" s="17"/>
    </row>
    <row r="248" spans="1:6" x14ac:dyDescent="0.25">
      <c r="A248" s="4" t="s">
        <v>140</v>
      </c>
      <c r="B248" s="39">
        <f>SUM(Input!$B361:$D361)</f>
        <v>1.0000000000000004</v>
      </c>
      <c r="C248" s="39">
        <f>IF($B248,Input!B361/$B248,Input!B$353/$B$13)</f>
        <v>0.7061666804479847</v>
      </c>
      <c r="D248" s="39">
        <f>IF($B248,Input!C361/$B248,Input!C$353/$B$13)</f>
        <v>0.22848047187232989</v>
      </c>
      <c r="E248" s="39">
        <f>IF($B248,Input!D361/$B248,Input!D$353/$B$13)</f>
        <v>6.5352847679685369E-2</v>
      </c>
      <c r="F248" s="17"/>
    </row>
    <row r="249" spans="1:6" x14ac:dyDescent="0.25">
      <c r="A249" s="4" t="s">
        <v>141</v>
      </c>
      <c r="B249" s="39">
        <f>SUM(Input!$B362:$D362)</f>
        <v>1.0000000000000004</v>
      </c>
      <c r="C249" s="39">
        <f>IF($B249,Input!B362/$B249,Input!B$353/$B$13)</f>
        <v>0.7061666804479847</v>
      </c>
      <c r="D249" s="39">
        <f>IF($B249,Input!C362/$B249,Input!C$353/$B$13)</f>
        <v>0.22848047187232989</v>
      </c>
      <c r="E249" s="39">
        <f>IF($B249,Input!D362/$B249,Input!D$353/$B$13)</f>
        <v>6.5352847679685369E-2</v>
      </c>
      <c r="F249" s="17"/>
    </row>
    <row r="250" spans="1:6" x14ac:dyDescent="0.25">
      <c r="A250" s="4" t="s">
        <v>142</v>
      </c>
      <c r="B250" s="39">
        <f>SUM(Input!$B363:$D363)</f>
        <v>1.0000000000000009</v>
      </c>
      <c r="C250" s="39">
        <f>IF($B250,Input!B363/$B250,Input!B$353/$B$13)</f>
        <v>0.59583098975643844</v>
      </c>
      <c r="D250" s="39">
        <f>IF($B250,Input!C363/$B250,Input!C$353/$B$13)</f>
        <v>0.31325770580257473</v>
      </c>
      <c r="E250" s="39">
        <f>IF($B250,Input!D363/$B250,Input!D$353/$B$13)</f>
        <v>9.0911304440986815E-2</v>
      </c>
      <c r="F250" s="17"/>
    </row>
    <row r="251" spans="1:6" x14ac:dyDescent="0.25">
      <c r="A251" s="4" t="s">
        <v>143</v>
      </c>
      <c r="B251" s="39">
        <f>SUM(Input!$B364:$D364)</f>
        <v>1.0000000000000009</v>
      </c>
      <c r="C251" s="39">
        <f>IF($B251,Input!B364/$B251,Input!B$353/$B$13)</f>
        <v>0.59583098975643844</v>
      </c>
      <c r="D251" s="39">
        <f>IF($B251,Input!C364/$B251,Input!C$353/$B$13)</f>
        <v>0.31325770580257473</v>
      </c>
      <c r="E251" s="39">
        <f>IF($B251,Input!D364/$B251,Input!D$353/$B$13)</f>
        <v>9.0911304440986815E-2</v>
      </c>
      <c r="F251" s="17"/>
    </row>
    <row r="252" spans="1:6" x14ac:dyDescent="0.25">
      <c r="A252" s="4" t="s">
        <v>148</v>
      </c>
      <c r="B252" s="39">
        <f>SUM(Input!$B365:$D365)</f>
        <v>0</v>
      </c>
      <c r="C252" s="39">
        <f>IF($B252,Input!B365/$B252,Input!B$353/$B$13)</f>
        <v>8.9041095890410954E-2</v>
      </c>
      <c r="D252" s="39">
        <f>IF($B252,Input!C365/$B252,Input!C$353/$B$13)</f>
        <v>0.2882420091324201</v>
      </c>
      <c r="E252" s="39">
        <f>IF($B252,Input!D365/$B252,Input!D$353/$B$13)</f>
        <v>0.62271689497716898</v>
      </c>
      <c r="F252" s="17"/>
    </row>
    <row r="253" spans="1:6" x14ac:dyDescent="0.25">
      <c r="A253" s="4" t="s">
        <v>144</v>
      </c>
      <c r="B253" s="39">
        <f>SUM(Input!$B366:$D366)</f>
        <v>1.0000000000000009</v>
      </c>
      <c r="C253" s="39">
        <f>IF($B253,Input!B366/$B253,Input!B$353/$B$13)</f>
        <v>0.59583098975643844</v>
      </c>
      <c r="D253" s="39">
        <f>IF($B253,Input!C366/$B253,Input!C$353/$B$13)</f>
        <v>0.31325770580257473</v>
      </c>
      <c r="E253" s="39">
        <f>IF($B253,Input!D366/$B253,Input!D$353/$B$13)</f>
        <v>9.0911304440986815E-2</v>
      </c>
      <c r="F253" s="17"/>
    </row>
    <row r="254" spans="1:6" x14ac:dyDescent="0.25">
      <c r="A254" s="4" t="s">
        <v>145</v>
      </c>
      <c r="B254" s="39">
        <f>SUM(Input!$B367:$D367)</f>
        <v>1.0000000000000009</v>
      </c>
      <c r="C254" s="39">
        <f>IF($B254,Input!B367/$B254,Input!B$353/$B$13)</f>
        <v>0.59583098975643844</v>
      </c>
      <c r="D254" s="39">
        <f>IF($B254,Input!C367/$B254,Input!C$353/$B$13)</f>
        <v>0.31325770580257473</v>
      </c>
      <c r="E254" s="39">
        <f>IF($B254,Input!D367/$B254,Input!D$353/$B$13)</f>
        <v>9.0911304440986815E-2</v>
      </c>
      <c r="F254" s="17"/>
    </row>
    <row r="255" spans="1:6" x14ac:dyDescent="0.25">
      <c r="A255" s="4" t="s">
        <v>146</v>
      </c>
      <c r="B255" s="39">
        <f>SUM(Input!$B368:$D368)</f>
        <v>1.0000000000000009</v>
      </c>
      <c r="C255" s="39">
        <f>IF($B255,Input!B368/$B255,Input!B$353/$B$13)</f>
        <v>0.59583098975643844</v>
      </c>
      <c r="D255" s="39">
        <f>IF($B255,Input!C368/$B255,Input!C$353/$B$13)</f>
        <v>0.31325770580257473</v>
      </c>
      <c r="E255" s="39">
        <f>IF($B255,Input!D368/$B255,Input!D$353/$B$13)</f>
        <v>9.0911304440986815E-2</v>
      </c>
      <c r="F255" s="17"/>
    </row>
    <row r="257" spans="1:38" ht="21" customHeight="1" x14ac:dyDescent="0.3">
      <c r="A257" s="1" t="s">
        <v>621</v>
      </c>
    </row>
    <row r="258" spans="1:38" x14ac:dyDescent="0.25">
      <c r="A258" s="2" t="s">
        <v>350</v>
      </c>
    </row>
    <row r="259" spans="1:38" x14ac:dyDescent="0.25">
      <c r="A259" s="32" t="s">
        <v>622</v>
      </c>
    </row>
    <row r="260" spans="1:38" x14ac:dyDescent="0.25">
      <c r="A260" s="2" t="s">
        <v>623</v>
      </c>
    </row>
    <row r="262" spans="1:38" x14ac:dyDescent="0.25">
      <c r="B262" s="29" t="s">
        <v>139</v>
      </c>
      <c r="C262" s="15" t="s">
        <v>326</v>
      </c>
      <c r="D262" s="15" t="s">
        <v>327</v>
      </c>
      <c r="E262" s="15" t="s">
        <v>328</v>
      </c>
      <c r="F262" s="29" t="s">
        <v>140</v>
      </c>
      <c r="G262" s="15" t="s">
        <v>326</v>
      </c>
      <c r="H262" s="15" t="s">
        <v>327</v>
      </c>
      <c r="I262" s="15" t="s">
        <v>328</v>
      </c>
      <c r="J262" s="29" t="s">
        <v>141</v>
      </c>
      <c r="K262" s="15" t="s">
        <v>326</v>
      </c>
      <c r="L262" s="15" t="s">
        <v>327</v>
      </c>
      <c r="M262" s="15" t="s">
        <v>328</v>
      </c>
      <c r="N262" s="29" t="s">
        <v>142</v>
      </c>
      <c r="O262" s="15" t="s">
        <v>326</v>
      </c>
      <c r="P262" s="15" t="s">
        <v>327</v>
      </c>
      <c r="Q262" s="15" t="s">
        <v>328</v>
      </c>
      <c r="R262" s="29" t="s">
        <v>143</v>
      </c>
      <c r="S262" s="15" t="s">
        <v>326</v>
      </c>
      <c r="T262" s="15" t="s">
        <v>327</v>
      </c>
      <c r="U262" s="15" t="s">
        <v>328</v>
      </c>
      <c r="V262" s="29" t="s">
        <v>148</v>
      </c>
      <c r="W262" s="15" t="s">
        <v>326</v>
      </c>
      <c r="X262" s="15" t="s">
        <v>327</v>
      </c>
      <c r="Y262" s="15" t="s">
        <v>328</v>
      </c>
      <c r="Z262" s="29" t="s">
        <v>144</v>
      </c>
      <c r="AA262" s="15" t="s">
        <v>326</v>
      </c>
      <c r="AB262" s="15" t="s">
        <v>327</v>
      </c>
      <c r="AC262" s="15" t="s">
        <v>328</v>
      </c>
      <c r="AD262" s="29" t="s">
        <v>145</v>
      </c>
      <c r="AE262" s="15" t="s">
        <v>326</v>
      </c>
      <c r="AF262" s="15" t="s">
        <v>327</v>
      </c>
      <c r="AG262" s="15" t="s">
        <v>328</v>
      </c>
      <c r="AH262" s="29" t="s">
        <v>146</v>
      </c>
      <c r="AI262" s="15" t="s">
        <v>326</v>
      </c>
      <c r="AJ262" s="15" t="s">
        <v>327</v>
      </c>
      <c r="AK262" s="15" t="s">
        <v>328</v>
      </c>
    </row>
    <row r="263" spans="1:38" x14ac:dyDescent="0.25">
      <c r="A263" s="4" t="s">
        <v>624</v>
      </c>
      <c r="C263" s="41">
        <f>C$247</f>
        <v>0.89060887512899911</v>
      </c>
      <c r="D263" s="41">
        <f>D$247</f>
        <v>9.1847265221878208E-2</v>
      </c>
      <c r="E263" s="41">
        <f>E$247</f>
        <v>1.7543859649122803E-2</v>
      </c>
      <c r="G263" s="41">
        <f>C$248</f>
        <v>0.7061666804479847</v>
      </c>
      <c r="H263" s="41">
        <f>D$248</f>
        <v>0.22848047187232989</v>
      </c>
      <c r="I263" s="41">
        <f>E$248</f>
        <v>6.5352847679685369E-2</v>
      </c>
      <c r="K263" s="41">
        <f>C$249</f>
        <v>0.7061666804479847</v>
      </c>
      <c r="L263" s="41">
        <f>D$249</f>
        <v>0.22848047187232989</v>
      </c>
      <c r="M263" s="41">
        <f>E$249</f>
        <v>6.5352847679685369E-2</v>
      </c>
      <c r="O263" s="41">
        <f>C$250</f>
        <v>0.59583098975643844</v>
      </c>
      <c r="P263" s="41">
        <f>D$250</f>
        <v>0.31325770580257473</v>
      </c>
      <c r="Q263" s="41">
        <f>E$250</f>
        <v>9.0911304440986815E-2</v>
      </c>
      <c r="S263" s="41">
        <f>C$251</f>
        <v>0.59583098975643844</v>
      </c>
      <c r="T263" s="41">
        <f>D$251</f>
        <v>0.31325770580257473</v>
      </c>
      <c r="U263" s="41">
        <f>E$251</f>
        <v>9.0911304440986815E-2</v>
      </c>
      <c r="W263" s="41">
        <f>C$252</f>
        <v>8.9041095890410954E-2</v>
      </c>
      <c r="X263" s="41">
        <f>D$252</f>
        <v>0.2882420091324201</v>
      </c>
      <c r="Y263" s="41">
        <f>E$252</f>
        <v>0.62271689497716898</v>
      </c>
      <c r="AA263" s="41">
        <f>C$253</f>
        <v>0.59583098975643844</v>
      </c>
      <c r="AB263" s="41">
        <f>D$253</f>
        <v>0.31325770580257473</v>
      </c>
      <c r="AC263" s="41">
        <f>E$253</f>
        <v>9.0911304440986815E-2</v>
      </c>
      <c r="AE263" s="41">
        <f>C$254</f>
        <v>0.59583098975643844</v>
      </c>
      <c r="AF263" s="41">
        <f>D$254</f>
        <v>0.31325770580257473</v>
      </c>
      <c r="AG263" s="41">
        <f>E$254</f>
        <v>9.0911304440986815E-2</v>
      </c>
      <c r="AI263" s="41">
        <f>C$255</f>
        <v>0.59583098975643844</v>
      </c>
      <c r="AJ263" s="41">
        <f>D$255</f>
        <v>0.31325770580257473</v>
      </c>
      <c r="AK263" s="41">
        <f>E$255</f>
        <v>9.0911304440986815E-2</v>
      </c>
      <c r="AL263" s="17"/>
    </row>
    <row r="265" spans="1:38" ht="21" customHeight="1" x14ac:dyDescent="0.3">
      <c r="A265" s="1" t="s">
        <v>625</v>
      </c>
    </row>
    <row r="266" spans="1:38" x14ac:dyDescent="0.25">
      <c r="A266" s="2" t="s">
        <v>350</v>
      </c>
    </row>
    <row r="267" spans="1:38" x14ac:dyDescent="0.25">
      <c r="A267" s="32" t="s">
        <v>626</v>
      </c>
    </row>
    <row r="268" spans="1:38" x14ac:dyDescent="0.25">
      <c r="A268" s="32" t="s">
        <v>627</v>
      </c>
    </row>
    <row r="269" spans="1:38" x14ac:dyDescent="0.25">
      <c r="A269" s="32" t="s">
        <v>628</v>
      </c>
    </row>
    <row r="270" spans="1:38" x14ac:dyDescent="0.25">
      <c r="A270" s="32" t="s">
        <v>551</v>
      </c>
    </row>
    <row r="271" spans="1:38" x14ac:dyDescent="0.25">
      <c r="A271" s="2" t="s">
        <v>629</v>
      </c>
    </row>
    <row r="273" spans="1:38" x14ac:dyDescent="0.25">
      <c r="B273" s="29" t="s">
        <v>139</v>
      </c>
      <c r="C273" s="15" t="s">
        <v>326</v>
      </c>
      <c r="D273" s="15" t="s">
        <v>327</v>
      </c>
      <c r="E273" s="15" t="s">
        <v>328</v>
      </c>
      <c r="F273" s="29" t="s">
        <v>140</v>
      </c>
      <c r="G273" s="15" t="s">
        <v>326</v>
      </c>
      <c r="H273" s="15" t="s">
        <v>327</v>
      </c>
      <c r="I273" s="15" t="s">
        <v>328</v>
      </c>
      <c r="J273" s="29" t="s">
        <v>141</v>
      </c>
      <c r="K273" s="15" t="s">
        <v>326</v>
      </c>
      <c r="L273" s="15" t="s">
        <v>327</v>
      </c>
      <c r="M273" s="15" t="s">
        <v>328</v>
      </c>
      <c r="N273" s="29" t="s">
        <v>142</v>
      </c>
      <c r="O273" s="15" t="s">
        <v>326</v>
      </c>
      <c r="P273" s="15" t="s">
        <v>327</v>
      </c>
      <c r="Q273" s="15" t="s">
        <v>328</v>
      </c>
      <c r="R273" s="29" t="s">
        <v>143</v>
      </c>
      <c r="S273" s="15" t="s">
        <v>326</v>
      </c>
      <c r="T273" s="15" t="s">
        <v>327</v>
      </c>
      <c r="U273" s="15" t="s">
        <v>328</v>
      </c>
      <c r="V273" s="29" t="s">
        <v>148</v>
      </c>
      <c r="W273" s="15" t="s">
        <v>326</v>
      </c>
      <c r="X273" s="15" t="s">
        <v>327</v>
      </c>
      <c r="Y273" s="15" t="s">
        <v>328</v>
      </c>
      <c r="Z273" s="29" t="s">
        <v>144</v>
      </c>
      <c r="AA273" s="15" t="s">
        <v>326</v>
      </c>
      <c r="AB273" s="15" t="s">
        <v>327</v>
      </c>
      <c r="AC273" s="15" t="s">
        <v>328</v>
      </c>
      <c r="AD273" s="29" t="s">
        <v>145</v>
      </c>
      <c r="AE273" s="15" t="s">
        <v>326</v>
      </c>
      <c r="AF273" s="15" t="s">
        <v>327</v>
      </c>
      <c r="AG273" s="15" t="s">
        <v>328</v>
      </c>
      <c r="AH273" s="29" t="s">
        <v>146</v>
      </c>
      <c r="AI273" s="15" t="s">
        <v>326</v>
      </c>
      <c r="AJ273" s="15" t="s">
        <v>327</v>
      </c>
      <c r="AK273" s="15" t="s">
        <v>328</v>
      </c>
    </row>
    <row r="274" spans="1:38" x14ac:dyDescent="0.25">
      <c r="A274" s="4" t="s">
        <v>171</v>
      </c>
      <c r="C274" s="37">
        <f>IF(C$13&gt;0,$C218*C$263*24*Input!$F$58/C$13,0)</f>
        <v>14.038787814662816</v>
      </c>
      <c r="D274" s="37">
        <f>IF(D$13&gt;0,$C218*D$263*24*Input!$F$58/D$13,0)</f>
        <v>0.44724144423385709</v>
      </c>
      <c r="E274" s="37">
        <f>IF(E$13&gt;0,$C218*E$263*24*Input!$F$58/E$13,0)</f>
        <v>3.9542815052139198E-2</v>
      </c>
      <c r="G274" s="37">
        <f>IF(C$13&gt;0,$C218*G$263*24*Input!$F$58/C$13,0)</f>
        <v>11.13140062427305</v>
      </c>
      <c r="H274" s="37">
        <f>IF(D$13&gt;0,$C218*H$263*24*Input!$F$58/D$13,0)</f>
        <v>1.1125637325462043</v>
      </c>
      <c r="I274" s="37">
        <f>IF(E$13&gt;0,$C218*I$263*24*Input!$F$58/E$13,0)</f>
        <v>0.14730142742892013</v>
      </c>
      <c r="K274" s="37">
        <f>IF(C$13&gt;0,$C218*K$263*24*Input!$F$58/C$13,0)</f>
        <v>11.13140062427305</v>
      </c>
      <c r="L274" s="37">
        <f>IF(D$13&gt;0,$C218*L$263*24*Input!$F$58/D$13,0)</f>
        <v>1.1125637325462043</v>
      </c>
      <c r="M274" s="37">
        <f>IF(E$13&gt;0,$C218*M$263*24*Input!$F$58/E$13,0)</f>
        <v>0.14730142742892013</v>
      </c>
      <c r="O274" s="37">
        <f>IF(C$13&gt;0,$C218*O$263*24*Input!$F$58/C$13,0)</f>
        <v>9.3921642509789631</v>
      </c>
      <c r="P274" s="37">
        <f>IF(D$13&gt;0,$C218*P$263*24*Input!$F$58/D$13,0)</f>
        <v>1.5253783378533921</v>
      </c>
      <c r="Q274" s="37">
        <f>IF(E$13&gt;0,$C218*Q$263*24*Input!$F$58/E$13,0)</f>
        <v>0.20490866716654377</v>
      </c>
      <c r="S274" s="37">
        <f>IF(C$13&gt;0,$C218*S$263*24*Input!$F$58/C$13,0)</f>
        <v>9.3921642509789631</v>
      </c>
      <c r="T274" s="37">
        <f>IF(D$13&gt;0,$C218*T$263*24*Input!$F$58/D$13,0)</f>
        <v>1.5253783378533921</v>
      </c>
      <c r="U274" s="37">
        <f>IF(E$13&gt;0,$C218*U$263*24*Input!$F$58/E$13,0)</f>
        <v>0.20490866716654377</v>
      </c>
      <c r="W274" s="37">
        <f>IF(C$13&gt;0,$C218*W$263*24*Input!$F$58/C$13,0)</f>
        <v>1.4035668034517013</v>
      </c>
      <c r="X274" s="37">
        <f>IF(D$13&gt;0,$C218*X$263*24*Input!$F$58/D$13,0)</f>
        <v>1.4035668034517013</v>
      </c>
      <c r="Y274" s="37">
        <f>IF(E$13&gt;0,$C218*Y$263*24*Input!$F$58/E$13,0)</f>
        <v>1.4035668034517013</v>
      </c>
      <c r="AA274" s="37">
        <f>IF(C$13&gt;0,$C218*AA$263*24*Input!$F$58/C$13,0)</f>
        <v>9.3921642509789631</v>
      </c>
      <c r="AB274" s="37">
        <f>IF(D$13&gt;0,$C218*AB$263*24*Input!$F$58/D$13,0)</f>
        <v>1.5253783378533921</v>
      </c>
      <c r="AC274" s="37">
        <f>IF(E$13&gt;0,$C218*AC$263*24*Input!$F$58/E$13,0)</f>
        <v>0.20490866716654377</v>
      </c>
      <c r="AE274" s="37">
        <f>IF(C$13&gt;0,$C218*AE$263*24*Input!$F$58/C$13,0)</f>
        <v>9.3921642509789631</v>
      </c>
      <c r="AF274" s="37">
        <f>IF(D$13&gt;0,$C218*AF$263*24*Input!$F$58/D$13,0)</f>
        <v>1.5253783378533921</v>
      </c>
      <c r="AG274" s="37">
        <f>IF(E$13&gt;0,$C218*AG$263*24*Input!$F$58/E$13,0)</f>
        <v>0.20490866716654377</v>
      </c>
      <c r="AI274" s="37">
        <f>IF(C$13&gt;0,$C218*AI$263*24*Input!$F$58/C$13,0)</f>
        <v>9.3921642509789631</v>
      </c>
      <c r="AJ274" s="37">
        <f>IF(D$13&gt;0,$C218*AJ$263*24*Input!$F$58/D$13,0)</f>
        <v>1.5253783378533921</v>
      </c>
      <c r="AK274" s="37">
        <f>IF(E$13&gt;0,$C218*AK$263*24*Input!$F$58/E$13,0)</f>
        <v>0.20490866716654377</v>
      </c>
      <c r="AL274" s="17"/>
    </row>
    <row r="275" spans="1:38" x14ac:dyDescent="0.25">
      <c r="A275" s="4" t="s">
        <v>172</v>
      </c>
      <c r="C275" s="37">
        <f>IF(C$13&gt;0,$C219*C$263*24*Input!$F$58/C$13,0)</f>
        <v>15.758131506696277</v>
      </c>
      <c r="D275" s="37">
        <f>IF(D$13&gt;0,$C219*D$263*24*Input!$F$58/D$13,0)</f>
        <v>0.50201552915565328</v>
      </c>
      <c r="E275" s="37">
        <f>IF(E$13&gt;0,$C219*E$263*24*Input!$F$58/E$13,0)</f>
        <v>4.4385661209706412E-2</v>
      </c>
      <c r="G275" s="37">
        <f>IF(C$13&gt;0,$C219*G$263*24*Input!$F$58/C$13,0)</f>
        <v>12.494673842695207</v>
      </c>
      <c r="H275" s="37">
        <f>IF(D$13&gt;0,$C219*H$263*24*Input!$F$58/D$13,0)</f>
        <v>1.2488204707198953</v>
      </c>
      <c r="I275" s="37">
        <f>IF(E$13&gt;0,$C219*I$263*24*Input!$F$58/E$13,0)</f>
        <v>0.16534157330340357</v>
      </c>
      <c r="K275" s="37">
        <f>IF(C$13&gt;0,$C219*K$263*24*Input!$F$58/C$13,0)</f>
        <v>12.494673842695207</v>
      </c>
      <c r="L275" s="37">
        <f>IF(D$13&gt;0,$C219*L$263*24*Input!$F$58/D$13,0)</f>
        <v>1.2488204707198953</v>
      </c>
      <c r="M275" s="37">
        <f>IF(E$13&gt;0,$C219*M$263*24*Input!$F$58/E$13,0)</f>
        <v>0.16534157330340357</v>
      </c>
      <c r="O275" s="37">
        <f>IF(C$13&gt;0,$C219*O$263*24*Input!$F$58/C$13,0)</f>
        <v>10.542431537061647</v>
      </c>
      <c r="P275" s="37">
        <f>IF(D$13&gt;0,$C219*P$263*24*Input!$F$58/D$13,0)</f>
        <v>1.712192873251775</v>
      </c>
      <c r="Q275" s="37">
        <f>IF(E$13&gt;0,$C219*Q$263*24*Input!$F$58/E$13,0)</f>
        <v>0.2300040264658568</v>
      </c>
      <c r="S275" s="37">
        <f>IF(C$13&gt;0,$C219*S$263*24*Input!$F$58/C$13,0)</f>
        <v>10.542431537061647</v>
      </c>
      <c r="T275" s="37">
        <f>IF(D$13&gt;0,$C219*T$263*24*Input!$F$58/D$13,0)</f>
        <v>1.712192873251775</v>
      </c>
      <c r="U275" s="37">
        <f>IF(E$13&gt;0,$C219*U$263*24*Input!$F$58/E$13,0)</f>
        <v>0.2300040264658568</v>
      </c>
      <c r="W275" s="37">
        <f>IF(C$13&gt;0,$C219*W$263*24*Input!$F$58/C$13,0)</f>
        <v>1.5754629644109663</v>
      </c>
      <c r="X275" s="37">
        <f>IF(D$13&gt;0,$C219*X$263*24*Input!$F$58/D$13,0)</f>
        <v>1.5754629644109663</v>
      </c>
      <c r="Y275" s="37">
        <f>IF(E$13&gt;0,$C219*Y$263*24*Input!$F$58/E$13,0)</f>
        <v>1.5754629644109663</v>
      </c>
      <c r="AA275" s="37">
        <f>IF(C$13&gt;0,$C219*AA$263*24*Input!$F$58/C$13,0)</f>
        <v>10.542431537061647</v>
      </c>
      <c r="AB275" s="37">
        <f>IF(D$13&gt;0,$C219*AB$263*24*Input!$F$58/D$13,0)</f>
        <v>1.712192873251775</v>
      </c>
      <c r="AC275" s="37">
        <f>IF(E$13&gt;0,$C219*AC$263*24*Input!$F$58/E$13,0)</f>
        <v>0.2300040264658568</v>
      </c>
      <c r="AE275" s="37">
        <f>IF(C$13&gt;0,$C219*AE$263*24*Input!$F$58/C$13,0)</f>
        <v>10.542431537061647</v>
      </c>
      <c r="AF275" s="37">
        <f>IF(D$13&gt;0,$C219*AF$263*24*Input!$F$58/D$13,0)</f>
        <v>1.712192873251775</v>
      </c>
      <c r="AG275" s="37">
        <f>IF(E$13&gt;0,$C219*AG$263*24*Input!$F$58/E$13,0)</f>
        <v>0.2300040264658568</v>
      </c>
      <c r="AI275" s="37">
        <f>IF(C$13&gt;0,$C219*AI$263*24*Input!$F$58/C$13,0)</f>
        <v>10.542431537061647</v>
      </c>
      <c r="AJ275" s="37">
        <f>IF(D$13&gt;0,$C219*AJ$263*24*Input!$F$58/D$13,0)</f>
        <v>1.712192873251775</v>
      </c>
      <c r="AK275" s="37">
        <f>IF(E$13&gt;0,$C219*AK$263*24*Input!$F$58/E$13,0)</f>
        <v>0.2300040264658568</v>
      </c>
      <c r="AL275" s="17"/>
    </row>
    <row r="276" spans="1:38" x14ac:dyDescent="0.25">
      <c r="A276" s="4" t="s">
        <v>213</v>
      </c>
      <c r="C276" s="37">
        <f>IF(C$13&gt;0,$C220*C$263*24*Input!$F$58/C$13,0)</f>
        <v>10.002222751448761</v>
      </c>
      <c r="D276" s="37">
        <f>IF(D$13&gt;0,$C220*D$263*24*Input!$F$58/D$13,0)</f>
        <v>0.3186463537994666</v>
      </c>
      <c r="E276" s="37">
        <f>IF(E$13&gt;0,$C220*E$263*24*Input!$F$58/E$13,0)</f>
        <v>2.8173090838921312E-2</v>
      </c>
      <c r="G276" s="37">
        <f>IF(C$13&gt;0,$C220*G$263*24*Input!$F$58/C$13,0)</f>
        <v>7.9307950265696743</v>
      </c>
      <c r="H276" s="37">
        <f>IF(D$13&gt;0,$C220*H$263*24*Input!$F$58/D$13,0)</f>
        <v>0.79266888459469698</v>
      </c>
      <c r="I276" s="37">
        <f>IF(E$13&gt;0,$C220*I$263*24*Input!$F$58/E$13,0)</f>
        <v>0.10494792771293197</v>
      </c>
      <c r="K276" s="37">
        <f>IF(C$13&gt;0,$C220*K$263*24*Input!$F$58/C$13,0)</f>
        <v>7.9307950265696743</v>
      </c>
      <c r="L276" s="37">
        <f>IF(D$13&gt;0,$C220*L$263*24*Input!$F$58/D$13,0)</f>
        <v>0.79266888459469698</v>
      </c>
      <c r="M276" s="37">
        <f>IF(E$13&gt;0,$C220*M$263*24*Input!$F$58/E$13,0)</f>
        <v>0.10494792771293197</v>
      </c>
      <c r="O276" s="37">
        <f>IF(C$13&gt;0,$C220*O$263*24*Input!$F$58/C$13,0)</f>
        <v>6.6916403464953857</v>
      </c>
      <c r="P276" s="37">
        <f>IF(D$13&gt;0,$C220*P$263*24*Input!$F$58/D$13,0)</f>
        <v>1.0867871298338831</v>
      </c>
      <c r="Q276" s="37">
        <f>IF(E$13&gt;0,$C220*Q$263*24*Input!$F$58/E$13,0)</f>
        <v>0.14599138898314287</v>
      </c>
      <c r="S276" s="37">
        <f>IF(C$13&gt;0,$C220*S$263*24*Input!$F$58/C$13,0)</f>
        <v>6.6916403464953857</v>
      </c>
      <c r="T276" s="37">
        <f>IF(D$13&gt;0,$C220*T$263*24*Input!$F$58/D$13,0)</f>
        <v>1.0867871298338831</v>
      </c>
      <c r="U276" s="37">
        <f>IF(E$13&gt;0,$C220*U$263*24*Input!$F$58/E$13,0)</f>
        <v>0.14599138898314287</v>
      </c>
      <c r="W276" s="37">
        <f>IF(C$13&gt;0,$C220*W$263*24*Input!$F$58/C$13,0)</f>
        <v>0.99999999999999989</v>
      </c>
      <c r="X276" s="37">
        <f>IF(D$13&gt;0,$C220*X$263*24*Input!$F$58/D$13,0)</f>
        <v>1</v>
      </c>
      <c r="Y276" s="37">
        <f>IF(E$13&gt;0,$C220*Y$263*24*Input!$F$58/E$13,0)</f>
        <v>1.0000000000000002</v>
      </c>
      <c r="AA276" s="37">
        <f>IF(C$13&gt;0,$C220*AA$263*24*Input!$F$58/C$13,0)</f>
        <v>6.6916403464953857</v>
      </c>
      <c r="AB276" s="37">
        <f>IF(D$13&gt;0,$C220*AB$263*24*Input!$F$58/D$13,0)</f>
        <v>1.0867871298338831</v>
      </c>
      <c r="AC276" s="37">
        <f>IF(E$13&gt;0,$C220*AC$263*24*Input!$F$58/E$13,0)</f>
        <v>0.14599138898314287</v>
      </c>
      <c r="AE276" s="37">
        <f>IF(C$13&gt;0,$C220*AE$263*24*Input!$F$58/C$13,0)</f>
        <v>6.6916403464953857</v>
      </c>
      <c r="AF276" s="37">
        <f>IF(D$13&gt;0,$C220*AF$263*24*Input!$F$58/D$13,0)</f>
        <v>1.0867871298338831</v>
      </c>
      <c r="AG276" s="37">
        <f>IF(E$13&gt;0,$C220*AG$263*24*Input!$F$58/E$13,0)</f>
        <v>0.14599138898314287</v>
      </c>
      <c r="AI276" s="37">
        <f>IF(C$13&gt;0,$C220*AI$263*24*Input!$F$58/C$13,0)</f>
        <v>6.6916403464953857</v>
      </c>
      <c r="AJ276" s="37">
        <f>IF(D$13&gt;0,$C220*AJ$263*24*Input!$F$58/D$13,0)</f>
        <v>1.0867871298338831</v>
      </c>
      <c r="AK276" s="37">
        <f>IF(E$13&gt;0,$C220*AK$263*24*Input!$F$58/E$13,0)</f>
        <v>0.14599138898314287</v>
      </c>
      <c r="AL276" s="17"/>
    </row>
    <row r="277" spans="1:38" x14ac:dyDescent="0.25">
      <c r="A277" s="4" t="s">
        <v>173</v>
      </c>
      <c r="C277" s="37">
        <f>IF(C$13&gt;0,$C221*C$263*24*Input!$F$58/C$13,0)</f>
        <v>13.964532837936257</v>
      </c>
      <c r="D277" s="37">
        <f>IF(D$13&gt;0,$C221*D$263*24*Input!$F$58/D$13,0)</f>
        <v>0.44487586228538928</v>
      </c>
      <c r="E277" s="37">
        <f>IF(E$13&gt;0,$C221*E$263*24*Input!$F$58/E$13,0)</f>
        <v>3.9333662321136852E-2</v>
      </c>
      <c r="G277" s="37">
        <f>IF(C$13&gt;0,$C221*G$263*24*Input!$F$58/C$13,0)</f>
        <v>11.072523611157564</v>
      </c>
      <c r="H277" s="37">
        <f>IF(D$13&gt;0,$C221*H$263*24*Input!$F$58/D$13,0)</f>
        <v>1.1066790796005457</v>
      </c>
      <c r="I277" s="37">
        <f>IF(E$13&gt;0,$C221*I$263*24*Input!$F$58/E$13,0)</f>
        <v>0.14652231001437388</v>
      </c>
      <c r="K277" s="37">
        <f>IF(C$13&gt;0,$C221*K$263*24*Input!$F$58/C$13,0)</f>
        <v>11.072523611157564</v>
      </c>
      <c r="L277" s="37">
        <f>IF(D$13&gt;0,$C221*L$263*24*Input!$F$58/D$13,0)</f>
        <v>1.1066790796005457</v>
      </c>
      <c r="M277" s="37">
        <f>IF(E$13&gt;0,$C221*M$263*24*Input!$F$58/E$13,0)</f>
        <v>0.14652231001437388</v>
      </c>
      <c r="O277" s="37">
        <f>IF(C$13&gt;0,$C221*O$263*24*Input!$F$58/C$13,0)</f>
        <v>9.3424865332817095</v>
      </c>
      <c r="P277" s="37">
        <f>IF(D$13&gt;0,$C221*P$263*24*Input!$F$58/D$13,0)</f>
        <v>1.5173101958975603</v>
      </c>
      <c r="Q277" s="37">
        <f>IF(E$13&gt;0,$C221*Q$263*24*Input!$F$58/E$13,0)</f>
        <v>0.20382484935318312</v>
      </c>
      <c r="S277" s="37">
        <f>IF(C$13&gt;0,$C221*S$263*24*Input!$F$58/C$13,0)</f>
        <v>9.3424865332817095</v>
      </c>
      <c r="T277" s="37">
        <f>IF(D$13&gt;0,$C221*T$263*24*Input!$F$58/D$13,0)</f>
        <v>1.5173101958975603</v>
      </c>
      <c r="U277" s="37">
        <f>IF(E$13&gt;0,$C221*U$263*24*Input!$F$58/E$13,0)</f>
        <v>0.20382484935318312</v>
      </c>
      <c r="W277" s="37">
        <f>IF(C$13&gt;0,$C221*W$263*24*Input!$F$58/C$13,0)</f>
        <v>1.3961429559158318</v>
      </c>
      <c r="X277" s="37">
        <f>IF(D$13&gt;0,$C221*X$263*24*Input!$F$58/D$13,0)</f>
        <v>1.396142955915832</v>
      </c>
      <c r="Y277" s="37">
        <f>IF(E$13&gt;0,$C221*Y$263*24*Input!$F$58/E$13,0)</f>
        <v>1.3961429559158323</v>
      </c>
      <c r="AA277" s="37">
        <f>IF(C$13&gt;0,$C221*AA$263*24*Input!$F$58/C$13,0)</f>
        <v>9.3424865332817095</v>
      </c>
      <c r="AB277" s="37">
        <f>IF(D$13&gt;0,$C221*AB$263*24*Input!$F$58/D$13,0)</f>
        <v>1.5173101958975603</v>
      </c>
      <c r="AC277" s="37">
        <f>IF(E$13&gt;0,$C221*AC$263*24*Input!$F$58/E$13,0)</f>
        <v>0.20382484935318312</v>
      </c>
      <c r="AE277" s="37">
        <f>IF(C$13&gt;0,$C221*AE$263*24*Input!$F$58/C$13,0)</f>
        <v>9.3424865332817095</v>
      </c>
      <c r="AF277" s="37">
        <f>IF(D$13&gt;0,$C221*AF$263*24*Input!$F$58/D$13,0)</f>
        <v>1.5173101958975603</v>
      </c>
      <c r="AG277" s="37">
        <f>IF(E$13&gt;0,$C221*AG$263*24*Input!$F$58/E$13,0)</f>
        <v>0.20382484935318312</v>
      </c>
      <c r="AI277" s="37">
        <f>IF(C$13&gt;0,$C221*AI$263*24*Input!$F$58/C$13,0)</f>
        <v>9.3424865332817095</v>
      </c>
      <c r="AJ277" s="37">
        <f>IF(D$13&gt;0,$C221*AJ$263*24*Input!$F$58/D$13,0)</f>
        <v>1.5173101958975603</v>
      </c>
      <c r="AK277" s="37">
        <f>IF(E$13&gt;0,$C221*AK$263*24*Input!$F$58/E$13,0)</f>
        <v>0.20382484935318312</v>
      </c>
      <c r="AL277" s="17"/>
    </row>
    <row r="278" spans="1:38" x14ac:dyDescent="0.25">
      <c r="A278" s="4" t="s">
        <v>174</v>
      </c>
      <c r="C278" s="37">
        <f>IF(C$13&gt;0,$C222*C$263*24*Input!$F$58/C$13,0)</f>
        <v>13.173939917030248</v>
      </c>
      <c r="D278" s="37">
        <f>IF(D$13&gt;0,$C222*D$263*24*Input!$F$58/D$13,0)</f>
        <v>0.41968950542787176</v>
      </c>
      <c r="E278" s="37">
        <f>IF(E$13&gt;0,$C222*E$263*24*Input!$F$58/E$13,0)</f>
        <v>3.7106812676734859E-2</v>
      </c>
      <c r="G278" s="37">
        <f>IF(C$13&gt;0,$C222*G$263*24*Input!$F$58/C$13,0)</f>
        <v>10.445659906862</v>
      </c>
      <c r="H278" s="37">
        <f>IF(D$13&gt;0,$C222*H$263*24*Input!$F$58/D$13,0)</f>
        <v>1.0440251651301589</v>
      </c>
      <c r="I278" s="37">
        <f>IF(E$13&gt;0,$C222*I$263*24*Input!$F$58/E$13,0)</f>
        <v>0.13822704497425251</v>
      </c>
      <c r="K278" s="37">
        <f>IF(C$13&gt;0,$C222*K$263*24*Input!$F$58/C$13,0)</f>
        <v>10.445659906862</v>
      </c>
      <c r="L278" s="37">
        <f>IF(D$13&gt;0,$C222*L$263*24*Input!$F$58/D$13,0)</f>
        <v>1.0440251651301589</v>
      </c>
      <c r="M278" s="37">
        <f>IF(E$13&gt;0,$C222*M$263*24*Input!$F$58/E$13,0)</f>
        <v>0.13822704497425251</v>
      </c>
      <c r="O278" s="37">
        <f>IF(C$13&gt;0,$C222*O$263*24*Input!$F$58/C$13,0)</f>
        <v>8.8135677500620506</v>
      </c>
      <c r="P278" s="37">
        <f>IF(D$13&gt;0,$C222*P$263*24*Input!$F$58/D$13,0)</f>
        <v>1.4314086685341576</v>
      </c>
      <c r="Q278" s="37">
        <f>IF(E$13&gt;0,$C222*Q$263*24*Input!$F$58/E$13,0)</f>
        <v>0.19228543841309084</v>
      </c>
      <c r="S278" s="37">
        <f>IF(C$13&gt;0,$C222*S$263*24*Input!$F$58/C$13,0)</f>
        <v>8.8135677500620506</v>
      </c>
      <c r="T278" s="37">
        <f>IF(D$13&gt;0,$C222*T$263*24*Input!$F$58/D$13,0)</f>
        <v>1.4314086685341576</v>
      </c>
      <c r="U278" s="37">
        <f>IF(E$13&gt;0,$C222*U$263*24*Input!$F$58/E$13,0)</f>
        <v>0.19228543841309084</v>
      </c>
      <c r="W278" s="37">
        <f>IF(C$13&gt;0,$C222*W$263*24*Input!$F$58/C$13,0)</f>
        <v>1.3171012328356799</v>
      </c>
      <c r="X278" s="37">
        <f>IF(D$13&gt;0,$C222*X$263*24*Input!$F$58/D$13,0)</f>
        <v>1.3171012328356801</v>
      </c>
      <c r="Y278" s="37">
        <f>IF(E$13&gt;0,$C222*Y$263*24*Input!$F$58/E$13,0)</f>
        <v>1.3171012328356801</v>
      </c>
      <c r="AA278" s="37">
        <f>IF(C$13&gt;0,$C222*AA$263*24*Input!$F$58/C$13,0)</f>
        <v>8.8135677500620506</v>
      </c>
      <c r="AB278" s="37">
        <f>IF(D$13&gt;0,$C222*AB$263*24*Input!$F$58/D$13,0)</f>
        <v>1.4314086685341576</v>
      </c>
      <c r="AC278" s="37">
        <f>IF(E$13&gt;0,$C222*AC$263*24*Input!$F$58/E$13,0)</f>
        <v>0.19228543841309084</v>
      </c>
      <c r="AE278" s="37">
        <f>IF(C$13&gt;0,$C222*AE$263*24*Input!$F$58/C$13,0)</f>
        <v>8.8135677500620506</v>
      </c>
      <c r="AF278" s="37">
        <f>IF(D$13&gt;0,$C222*AF$263*24*Input!$F$58/D$13,0)</f>
        <v>1.4314086685341576</v>
      </c>
      <c r="AG278" s="37">
        <f>IF(E$13&gt;0,$C222*AG$263*24*Input!$F$58/E$13,0)</f>
        <v>0.19228543841309084</v>
      </c>
      <c r="AI278" s="37">
        <f>IF(C$13&gt;0,$C222*AI$263*24*Input!$F$58/C$13,0)</f>
        <v>8.8135677500620506</v>
      </c>
      <c r="AJ278" s="37">
        <f>IF(D$13&gt;0,$C222*AJ$263*24*Input!$F$58/D$13,0)</f>
        <v>1.4314086685341576</v>
      </c>
      <c r="AK278" s="37">
        <f>IF(E$13&gt;0,$C222*AK$263*24*Input!$F$58/E$13,0)</f>
        <v>0.19228543841309084</v>
      </c>
      <c r="AL278" s="17"/>
    </row>
    <row r="279" spans="1:38" x14ac:dyDescent="0.25">
      <c r="A279" s="4" t="s">
        <v>214</v>
      </c>
      <c r="C279" s="37">
        <f>IF(C$13&gt;0,$C223*C$263*24*Input!$F$58/C$13,0)</f>
        <v>10.002222751448761</v>
      </c>
      <c r="D279" s="37">
        <f>IF(D$13&gt;0,$C223*D$263*24*Input!$F$58/D$13,0)</f>
        <v>0.3186463537994666</v>
      </c>
      <c r="E279" s="37">
        <f>IF(E$13&gt;0,$C223*E$263*24*Input!$F$58/E$13,0)</f>
        <v>2.8173090838921312E-2</v>
      </c>
      <c r="G279" s="37">
        <f>IF(C$13&gt;0,$C223*G$263*24*Input!$F$58/C$13,0)</f>
        <v>7.9307950265696743</v>
      </c>
      <c r="H279" s="37">
        <f>IF(D$13&gt;0,$C223*H$263*24*Input!$F$58/D$13,0)</f>
        <v>0.79266888459469698</v>
      </c>
      <c r="I279" s="37">
        <f>IF(E$13&gt;0,$C223*I$263*24*Input!$F$58/E$13,0)</f>
        <v>0.10494792771293197</v>
      </c>
      <c r="K279" s="37">
        <f>IF(C$13&gt;0,$C223*K$263*24*Input!$F$58/C$13,0)</f>
        <v>7.9307950265696743</v>
      </c>
      <c r="L279" s="37">
        <f>IF(D$13&gt;0,$C223*L$263*24*Input!$F$58/D$13,0)</f>
        <v>0.79266888459469698</v>
      </c>
      <c r="M279" s="37">
        <f>IF(E$13&gt;0,$C223*M$263*24*Input!$F$58/E$13,0)</f>
        <v>0.10494792771293197</v>
      </c>
      <c r="O279" s="37">
        <f>IF(C$13&gt;0,$C223*O$263*24*Input!$F$58/C$13,0)</f>
        <v>6.6916403464953857</v>
      </c>
      <c r="P279" s="37">
        <f>IF(D$13&gt;0,$C223*P$263*24*Input!$F$58/D$13,0)</f>
        <v>1.0867871298338831</v>
      </c>
      <c r="Q279" s="37">
        <f>IF(E$13&gt;0,$C223*Q$263*24*Input!$F$58/E$13,0)</f>
        <v>0.14599138898314287</v>
      </c>
      <c r="S279" s="37">
        <f>IF(C$13&gt;0,$C223*S$263*24*Input!$F$58/C$13,0)</f>
        <v>6.6916403464953857</v>
      </c>
      <c r="T279" s="37">
        <f>IF(D$13&gt;0,$C223*T$263*24*Input!$F$58/D$13,0)</f>
        <v>1.0867871298338831</v>
      </c>
      <c r="U279" s="37">
        <f>IF(E$13&gt;0,$C223*U$263*24*Input!$F$58/E$13,0)</f>
        <v>0.14599138898314287</v>
      </c>
      <c r="W279" s="37">
        <f>IF(C$13&gt;0,$C223*W$263*24*Input!$F$58/C$13,0)</f>
        <v>0.99999999999999989</v>
      </c>
      <c r="X279" s="37">
        <f>IF(D$13&gt;0,$C223*X$263*24*Input!$F$58/D$13,0)</f>
        <v>1</v>
      </c>
      <c r="Y279" s="37">
        <f>IF(E$13&gt;0,$C223*Y$263*24*Input!$F$58/E$13,0)</f>
        <v>1.0000000000000002</v>
      </c>
      <c r="AA279" s="37">
        <f>IF(C$13&gt;0,$C223*AA$263*24*Input!$F$58/C$13,0)</f>
        <v>6.6916403464953857</v>
      </c>
      <c r="AB279" s="37">
        <f>IF(D$13&gt;0,$C223*AB$263*24*Input!$F$58/D$13,0)</f>
        <v>1.0867871298338831</v>
      </c>
      <c r="AC279" s="37">
        <f>IF(E$13&gt;0,$C223*AC$263*24*Input!$F$58/E$13,0)</f>
        <v>0.14599138898314287</v>
      </c>
      <c r="AE279" s="37">
        <f>IF(C$13&gt;0,$C223*AE$263*24*Input!$F$58/C$13,0)</f>
        <v>6.6916403464953857</v>
      </c>
      <c r="AF279" s="37">
        <f>IF(D$13&gt;0,$C223*AF$263*24*Input!$F$58/D$13,0)</f>
        <v>1.0867871298338831</v>
      </c>
      <c r="AG279" s="37">
        <f>IF(E$13&gt;0,$C223*AG$263*24*Input!$F$58/E$13,0)</f>
        <v>0.14599138898314287</v>
      </c>
      <c r="AI279" s="37">
        <f>IF(C$13&gt;0,$C223*AI$263*24*Input!$F$58/C$13,0)</f>
        <v>6.6916403464953857</v>
      </c>
      <c r="AJ279" s="37">
        <f>IF(D$13&gt;0,$C223*AJ$263*24*Input!$F$58/D$13,0)</f>
        <v>1.0867871298338831</v>
      </c>
      <c r="AK279" s="37">
        <f>IF(E$13&gt;0,$C223*AK$263*24*Input!$F$58/E$13,0)</f>
        <v>0.14599138898314287</v>
      </c>
      <c r="AL279" s="17"/>
    </row>
    <row r="280" spans="1:38" x14ac:dyDescent="0.25">
      <c r="A280" s="4" t="s">
        <v>175</v>
      </c>
      <c r="C280" s="37">
        <f>IF(C$13&gt;0,$C224*C$263*24*Input!$F$58/C$13,0)</f>
        <v>10.002222751448761</v>
      </c>
      <c r="D280" s="37">
        <f>IF(D$13&gt;0,$C224*D$263*24*Input!$F$58/D$13,0)</f>
        <v>0.3186463537994666</v>
      </c>
      <c r="E280" s="37">
        <f>IF(E$13&gt;0,$C224*E$263*24*Input!$F$58/E$13,0)</f>
        <v>2.8173090838921312E-2</v>
      </c>
      <c r="G280" s="37">
        <f>IF(C$13&gt;0,$C224*G$263*24*Input!$F$58/C$13,0)</f>
        <v>7.9307950265696743</v>
      </c>
      <c r="H280" s="37">
        <f>IF(D$13&gt;0,$C224*H$263*24*Input!$F$58/D$13,0)</f>
        <v>0.79266888459469698</v>
      </c>
      <c r="I280" s="37">
        <f>IF(E$13&gt;0,$C224*I$263*24*Input!$F$58/E$13,0)</f>
        <v>0.10494792771293197</v>
      </c>
      <c r="K280" s="37">
        <f>IF(C$13&gt;0,$C224*K$263*24*Input!$F$58/C$13,0)</f>
        <v>7.9307950265696743</v>
      </c>
      <c r="L280" s="37">
        <f>IF(D$13&gt;0,$C224*L$263*24*Input!$F$58/D$13,0)</f>
        <v>0.79266888459469698</v>
      </c>
      <c r="M280" s="37">
        <f>IF(E$13&gt;0,$C224*M$263*24*Input!$F$58/E$13,0)</f>
        <v>0.10494792771293197</v>
      </c>
      <c r="O280" s="37">
        <f>IF(C$13&gt;0,$C224*O$263*24*Input!$F$58/C$13,0)</f>
        <v>6.6916403464953857</v>
      </c>
      <c r="P280" s="37">
        <f>IF(D$13&gt;0,$C224*P$263*24*Input!$F$58/D$13,0)</f>
        <v>1.0867871298338831</v>
      </c>
      <c r="Q280" s="37">
        <f>IF(E$13&gt;0,$C224*Q$263*24*Input!$F$58/E$13,0)</f>
        <v>0.14599138898314287</v>
      </c>
      <c r="S280" s="37">
        <f>IF(C$13&gt;0,$C224*S$263*24*Input!$F$58/C$13,0)</f>
        <v>6.6916403464953857</v>
      </c>
      <c r="T280" s="37">
        <f>IF(D$13&gt;0,$C224*T$263*24*Input!$F$58/D$13,0)</f>
        <v>1.0867871298338831</v>
      </c>
      <c r="U280" s="37">
        <f>IF(E$13&gt;0,$C224*U$263*24*Input!$F$58/E$13,0)</f>
        <v>0.14599138898314287</v>
      </c>
      <c r="W280" s="37">
        <f>IF(C$13&gt;0,$C224*W$263*24*Input!$F$58/C$13,0)</f>
        <v>0.99999999999999989</v>
      </c>
      <c r="X280" s="37">
        <f>IF(D$13&gt;0,$C224*X$263*24*Input!$F$58/D$13,0)</f>
        <v>1</v>
      </c>
      <c r="Y280" s="37">
        <f>IF(E$13&gt;0,$C224*Y$263*24*Input!$F$58/E$13,0)</f>
        <v>1.0000000000000002</v>
      </c>
      <c r="AA280" s="37">
        <f>IF(C$13&gt;0,$C224*AA$263*24*Input!$F$58/C$13,0)</f>
        <v>6.6916403464953857</v>
      </c>
      <c r="AB280" s="37">
        <f>IF(D$13&gt;0,$C224*AB$263*24*Input!$F$58/D$13,0)</f>
        <v>1.0867871298338831</v>
      </c>
      <c r="AC280" s="37">
        <f>IF(E$13&gt;0,$C224*AC$263*24*Input!$F$58/E$13,0)</f>
        <v>0.14599138898314287</v>
      </c>
      <c r="AE280" s="37">
        <f>IF(C$13&gt;0,$C224*AE$263*24*Input!$F$58/C$13,0)</f>
        <v>6.6916403464953857</v>
      </c>
      <c r="AF280" s="37">
        <f>IF(D$13&gt;0,$C224*AF$263*24*Input!$F$58/D$13,0)</f>
        <v>1.0867871298338831</v>
      </c>
      <c r="AG280" s="37">
        <f>IF(E$13&gt;0,$C224*AG$263*24*Input!$F$58/E$13,0)</f>
        <v>0.14599138898314287</v>
      </c>
      <c r="AI280" s="37">
        <f>IF(C$13&gt;0,$C224*AI$263*24*Input!$F$58/C$13,0)</f>
        <v>6.6916403464953857</v>
      </c>
      <c r="AJ280" s="37">
        <f>IF(D$13&gt;0,$C224*AJ$263*24*Input!$F$58/D$13,0)</f>
        <v>1.0867871298338831</v>
      </c>
      <c r="AK280" s="37">
        <f>IF(E$13&gt;0,$C224*AK$263*24*Input!$F$58/E$13,0)</f>
        <v>0.14599138898314287</v>
      </c>
      <c r="AL280" s="17"/>
    </row>
    <row r="281" spans="1:38" x14ac:dyDescent="0.25">
      <c r="A281" s="4" t="s">
        <v>176</v>
      </c>
      <c r="C281" s="37">
        <f>IF(C$13&gt;0,$C225*C$263*24*Input!$F$58/C$13,0)</f>
        <v>10.002222751448761</v>
      </c>
      <c r="D281" s="37">
        <f>IF(D$13&gt;0,$C225*D$263*24*Input!$F$58/D$13,0)</f>
        <v>0.3186463537994666</v>
      </c>
      <c r="E281" s="37">
        <f>IF(E$13&gt;0,$C225*E$263*24*Input!$F$58/E$13,0)</f>
        <v>2.8173090838921312E-2</v>
      </c>
      <c r="G281" s="37">
        <f>IF(C$13&gt;0,$C225*G$263*24*Input!$F$58/C$13,0)</f>
        <v>7.9307950265696743</v>
      </c>
      <c r="H281" s="37">
        <f>IF(D$13&gt;0,$C225*H$263*24*Input!$F$58/D$13,0)</f>
        <v>0.79266888459469698</v>
      </c>
      <c r="I281" s="37">
        <f>IF(E$13&gt;0,$C225*I$263*24*Input!$F$58/E$13,0)</f>
        <v>0.10494792771293197</v>
      </c>
      <c r="K281" s="37">
        <f>IF(C$13&gt;0,$C225*K$263*24*Input!$F$58/C$13,0)</f>
        <v>7.9307950265696743</v>
      </c>
      <c r="L281" s="37">
        <f>IF(D$13&gt;0,$C225*L$263*24*Input!$F$58/D$13,0)</f>
        <v>0.79266888459469698</v>
      </c>
      <c r="M281" s="37">
        <f>IF(E$13&gt;0,$C225*M$263*24*Input!$F$58/E$13,0)</f>
        <v>0.10494792771293197</v>
      </c>
      <c r="O281" s="37">
        <f>IF(C$13&gt;0,$C225*O$263*24*Input!$F$58/C$13,0)</f>
        <v>6.6916403464953857</v>
      </c>
      <c r="P281" s="37">
        <f>IF(D$13&gt;0,$C225*P$263*24*Input!$F$58/D$13,0)</f>
        <v>1.0867871298338831</v>
      </c>
      <c r="Q281" s="37">
        <f>IF(E$13&gt;0,$C225*Q$263*24*Input!$F$58/E$13,0)</f>
        <v>0.14599138898314287</v>
      </c>
      <c r="S281" s="37">
        <f>IF(C$13&gt;0,$C225*S$263*24*Input!$F$58/C$13,0)</f>
        <v>6.6916403464953857</v>
      </c>
      <c r="T281" s="37">
        <f>IF(D$13&gt;0,$C225*T$263*24*Input!$F$58/D$13,0)</f>
        <v>1.0867871298338831</v>
      </c>
      <c r="U281" s="37">
        <f>IF(E$13&gt;0,$C225*U$263*24*Input!$F$58/E$13,0)</f>
        <v>0.14599138898314287</v>
      </c>
      <c r="W281" s="37">
        <f>IF(C$13&gt;0,$C225*W$263*24*Input!$F$58/C$13,0)</f>
        <v>0.99999999999999989</v>
      </c>
      <c r="X281" s="37">
        <f>IF(D$13&gt;0,$C225*X$263*24*Input!$F$58/D$13,0)</f>
        <v>1</v>
      </c>
      <c r="Y281" s="37">
        <f>IF(E$13&gt;0,$C225*Y$263*24*Input!$F$58/E$13,0)</f>
        <v>1.0000000000000002</v>
      </c>
      <c r="AA281" s="37">
        <f>IF(C$13&gt;0,$C225*AA$263*24*Input!$F$58/C$13,0)</f>
        <v>6.6916403464953857</v>
      </c>
      <c r="AB281" s="37">
        <f>IF(D$13&gt;0,$C225*AB$263*24*Input!$F$58/D$13,0)</f>
        <v>1.0867871298338831</v>
      </c>
      <c r="AC281" s="37">
        <f>IF(E$13&gt;0,$C225*AC$263*24*Input!$F$58/E$13,0)</f>
        <v>0.14599138898314287</v>
      </c>
      <c r="AE281" s="37">
        <f>IF(C$13&gt;0,$C225*AE$263*24*Input!$F$58/C$13,0)</f>
        <v>6.6916403464953857</v>
      </c>
      <c r="AF281" s="37">
        <f>IF(D$13&gt;0,$C225*AF$263*24*Input!$F$58/D$13,0)</f>
        <v>1.0867871298338831</v>
      </c>
      <c r="AG281" s="37">
        <f>IF(E$13&gt;0,$C225*AG$263*24*Input!$F$58/E$13,0)</f>
        <v>0.14599138898314287</v>
      </c>
      <c r="AI281" s="37">
        <f>IF(C$13&gt;0,$C225*AI$263*24*Input!$F$58/C$13,0)</f>
        <v>6.6916403464953857</v>
      </c>
      <c r="AJ281" s="37">
        <f>IF(D$13&gt;0,$C225*AJ$263*24*Input!$F$58/D$13,0)</f>
        <v>1.0867871298338831</v>
      </c>
      <c r="AK281" s="37">
        <f>IF(E$13&gt;0,$C225*AK$263*24*Input!$F$58/E$13,0)</f>
        <v>0.14599138898314287</v>
      </c>
      <c r="AL281" s="17"/>
    </row>
    <row r="282" spans="1:38" x14ac:dyDescent="0.25">
      <c r="A282" s="4" t="s">
        <v>192</v>
      </c>
      <c r="C282" s="37">
        <f>IF(C$13&gt;0,$C226*C$263*24*Input!$F$58/C$13,0)</f>
        <v>12.637659196047911</v>
      </c>
      <c r="D282" s="37">
        <f>IF(D$13&gt;0,$C226*D$263*24*Input!$F$58/D$13,0)</f>
        <v>0.40260491327267095</v>
      </c>
      <c r="E282" s="37">
        <f>IF(E$13&gt;0,$C226*E$263*24*Input!$F$58/E$13,0)</f>
        <v>3.5596279883890462E-2</v>
      </c>
      <c r="G282" s="37">
        <f>IF(C$13&gt;0,$C226*G$263*24*Input!$F$58/C$13,0)</f>
        <v>10.020441174936048</v>
      </c>
      <c r="H282" s="37">
        <f>IF(D$13&gt;0,$C226*H$263*24*Input!$F$58/D$13,0)</f>
        <v>1.0015253076990553</v>
      </c>
      <c r="I282" s="37">
        <f>IF(E$13&gt;0,$C226*I$263*24*Input!$F$58/E$13,0)</f>
        <v>0.13260014066127451</v>
      </c>
      <c r="K282" s="37">
        <f>IF(C$13&gt;0,$C226*K$263*24*Input!$F$58/C$13,0)</f>
        <v>10.020441174936048</v>
      </c>
      <c r="L282" s="37">
        <f>IF(D$13&gt;0,$C226*L$263*24*Input!$F$58/D$13,0)</f>
        <v>1.0015253076990553</v>
      </c>
      <c r="M282" s="37">
        <f>IF(E$13&gt;0,$C226*M$263*24*Input!$F$58/E$13,0)</f>
        <v>0.13260014066127451</v>
      </c>
      <c r="O282" s="37">
        <f>IF(C$13&gt;0,$C226*O$263*24*Input!$F$58/C$13,0)</f>
        <v>8.4547877269863516</v>
      </c>
      <c r="P282" s="37">
        <f>IF(D$13&gt;0,$C226*P$263*24*Input!$F$58/D$13,0)</f>
        <v>1.3731393218074788</v>
      </c>
      <c r="Q282" s="37">
        <f>IF(E$13&gt;0,$C226*Q$263*24*Input!$F$58/E$13,0)</f>
        <v>0.18445794153698364</v>
      </c>
      <c r="S282" s="37">
        <f>IF(C$13&gt;0,$C226*S$263*24*Input!$F$58/C$13,0)</f>
        <v>8.4547877269863516</v>
      </c>
      <c r="T282" s="37">
        <f>IF(D$13&gt;0,$C226*T$263*24*Input!$F$58/D$13,0)</f>
        <v>1.3731393218074788</v>
      </c>
      <c r="U282" s="37">
        <f>IF(E$13&gt;0,$C226*U$263*24*Input!$F$58/E$13,0)</f>
        <v>0.18445794153698364</v>
      </c>
      <c r="W282" s="37">
        <f>IF(C$13&gt;0,$C226*W$263*24*Input!$F$58/C$13,0)</f>
        <v>1.2634850782759686</v>
      </c>
      <c r="X282" s="37">
        <f>IF(D$13&gt;0,$C226*X$263*24*Input!$F$58/D$13,0)</f>
        <v>1.2634850782759686</v>
      </c>
      <c r="Y282" s="37">
        <f>IF(E$13&gt;0,$C226*Y$263*24*Input!$F$58/E$13,0)</f>
        <v>1.2634850782759688</v>
      </c>
      <c r="AA282" s="37">
        <f>IF(C$13&gt;0,$C226*AA$263*24*Input!$F$58/C$13,0)</f>
        <v>8.4547877269863516</v>
      </c>
      <c r="AB282" s="37">
        <f>IF(D$13&gt;0,$C226*AB$263*24*Input!$F$58/D$13,0)</f>
        <v>1.3731393218074788</v>
      </c>
      <c r="AC282" s="37">
        <f>IF(E$13&gt;0,$C226*AC$263*24*Input!$F$58/E$13,0)</f>
        <v>0.18445794153698364</v>
      </c>
      <c r="AE282" s="37">
        <f>IF(C$13&gt;0,$C226*AE$263*24*Input!$F$58/C$13,0)</f>
        <v>8.4547877269863516</v>
      </c>
      <c r="AF282" s="37">
        <f>IF(D$13&gt;0,$C226*AF$263*24*Input!$F$58/D$13,0)</f>
        <v>1.3731393218074788</v>
      </c>
      <c r="AG282" s="37">
        <f>IF(E$13&gt;0,$C226*AG$263*24*Input!$F$58/E$13,0)</f>
        <v>0.18445794153698364</v>
      </c>
      <c r="AI282" s="37">
        <f>IF(C$13&gt;0,$C226*AI$263*24*Input!$F$58/C$13,0)</f>
        <v>8.4547877269863516</v>
      </c>
      <c r="AJ282" s="37">
        <f>IF(D$13&gt;0,$C226*AJ$263*24*Input!$F$58/D$13,0)</f>
        <v>1.3731393218074788</v>
      </c>
      <c r="AK282" s="37">
        <f>IF(E$13&gt;0,$C226*AK$263*24*Input!$F$58/E$13,0)</f>
        <v>0.18445794153698364</v>
      </c>
      <c r="AL282" s="17"/>
    </row>
    <row r="283" spans="1:38" x14ac:dyDescent="0.25">
      <c r="A283" s="4" t="s">
        <v>177</v>
      </c>
      <c r="C283" s="37">
        <f>IF(C$13&gt;0,$C227*C$263*24*Input!$F$58/C$13,0)</f>
        <v>10.002222751448761</v>
      </c>
      <c r="D283" s="37">
        <f>IF(D$13&gt;0,$C227*D$263*24*Input!$F$58/D$13,0)</f>
        <v>0.3186463537994666</v>
      </c>
      <c r="E283" s="37">
        <f>IF(E$13&gt;0,$C227*E$263*24*Input!$F$58/E$13,0)</f>
        <v>2.8173090838921312E-2</v>
      </c>
      <c r="G283" s="37">
        <f>IF(C$13&gt;0,$C227*G$263*24*Input!$F$58/C$13,0)</f>
        <v>7.9307950265696743</v>
      </c>
      <c r="H283" s="37">
        <f>IF(D$13&gt;0,$C227*H$263*24*Input!$F$58/D$13,0)</f>
        <v>0.79266888459469698</v>
      </c>
      <c r="I283" s="37">
        <f>IF(E$13&gt;0,$C227*I$263*24*Input!$F$58/E$13,0)</f>
        <v>0.10494792771293197</v>
      </c>
      <c r="K283" s="37">
        <f>IF(C$13&gt;0,$C227*K$263*24*Input!$F$58/C$13,0)</f>
        <v>7.9307950265696743</v>
      </c>
      <c r="L283" s="37">
        <f>IF(D$13&gt;0,$C227*L$263*24*Input!$F$58/D$13,0)</f>
        <v>0.79266888459469698</v>
      </c>
      <c r="M283" s="37">
        <f>IF(E$13&gt;0,$C227*M$263*24*Input!$F$58/E$13,0)</f>
        <v>0.10494792771293197</v>
      </c>
      <c r="O283" s="37">
        <f>IF(C$13&gt;0,$C227*O$263*24*Input!$F$58/C$13,0)</f>
        <v>6.6916403464953857</v>
      </c>
      <c r="P283" s="37">
        <f>IF(D$13&gt;0,$C227*P$263*24*Input!$F$58/D$13,0)</f>
        <v>1.0867871298338831</v>
      </c>
      <c r="Q283" s="37">
        <f>IF(E$13&gt;0,$C227*Q$263*24*Input!$F$58/E$13,0)</f>
        <v>0.14599138898314287</v>
      </c>
      <c r="S283" s="37">
        <f>IF(C$13&gt;0,$C227*S$263*24*Input!$F$58/C$13,0)</f>
        <v>6.6916403464953857</v>
      </c>
      <c r="T283" s="37">
        <f>IF(D$13&gt;0,$C227*T$263*24*Input!$F$58/D$13,0)</f>
        <v>1.0867871298338831</v>
      </c>
      <c r="U283" s="37">
        <f>IF(E$13&gt;0,$C227*U$263*24*Input!$F$58/E$13,0)</f>
        <v>0.14599138898314287</v>
      </c>
      <c r="W283" s="37">
        <f>IF(C$13&gt;0,$C227*W$263*24*Input!$F$58/C$13,0)</f>
        <v>0.99999999999999989</v>
      </c>
      <c r="X283" s="37">
        <f>IF(D$13&gt;0,$C227*X$263*24*Input!$F$58/D$13,0)</f>
        <v>1</v>
      </c>
      <c r="Y283" s="37">
        <f>IF(E$13&gt;0,$C227*Y$263*24*Input!$F$58/E$13,0)</f>
        <v>1.0000000000000002</v>
      </c>
      <c r="AA283" s="37">
        <f>IF(C$13&gt;0,$C227*AA$263*24*Input!$F$58/C$13,0)</f>
        <v>6.6916403464953857</v>
      </c>
      <c r="AB283" s="37">
        <f>IF(D$13&gt;0,$C227*AB$263*24*Input!$F$58/D$13,0)</f>
        <v>1.0867871298338831</v>
      </c>
      <c r="AC283" s="37">
        <f>IF(E$13&gt;0,$C227*AC$263*24*Input!$F$58/E$13,0)</f>
        <v>0.14599138898314287</v>
      </c>
      <c r="AE283" s="37">
        <f>IF(C$13&gt;0,$C227*AE$263*24*Input!$F$58/C$13,0)</f>
        <v>6.6916403464953857</v>
      </c>
      <c r="AF283" s="37">
        <f>IF(D$13&gt;0,$C227*AF$263*24*Input!$F$58/D$13,0)</f>
        <v>1.0867871298338831</v>
      </c>
      <c r="AG283" s="37">
        <f>IF(E$13&gt;0,$C227*AG$263*24*Input!$F$58/E$13,0)</f>
        <v>0.14599138898314287</v>
      </c>
      <c r="AI283" s="37">
        <f>IF(C$13&gt;0,$C227*AI$263*24*Input!$F$58/C$13,0)</f>
        <v>6.6916403464953857</v>
      </c>
      <c r="AJ283" s="37">
        <f>IF(D$13&gt;0,$C227*AJ$263*24*Input!$F$58/D$13,0)</f>
        <v>1.0867871298338831</v>
      </c>
      <c r="AK283" s="37">
        <f>IF(E$13&gt;0,$C227*AK$263*24*Input!$F$58/E$13,0)</f>
        <v>0.14599138898314287</v>
      </c>
      <c r="AL283" s="17"/>
    </row>
    <row r="284" spans="1:38" x14ac:dyDescent="0.25">
      <c r="A284" s="4" t="s">
        <v>178</v>
      </c>
      <c r="C284" s="37">
        <f>IF(C$13&gt;0,$C228*C$263*24*Input!$F$58/C$13,0)</f>
        <v>13.970937806565441</v>
      </c>
      <c r="D284" s="37">
        <f>IF(D$13&gt;0,$C228*D$263*24*Input!$F$58/D$13,0)</f>
        <v>0.44507990892088289</v>
      </c>
      <c r="E284" s="37">
        <f>IF(E$13&gt;0,$C228*E$263*24*Input!$F$58/E$13,0)</f>
        <v>3.9351703087423966E-2</v>
      </c>
      <c r="G284" s="37">
        <f>IF(C$13&gt;0,$C228*G$263*24*Input!$F$58/C$13,0)</f>
        <v>11.077602131663653</v>
      </c>
      <c r="H284" s="37">
        <f>IF(D$13&gt;0,$C228*H$263*24*Input!$F$58/D$13,0)</f>
        <v>1.1071866687100189</v>
      </c>
      <c r="I284" s="37">
        <f>IF(E$13&gt;0,$C228*I$263*24*Input!$F$58/E$13,0)</f>
        <v>0.14658951389509153</v>
      </c>
      <c r="K284" s="37">
        <f>IF(C$13&gt;0,$C228*K$263*24*Input!$F$58/C$13,0)</f>
        <v>11.077602131663653</v>
      </c>
      <c r="L284" s="37">
        <f>IF(D$13&gt;0,$C228*L$263*24*Input!$F$58/D$13,0)</f>
        <v>1.1071866687100189</v>
      </c>
      <c r="M284" s="37">
        <f>IF(E$13&gt;0,$C228*M$263*24*Input!$F$58/E$13,0)</f>
        <v>0.14658951389509153</v>
      </c>
      <c r="O284" s="37">
        <f>IF(C$13&gt;0,$C228*O$263*24*Input!$F$58/C$13,0)</f>
        <v>9.3467715554774902</v>
      </c>
      <c r="P284" s="37">
        <f>IF(D$13&gt;0,$C228*P$263*24*Input!$F$58/D$13,0)</f>
        <v>1.518006124957147</v>
      </c>
      <c r="Q284" s="37">
        <f>IF(E$13&gt;0,$C228*Q$263*24*Input!$F$58/E$13,0)</f>
        <v>0.20391833560017089</v>
      </c>
      <c r="S284" s="37">
        <f>IF(C$13&gt;0,$C228*S$263*24*Input!$F$58/C$13,0)</f>
        <v>9.3467715554774902</v>
      </c>
      <c r="T284" s="37">
        <f>IF(D$13&gt;0,$C228*T$263*24*Input!$F$58/D$13,0)</f>
        <v>1.518006124957147</v>
      </c>
      <c r="U284" s="37">
        <f>IF(E$13&gt;0,$C228*U$263*24*Input!$F$58/E$13,0)</f>
        <v>0.20391833560017089</v>
      </c>
      <c r="W284" s="37">
        <f>IF(C$13&gt;0,$C228*W$263*24*Input!$F$58/C$13,0)</f>
        <v>1.3967833104438547</v>
      </c>
      <c r="X284" s="37">
        <f>IF(D$13&gt;0,$C228*X$263*24*Input!$F$58/D$13,0)</f>
        <v>1.3967833104438554</v>
      </c>
      <c r="Y284" s="37">
        <f>IF(E$13&gt;0,$C228*Y$263*24*Input!$F$58/E$13,0)</f>
        <v>1.3967833104438554</v>
      </c>
      <c r="AA284" s="37">
        <f>IF(C$13&gt;0,$C228*AA$263*24*Input!$F$58/C$13,0)</f>
        <v>9.3467715554774902</v>
      </c>
      <c r="AB284" s="37">
        <f>IF(D$13&gt;0,$C228*AB$263*24*Input!$F$58/D$13,0)</f>
        <v>1.518006124957147</v>
      </c>
      <c r="AC284" s="37">
        <f>IF(E$13&gt;0,$C228*AC$263*24*Input!$F$58/E$13,0)</f>
        <v>0.20391833560017089</v>
      </c>
      <c r="AE284" s="37">
        <f>IF(C$13&gt;0,$C228*AE$263*24*Input!$F$58/C$13,0)</f>
        <v>9.3467715554774902</v>
      </c>
      <c r="AF284" s="37">
        <f>IF(D$13&gt;0,$C228*AF$263*24*Input!$F$58/D$13,0)</f>
        <v>1.518006124957147</v>
      </c>
      <c r="AG284" s="37">
        <f>IF(E$13&gt;0,$C228*AG$263*24*Input!$F$58/E$13,0)</f>
        <v>0.20391833560017089</v>
      </c>
      <c r="AI284" s="37">
        <f>IF(C$13&gt;0,$C228*AI$263*24*Input!$F$58/C$13,0)</f>
        <v>9.3467715554774902</v>
      </c>
      <c r="AJ284" s="37">
        <f>IF(D$13&gt;0,$C228*AJ$263*24*Input!$F$58/D$13,0)</f>
        <v>1.518006124957147</v>
      </c>
      <c r="AK284" s="37">
        <f>IF(E$13&gt;0,$C228*AK$263*24*Input!$F$58/E$13,0)</f>
        <v>0.20391833560017089</v>
      </c>
      <c r="AL284" s="17"/>
    </row>
    <row r="285" spans="1:38" x14ac:dyDescent="0.25">
      <c r="A285" s="4" t="s">
        <v>179</v>
      </c>
      <c r="C285" s="37">
        <f>IF(C$13&gt;0,$C229*C$263*24*Input!$F$58/C$13,0)</f>
        <v>11.988870026892526</v>
      </c>
      <c r="D285" s="37">
        <f>IF(D$13&gt;0,$C229*D$263*24*Input!$F$58/D$13,0)</f>
        <v>0.38193607712762467</v>
      </c>
      <c r="E285" s="37">
        <f>IF(E$13&gt;0,$C229*E$263*24*Input!$F$58/E$13,0)</f>
        <v>3.3768846457127862E-2</v>
      </c>
      <c r="G285" s="37">
        <f>IF(C$13&gt;0,$C229*G$263*24*Input!$F$58/C$13,0)</f>
        <v>9.506014127679526</v>
      </c>
      <c r="H285" s="37">
        <f>IF(D$13&gt;0,$C229*H$263*24*Input!$F$58/D$13,0)</f>
        <v>0.95010923750835408</v>
      </c>
      <c r="I285" s="37">
        <f>IF(E$13&gt;0,$C229*I$263*24*Input!$F$58/E$13,0)</f>
        <v>0.12579274589338754</v>
      </c>
      <c r="K285" s="37">
        <f>IF(C$13&gt;0,$C229*K$263*24*Input!$F$58/C$13,0)</f>
        <v>9.506014127679526</v>
      </c>
      <c r="L285" s="37">
        <f>IF(D$13&gt;0,$C229*L$263*24*Input!$F$58/D$13,0)</f>
        <v>0.95010923750835408</v>
      </c>
      <c r="M285" s="37">
        <f>IF(E$13&gt;0,$C229*M$263*24*Input!$F$58/E$13,0)</f>
        <v>0.12579274589338754</v>
      </c>
      <c r="O285" s="37">
        <f>IF(C$13&gt;0,$C229*O$263*24*Input!$F$58/C$13,0)</f>
        <v>8.0207378274217209</v>
      </c>
      <c r="P285" s="37">
        <f>IF(D$13&gt;0,$C229*P$263*24*Input!$F$58/D$13,0)</f>
        <v>1.3026454189485808</v>
      </c>
      <c r="Q285" s="37">
        <f>IF(E$13&gt;0,$C229*Q$263*24*Input!$F$58/E$13,0)</f>
        <v>0.17498828321043877</v>
      </c>
      <c r="S285" s="37">
        <f>IF(C$13&gt;0,$C229*S$263*24*Input!$F$58/C$13,0)</f>
        <v>8.0207378274217209</v>
      </c>
      <c r="T285" s="37">
        <f>IF(D$13&gt;0,$C229*T$263*24*Input!$F$58/D$13,0)</f>
        <v>1.3026454189485808</v>
      </c>
      <c r="U285" s="37">
        <f>IF(E$13&gt;0,$C229*U$263*24*Input!$F$58/E$13,0)</f>
        <v>0.17498828321043877</v>
      </c>
      <c r="W285" s="37">
        <f>IF(C$13&gt;0,$C229*W$263*24*Input!$F$58/C$13,0)</f>
        <v>1.198620579126376</v>
      </c>
      <c r="X285" s="37">
        <f>IF(D$13&gt;0,$C229*X$263*24*Input!$F$58/D$13,0)</f>
        <v>1.1986205791263762</v>
      </c>
      <c r="Y285" s="37">
        <f>IF(E$13&gt;0,$C229*Y$263*24*Input!$F$58/E$13,0)</f>
        <v>1.1986205791263762</v>
      </c>
      <c r="AA285" s="37">
        <f>IF(C$13&gt;0,$C229*AA$263*24*Input!$F$58/C$13,0)</f>
        <v>8.0207378274217209</v>
      </c>
      <c r="AB285" s="37">
        <f>IF(D$13&gt;0,$C229*AB$263*24*Input!$F$58/D$13,0)</f>
        <v>1.3026454189485808</v>
      </c>
      <c r="AC285" s="37">
        <f>IF(E$13&gt;0,$C229*AC$263*24*Input!$F$58/E$13,0)</f>
        <v>0.17498828321043877</v>
      </c>
      <c r="AE285" s="37">
        <f>IF(C$13&gt;0,$C229*AE$263*24*Input!$F$58/C$13,0)</f>
        <v>8.0207378274217209</v>
      </c>
      <c r="AF285" s="37">
        <f>IF(D$13&gt;0,$C229*AF$263*24*Input!$F$58/D$13,0)</f>
        <v>1.3026454189485808</v>
      </c>
      <c r="AG285" s="37">
        <f>IF(E$13&gt;0,$C229*AG$263*24*Input!$F$58/E$13,0)</f>
        <v>0.17498828321043877</v>
      </c>
      <c r="AI285" s="37">
        <f>IF(C$13&gt;0,$C229*AI$263*24*Input!$F$58/C$13,0)</f>
        <v>8.0207378274217209</v>
      </c>
      <c r="AJ285" s="37">
        <f>IF(D$13&gt;0,$C229*AJ$263*24*Input!$F$58/D$13,0)</f>
        <v>1.3026454189485808</v>
      </c>
      <c r="AK285" s="37">
        <f>IF(E$13&gt;0,$C229*AK$263*24*Input!$F$58/E$13,0)</f>
        <v>0.17498828321043877</v>
      </c>
      <c r="AL285" s="17"/>
    </row>
    <row r="286" spans="1:38" x14ac:dyDescent="0.25">
      <c r="A286" s="4" t="s">
        <v>180</v>
      </c>
      <c r="C286" s="37">
        <f>IF(C$13&gt;0,$C230*C$263*24*Input!$F$58/C$13,0)</f>
        <v>11.891377701675799</v>
      </c>
      <c r="D286" s="37">
        <f>IF(D$13&gt;0,$C230*D$263*24*Input!$F$58/D$13,0)</f>
        <v>0.37883021008929646</v>
      </c>
      <c r="E286" s="37">
        <f>IF(E$13&gt;0,$C230*E$263*24*Input!$F$58/E$13,0)</f>
        <v>3.3494241481545742E-2</v>
      </c>
      <c r="G286" s="37">
        <f>IF(C$13&gt;0,$C230*G$263*24*Input!$F$58/C$13,0)</f>
        <v>9.4287121451931295</v>
      </c>
      <c r="H286" s="37">
        <f>IF(D$13&gt;0,$C230*H$263*24*Input!$F$58/D$13,0)</f>
        <v>0.94238304158106467</v>
      </c>
      <c r="I286" s="37">
        <f>IF(E$13&gt;0,$C230*I$263*24*Input!$F$58/E$13,0)</f>
        <v>0.12476981151633335</v>
      </c>
      <c r="K286" s="37">
        <f>IF(C$13&gt;0,$C230*K$263*24*Input!$F$58/C$13,0)</f>
        <v>9.4287121451931295</v>
      </c>
      <c r="L286" s="37">
        <f>IF(D$13&gt;0,$C230*L$263*24*Input!$F$58/D$13,0)</f>
        <v>0.94238304158106467</v>
      </c>
      <c r="M286" s="37">
        <f>IF(E$13&gt;0,$C230*M$263*24*Input!$F$58/E$13,0)</f>
        <v>0.12476981151633335</v>
      </c>
      <c r="O286" s="37">
        <f>IF(C$13&gt;0,$C230*O$263*24*Input!$F$58/C$13,0)</f>
        <v>7.9555139673752748</v>
      </c>
      <c r="P286" s="37">
        <f>IF(D$13&gt;0,$C230*P$263*24*Input!$F$58/D$13,0)</f>
        <v>1.2920524330757386</v>
      </c>
      <c r="Q286" s="37">
        <f>IF(E$13&gt;0,$C230*Q$263*24*Input!$F$58/E$13,0)</f>
        <v>0.17356529550787789</v>
      </c>
      <c r="S286" s="37">
        <f>IF(C$13&gt;0,$C230*S$263*24*Input!$F$58/C$13,0)</f>
        <v>7.9555139673752748</v>
      </c>
      <c r="T286" s="37">
        <f>IF(D$13&gt;0,$C230*T$263*24*Input!$F$58/D$13,0)</f>
        <v>1.2920524330757386</v>
      </c>
      <c r="U286" s="37">
        <f>IF(E$13&gt;0,$C230*U$263*24*Input!$F$58/E$13,0)</f>
        <v>0.17356529550787789</v>
      </c>
      <c r="W286" s="37">
        <f>IF(C$13&gt;0,$C230*W$263*24*Input!$F$58/C$13,0)</f>
        <v>1.1888735131352084</v>
      </c>
      <c r="X286" s="37">
        <f>IF(D$13&gt;0,$C230*X$263*24*Input!$F$58/D$13,0)</f>
        <v>1.1888735131352086</v>
      </c>
      <c r="Y286" s="37">
        <f>IF(E$13&gt;0,$C230*Y$263*24*Input!$F$58/E$13,0)</f>
        <v>1.1888735131352086</v>
      </c>
      <c r="AA286" s="37">
        <f>IF(C$13&gt;0,$C230*AA$263*24*Input!$F$58/C$13,0)</f>
        <v>7.9555139673752748</v>
      </c>
      <c r="AB286" s="37">
        <f>IF(D$13&gt;0,$C230*AB$263*24*Input!$F$58/D$13,0)</f>
        <v>1.2920524330757386</v>
      </c>
      <c r="AC286" s="37">
        <f>IF(E$13&gt;0,$C230*AC$263*24*Input!$F$58/E$13,0)</f>
        <v>0.17356529550787789</v>
      </c>
      <c r="AE286" s="37">
        <f>IF(C$13&gt;0,$C230*AE$263*24*Input!$F$58/C$13,0)</f>
        <v>7.9555139673752748</v>
      </c>
      <c r="AF286" s="37">
        <f>IF(D$13&gt;0,$C230*AF$263*24*Input!$F$58/D$13,0)</f>
        <v>1.2920524330757386</v>
      </c>
      <c r="AG286" s="37">
        <f>IF(E$13&gt;0,$C230*AG$263*24*Input!$F$58/E$13,0)</f>
        <v>0.17356529550787789</v>
      </c>
      <c r="AI286" s="37">
        <f>IF(C$13&gt;0,$C230*AI$263*24*Input!$F$58/C$13,0)</f>
        <v>7.9555139673752748</v>
      </c>
      <c r="AJ286" s="37">
        <f>IF(D$13&gt;0,$C230*AJ$263*24*Input!$F$58/D$13,0)</f>
        <v>1.2920524330757386</v>
      </c>
      <c r="AK286" s="37">
        <f>IF(E$13&gt;0,$C230*AK$263*24*Input!$F$58/E$13,0)</f>
        <v>0.17356529550787789</v>
      </c>
      <c r="AL286" s="17"/>
    </row>
    <row r="287" spans="1:38" x14ac:dyDescent="0.25">
      <c r="A287" s="4" t="s">
        <v>193</v>
      </c>
      <c r="C287" s="37">
        <f>IF(C$13&gt;0,$C231*C$263*24*Input!$F$58/C$13,0)</f>
        <v>10.746510103096467</v>
      </c>
      <c r="D287" s="37">
        <f>IF(D$13&gt;0,$C231*D$263*24*Input!$F$58/D$13,0)</f>
        <v>0.34235752847284123</v>
      </c>
      <c r="E287" s="37">
        <f>IF(E$13&gt;0,$C231*E$263*24*Input!$F$58/E$13,0)</f>
        <v>3.0269512373344132E-2</v>
      </c>
      <c r="G287" s="37">
        <f>IF(C$13&gt;0,$C231*G$263*24*Input!$F$58/C$13,0)</f>
        <v>8.5209428940455698</v>
      </c>
      <c r="H287" s="37">
        <f>IF(D$13&gt;0,$C231*H$263*24*Input!$F$58/D$13,0)</f>
        <v>0.85165311635089103</v>
      </c>
      <c r="I287" s="37">
        <f>IF(E$13&gt;0,$C231*I$263*24*Input!$F$58/E$13,0)</f>
        <v>0.11275733339399012</v>
      </c>
      <c r="K287" s="37">
        <f>IF(C$13&gt;0,$C231*K$263*24*Input!$F$58/C$13,0)</f>
        <v>8.5209428940455698</v>
      </c>
      <c r="L287" s="37">
        <f>IF(D$13&gt;0,$C231*L$263*24*Input!$F$58/D$13,0)</f>
        <v>0.85165311635089103</v>
      </c>
      <c r="M287" s="37">
        <f>IF(E$13&gt;0,$C231*M$263*24*Input!$F$58/E$13,0)</f>
        <v>0.11275733339399012</v>
      </c>
      <c r="O287" s="37">
        <f>IF(C$13&gt;0,$C231*O$263*24*Input!$F$58/C$13,0)</f>
        <v>7.1895799940552854</v>
      </c>
      <c r="P287" s="37">
        <f>IF(D$13&gt;0,$C231*P$263*24*Input!$F$58/D$13,0)</f>
        <v>1.1676573458617867</v>
      </c>
      <c r="Q287" s="37">
        <f>IF(E$13&gt;0,$C231*Q$263*24*Input!$F$58/E$13,0)</f>
        <v>0.15685492871523846</v>
      </c>
      <c r="S287" s="37">
        <f>IF(C$13&gt;0,$C231*S$263*24*Input!$F$58/C$13,0)</f>
        <v>7.1895799940552854</v>
      </c>
      <c r="T287" s="37">
        <f>IF(D$13&gt;0,$C231*T$263*24*Input!$F$58/D$13,0)</f>
        <v>1.1676573458617867</v>
      </c>
      <c r="U287" s="37">
        <f>IF(E$13&gt;0,$C231*U$263*24*Input!$F$58/E$13,0)</f>
        <v>0.15685492871523846</v>
      </c>
      <c r="W287" s="37">
        <f>IF(C$13&gt;0,$C231*W$263*24*Input!$F$58/C$13,0)</f>
        <v>1.0744121951833057</v>
      </c>
      <c r="X287" s="37">
        <f>IF(D$13&gt;0,$C231*X$263*24*Input!$F$58/D$13,0)</f>
        <v>1.0744121951833059</v>
      </c>
      <c r="Y287" s="37">
        <f>IF(E$13&gt;0,$C231*Y$263*24*Input!$F$58/E$13,0)</f>
        <v>1.0744121951833061</v>
      </c>
      <c r="AA287" s="37">
        <f>IF(C$13&gt;0,$C231*AA$263*24*Input!$F$58/C$13,0)</f>
        <v>7.1895799940552854</v>
      </c>
      <c r="AB287" s="37">
        <f>IF(D$13&gt;0,$C231*AB$263*24*Input!$F$58/D$13,0)</f>
        <v>1.1676573458617867</v>
      </c>
      <c r="AC287" s="37">
        <f>IF(E$13&gt;0,$C231*AC$263*24*Input!$F$58/E$13,0)</f>
        <v>0.15685492871523846</v>
      </c>
      <c r="AE287" s="37">
        <f>IF(C$13&gt;0,$C231*AE$263*24*Input!$F$58/C$13,0)</f>
        <v>7.1895799940552854</v>
      </c>
      <c r="AF287" s="37">
        <f>IF(D$13&gt;0,$C231*AF$263*24*Input!$F$58/D$13,0)</f>
        <v>1.1676573458617867</v>
      </c>
      <c r="AG287" s="37">
        <f>IF(E$13&gt;0,$C231*AG$263*24*Input!$F$58/E$13,0)</f>
        <v>0.15685492871523846</v>
      </c>
      <c r="AI287" s="37">
        <f>IF(C$13&gt;0,$C231*AI$263*24*Input!$F$58/C$13,0)</f>
        <v>7.1895799940552854</v>
      </c>
      <c r="AJ287" s="37">
        <f>IF(D$13&gt;0,$C231*AJ$263*24*Input!$F$58/D$13,0)</f>
        <v>1.1676573458617867</v>
      </c>
      <c r="AK287" s="37">
        <f>IF(E$13&gt;0,$C231*AK$263*24*Input!$F$58/E$13,0)</f>
        <v>0.15685492871523846</v>
      </c>
      <c r="AL287" s="17"/>
    </row>
    <row r="288" spans="1:38" x14ac:dyDescent="0.25">
      <c r="A288" s="4" t="s">
        <v>184</v>
      </c>
      <c r="C288" s="37">
        <f>IF(C$13&gt;0,$C232*C$263*24*Input!$F$58/C$13,0)</f>
        <v>-10.002222751448761</v>
      </c>
      <c r="D288" s="37">
        <f>IF(D$13&gt;0,$C232*D$263*24*Input!$F$58/D$13,0)</f>
        <v>-0.3186463537994666</v>
      </c>
      <c r="E288" s="37">
        <f>IF(E$13&gt;0,$C232*E$263*24*Input!$F$58/E$13,0)</f>
        <v>-2.8173090838921312E-2</v>
      </c>
      <c r="G288" s="37">
        <f>IF(C$13&gt;0,$C232*G$263*24*Input!$F$58/C$13,0)</f>
        <v>-7.9307950265696743</v>
      </c>
      <c r="H288" s="37">
        <f>IF(D$13&gt;0,$C232*H$263*24*Input!$F$58/D$13,0)</f>
        <v>-0.79266888459469698</v>
      </c>
      <c r="I288" s="37">
        <f>IF(E$13&gt;0,$C232*I$263*24*Input!$F$58/E$13,0)</f>
        <v>-0.10494792771293197</v>
      </c>
      <c r="K288" s="37">
        <f>IF(C$13&gt;0,$C232*K$263*24*Input!$F$58/C$13,0)</f>
        <v>-7.9307950265696743</v>
      </c>
      <c r="L288" s="37">
        <f>IF(D$13&gt;0,$C232*L$263*24*Input!$F$58/D$13,0)</f>
        <v>-0.79266888459469698</v>
      </c>
      <c r="M288" s="37">
        <f>IF(E$13&gt;0,$C232*M$263*24*Input!$F$58/E$13,0)</f>
        <v>-0.10494792771293197</v>
      </c>
      <c r="O288" s="37">
        <f>IF(C$13&gt;0,$C232*O$263*24*Input!$F$58/C$13,0)</f>
        <v>-6.6916403464953857</v>
      </c>
      <c r="P288" s="37">
        <f>IF(D$13&gt;0,$C232*P$263*24*Input!$F$58/D$13,0)</f>
        <v>-1.0867871298338831</v>
      </c>
      <c r="Q288" s="37">
        <f>IF(E$13&gt;0,$C232*Q$263*24*Input!$F$58/E$13,0)</f>
        <v>-0.14599138898314287</v>
      </c>
      <c r="S288" s="37">
        <f>IF(C$13&gt;0,$C232*S$263*24*Input!$F$58/C$13,0)</f>
        <v>-6.6916403464953857</v>
      </c>
      <c r="T288" s="37">
        <f>IF(D$13&gt;0,$C232*T$263*24*Input!$F$58/D$13,0)</f>
        <v>-1.0867871298338831</v>
      </c>
      <c r="U288" s="37">
        <f>IF(E$13&gt;0,$C232*U$263*24*Input!$F$58/E$13,0)</f>
        <v>-0.14599138898314287</v>
      </c>
      <c r="W288" s="37">
        <f>IF(C$13&gt;0,$C232*W$263*24*Input!$F$58/C$13,0)</f>
        <v>-0.99999999999999989</v>
      </c>
      <c r="X288" s="37">
        <f>IF(D$13&gt;0,$C232*X$263*24*Input!$F$58/D$13,0)</f>
        <v>-1</v>
      </c>
      <c r="Y288" s="37">
        <f>IF(E$13&gt;0,$C232*Y$263*24*Input!$F$58/E$13,0)</f>
        <v>-1.0000000000000002</v>
      </c>
      <c r="AA288" s="37">
        <f>IF(C$13&gt;0,$C232*AA$263*24*Input!$F$58/C$13,0)</f>
        <v>-6.6916403464953857</v>
      </c>
      <c r="AB288" s="37">
        <f>IF(D$13&gt;0,$C232*AB$263*24*Input!$F$58/D$13,0)</f>
        <v>-1.0867871298338831</v>
      </c>
      <c r="AC288" s="37">
        <f>IF(E$13&gt;0,$C232*AC$263*24*Input!$F$58/E$13,0)</f>
        <v>-0.14599138898314287</v>
      </c>
      <c r="AE288" s="37">
        <f>IF(C$13&gt;0,$C232*AE$263*24*Input!$F$58/C$13,0)</f>
        <v>-6.6916403464953857</v>
      </c>
      <c r="AF288" s="37">
        <f>IF(D$13&gt;0,$C232*AF$263*24*Input!$F$58/D$13,0)</f>
        <v>-1.0867871298338831</v>
      </c>
      <c r="AG288" s="37">
        <f>IF(E$13&gt;0,$C232*AG$263*24*Input!$F$58/E$13,0)</f>
        <v>-0.14599138898314287</v>
      </c>
      <c r="AI288" s="37">
        <f>IF(C$13&gt;0,$C232*AI$263*24*Input!$F$58/C$13,0)</f>
        <v>-6.6916403464953857</v>
      </c>
      <c r="AJ288" s="37">
        <f>IF(D$13&gt;0,$C232*AJ$263*24*Input!$F$58/D$13,0)</f>
        <v>-1.0867871298338831</v>
      </c>
      <c r="AK288" s="37">
        <f>IF(E$13&gt;0,$C232*AK$263*24*Input!$F$58/E$13,0)</f>
        <v>-0.14599138898314287</v>
      </c>
      <c r="AL288" s="17"/>
    </row>
    <row r="289" spans="1:38" x14ac:dyDescent="0.25">
      <c r="A289" s="4" t="s">
        <v>186</v>
      </c>
      <c r="C289" s="37">
        <f>IF(C$13&gt;0,$C233*C$263*24*Input!$F$58/C$13,0)</f>
        <v>-10.002222751448761</v>
      </c>
      <c r="D289" s="37">
        <f>IF(D$13&gt;0,$C233*D$263*24*Input!$F$58/D$13,0)</f>
        <v>-0.3186463537994666</v>
      </c>
      <c r="E289" s="37">
        <f>IF(E$13&gt;0,$C233*E$263*24*Input!$F$58/E$13,0)</f>
        <v>-2.8173090838921312E-2</v>
      </c>
      <c r="G289" s="37">
        <f>IF(C$13&gt;0,$C233*G$263*24*Input!$F$58/C$13,0)</f>
        <v>-7.9307950265696743</v>
      </c>
      <c r="H289" s="37">
        <f>IF(D$13&gt;0,$C233*H$263*24*Input!$F$58/D$13,0)</f>
        <v>-0.79266888459469698</v>
      </c>
      <c r="I289" s="37">
        <f>IF(E$13&gt;0,$C233*I$263*24*Input!$F$58/E$13,0)</f>
        <v>-0.10494792771293197</v>
      </c>
      <c r="K289" s="37">
        <f>IF(C$13&gt;0,$C233*K$263*24*Input!$F$58/C$13,0)</f>
        <v>-7.9307950265696743</v>
      </c>
      <c r="L289" s="37">
        <f>IF(D$13&gt;0,$C233*L$263*24*Input!$F$58/D$13,0)</f>
        <v>-0.79266888459469698</v>
      </c>
      <c r="M289" s="37">
        <f>IF(E$13&gt;0,$C233*M$263*24*Input!$F$58/E$13,0)</f>
        <v>-0.10494792771293197</v>
      </c>
      <c r="O289" s="37">
        <f>IF(C$13&gt;0,$C233*O$263*24*Input!$F$58/C$13,0)</f>
        <v>-6.6916403464953857</v>
      </c>
      <c r="P289" s="37">
        <f>IF(D$13&gt;0,$C233*P$263*24*Input!$F$58/D$13,0)</f>
        <v>-1.0867871298338831</v>
      </c>
      <c r="Q289" s="37">
        <f>IF(E$13&gt;0,$C233*Q$263*24*Input!$F$58/E$13,0)</f>
        <v>-0.14599138898314287</v>
      </c>
      <c r="S289" s="37">
        <f>IF(C$13&gt;0,$C233*S$263*24*Input!$F$58/C$13,0)</f>
        <v>-6.6916403464953857</v>
      </c>
      <c r="T289" s="37">
        <f>IF(D$13&gt;0,$C233*T$263*24*Input!$F$58/D$13,0)</f>
        <v>-1.0867871298338831</v>
      </c>
      <c r="U289" s="37">
        <f>IF(E$13&gt;0,$C233*U$263*24*Input!$F$58/E$13,0)</f>
        <v>-0.14599138898314287</v>
      </c>
      <c r="W289" s="37">
        <f>IF(C$13&gt;0,$C233*W$263*24*Input!$F$58/C$13,0)</f>
        <v>-0.99999999999999989</v>
      </c>
      <c r="X289" s="37">
        <f>IF(D$13&gt;0,$C233*X$263*24*Input!$F$58/D$13,0)</f>
        <v>-1</v>
      </c>
      <c r="Y289" s="37">
        <f>IF(E$13&gt;0,$C233*Y$263*24*Input!$F$58/E$13,0)</f>
        <v>-1.0000000000000002</v>
      </c>
      <c r="AA289" s="37">
        <f>IF(C$13&gt;0,$C233*AA$263*24*Input!$F$58/C$13,0)</f>
        <v>-6.6916403464953857</v>
      </c>
      <c r="AB289" s="37">
        <f>IF(D$13&gt;0,$C233*AB$263*24*Input!$F$58/D$13,0)</f>
        <v>-1.0867871298338831</v>
      </c>
      <c r="AC289" s="37">
        <f>IF(E$13&gt;0,$C233*AC$263*24*Input!$F$58/E$13,0)</f>
        <v>-0.14599138898314287</v>
      </c>
      <c r="AE289" s="37">
        <f>IF(C$13&gt;0,$C233*AE$263*24*Input!$F$58/C$13,0)</f>
        <v>-6.6916403464953857</v>
      </c>
      <c r="AF289" s="37">
        <f>IF(D$13&gt;0,$C233*AF$263*24*Input!$F$58/D$13,0)</f>
        <v>-1.0867871298338831</v>
      </c>
      <c r="AG289" s="37">
        <f>IF(E$13&gt;0,$C233*AG$263*24*Input!$F$58/E$13,0)</f>
        <v>-0.14599138898314287</v>
      </c>
      <c r="AI289" s="37">
        <f>IF(C$13&gt;0,$C233*AI$263*24*Input!$F$58/C$13,0)</f>
        <v>-6.6916403464953857</v>
      </c>
      <c r="AJ289" s="37">
        <f>IF(D$13&gt;0,$C233*AJ$263*24*Input!$F$58/D$13,0)</f>
        <v>-1.0867871298338831</v>
      </c>
      <c r="AK289" s="37">
        <f>IF(E$13&gt;0,$C233*AK$263*24*Input!$F$58/E$13,0)</f>
        <v>-0.14599138898314287</v>
      </c>
      <c r="AL289" s="17"/>
    </row>
    <row r="290" spans="1:38" x14ac:dyDescent="0.25">
      <c r="A290" s="4" t="s">
        <v>195</v>
      </c>
      <c r="C290" s="37">
        <f>IF(C$13&gt;0,$C234*C$263*24*Input!$F$58/C$13,0)</f>
        <v>-10.002222751448761</v>
      </c>
      <c r="D290" s="37">
        <f>IF(D$13&gt;0,$C234*D$263*24*Input!$F$58/D$13,0)</f>
        <v>-0.3186463537994666</v>
      </c>
      <c r="E290" s="37">
        <f>IF(E$13&gt;0,$C234*E$263*24*Input!$F$58/E$13,0)</f>
        <v>-2.8173090838921312E-2</v>
      </c>
      <c r="G290" s="37">
        <f>IF(C$13&gt;0,$C234*G$263*24*Input!$F$58/C$13,0)</f>
        <v>-7.9307950265696743</v>
      </c>
      <c r="H290" s="37">
        <f>IF(D$13&gt;0,$C234*H$263*24*Input!$F$58/D$13,0)</f>
        <v>-0.79266888459469698</v>
      </c>
      <c r="I290" s="37">
        <f>IF(E$13&gt;0,$C234*I$263*24*Input!$F$58/E$13,0)</f>
        <v>-0.10494792771293197</v>
      </c>
      <c r="K290" s="37">
        <f>IF(C$13&gt;0,$C234*K$263*24*Input!$F$58/C$13,0)</f>
        <v>-7.9307950265696743</v>
      </c>
      <c r="L290" s="37">
        <f>IF(D$13&gt;0,$C234*L$263*24*Input!$F$58/D$13,0)</f>
        <v>-0.79266888459469698</v>
      </c>
      <c r="M290" s="37">
        <f>IF(E$13&gt;0,$C234*M$263*24*Input!$F$58/E$13,0)</f>
        <v>-0.10494792771293197</v>
      </c>
      <c r="O290" s="37">
        <f>IF(C$13&gt;0,$C234*O$263*24*Input!$F$58/C$13,0)</f>
        <v>-6.6916403464953857</v>
      </c>
      <c r="P290" s="37">
        <f>IF(D$13&gt;0,$C234*P$263*24*Input!$F$58/D$13,0)</f>
        <v>-1.0867871298338831</v>
      </c>
      <c r="Q290" s="37">
        <f>IF(E$13&gt;0,$C234*Q$263*24*Input!$F$58/E$13,0)</f>
        <v>-0.14599138898314287</v>
      </c>
      <c r="S290" s="37">
        <f>IF(C$13&gt;0,$C234*S$263*24*Input!$F$58/C$13,0)</f>
        <v>-6.6916403464953857</v>
      </c>
      <c r="T290" s="37">
        <f>IF(D$13&gt;0,$C234*T$263*24*Input!$F$58/D$13,0)</f>
        <v>-1.0867871298338831</v>
      </c>
      <c r="U290" s="37">
        <f>IF(E$13&gt;0,$C234*U$263*24*Input!$F$58/E$13,0)</f>
        <v>-0.14599138898314287</v>
      </c>
      <c r="W290" s="37">
        <f>IF(C$13&gt;0,$C234*W$263*24*Input!$F$58/C$13,0)</f>
        <v>-0.99999999999999989</v>
      </c>
      <c r="X290" s="37">
        <f>IF(D$13&gt;0,$C234*X$263*24*Input!$F$58/D$13,0)</f>
        <v>-1</v>
      </c>
      <c r="Y290" s="37">
        <f>IF(E$13&gt;0,$C234*Y$263*24*Input!$F$58/E$13,0)</f>
        <v>-1.0000000000000002</v>
      </c>
      <c r="AA290" s="37">
        <f>IF(C$13&gt;0,$C234*AA$263*24*Input!$F$58/C$13,0)</f>
        <v>-6.6916403464953857</v>
      </c>
      <c r="AB290" s="37">
        <f>IF(D$13&gt;0,$C234*AB$263*24*Input!$F$58/D$13,0)</f>
        <v>-1.0867871298338831</v>
      </c>
      <c r="AC290" s="37">
        <f>IF(E$13&gt;0,$C234*AC$263*24*Input!$F$58/E$13,0)</f>
        <v>-0.14599138898314287</v>
      </c>
      <c r="AE290" s="37">
        <f>IF(C$13&gt;0,$C234*AE$263*24*Input!$F$58/C$13,0)</f>
        <v>-6.6916403464953857</v>
      </c>
      <c r="AF290" s="37">
        <f>IF(D$13&gt;0,$C234*AF$263*24*Input!$F$58/D$13,0)</f>
        <v>-1.0867871298338831</v>
      </c>
      <c r="AG290" s="37">
        <f>IF(E$13&gt;0,$C234*AG$263*24*Input!$F$58/E$13,0)</f>
        <v>-0.14599138898314287</v>
      </c>
      <c r="AI290" s="37">
        <f>IF(C$13&gt;0,$C234*AI$263*24*Input!$F$58/C$13,0)</f>
        <v>-6.6916403464953857</v>
      </c>
      <c r="AJ290" s="37">
        <f>IF(D$13&gt;0,$C234*AJ$263*24*Input!$F$58/D$13,0)</f>
        <v>-1.0867871298338831</v>
      </c>
      <c r="AK290" s="37">
        <f>IF(E$13&gt;0,$C234*AK$263*24*Input!$F$58/E$13,0)</f>
        <v>-0.14599138898314287</v>
      </c>
      <c r="AL290" s="17"/>
    </row>
    <row r="292" spans="1:38" ht="21" customHeight="1" x14ac:dyDescent="0.3">
      <c r="A292" s="1" t="s">
        <v>630</v>
      </c>
    </row>
    <row r="293" spans="1:38" x14ac:dyDescent="0.25">
      <c r="A293" s="2" t="s">
        <v>350</v>
      </c>
    </row>
    <row r="294" spans="1:38" x14ac:dyDescent="0.25">
      <c r="A294" s="32" t="s">
        <v>631</v>
      </c>
    </row>
    <row r="295" spans="1:38" x14ac:dyDescent="0.25">
      <c r="A295" s="2" t="s">
        <v>632</v>
      </c>
    </row>
    <row r="297" spans="1:38" x14ac:dyDescent="0.25">
      <c r="B297" s="29" t="s">
        <v>139</v>
      </c>
      <c r="C297" s="15" t="s">
        <v>326</v>
      </c>
      <c r="D297" s="15" t="s">
        <v>327</v>
      </c>
      <c r="E297" s="15" t="s">
        <v>328</v>
      </c>
      <c r="F297" s="29" t="s">
        <v>140</v>
      </c>
      <c r="G297" s="15" t="s">
        <v>326</v>
      </c>
      <c r="H297" s="15" t="s">
        <v>327</v>
      </c>
      <c r="I297" s="15" t="s">
        <v>328</v>
      </c>
      <c r="J297" s="29" t="s">
        <v>141</v>
      </c>
      <c r="K297" s="15" t="s">
        <v>326</v>
      </c>
      <c r="L297" s="15" t="s">
        <v>327</v>
      </c>
      <c r="M297" s="15" t="s">
        <v>328</v>
      </c>
      <c r="N297" s="29" t="s">
        <v>142</v>
      </c>
      <c r="O297" s="15" t="s">
        <v>326</v>
      </c>
      <c r="P297" s="15" t="s">
        <v>327</v>
      </c>
      <c r="Q297" s="15" t="s">
        <v>328</v>
      </c>
      <c r="R297" s="29" t="s">
        <v>143</v>
      </c>
      <c r="S297" s="15" t="s">
        <v>326</v>
      </c>
      <c r="T297" s="15" t="s">
        <v>327</v>
      </c>
      <c r="U297" s="15" t="s">
        <v>328</v>
      </c>
      <c r="V297" s="29" t="s">
        <v>148</v>
      </c>
      <c r="W297" s="15" t="s">
        <v>326</v>
      </c>
      <c r="X297" s="15" t="s">
        <v>327</v>
      </c>
      <c r="Y297" s="15" t="s">
        <v>328</v>
      </c>
      <c r="Z297" s="29" t="s">
        <v>144</v>
      </c>
      <c r="AA297" s="15" t="s">
        <v>326</v>
      </c>
      <c r="AB297" s="15" t="s">
        <v>327</v>
      </c>
      <c r="AC297" s="15" t="s">
        <v>328</v>
      </c>
      <c r="AD297" s="29" t="s">
        <v>145</v>
      </c>
      <c r="AE297" s="15" t="s">
        <v>326</v>
      </c>
      <c r="AF297" s="15" t="s">
        <v>327</v>
      </c>
      <c r="AG297" s="15" t="s">
        <v>328</v>
      </c>
      <c r="AH297" s="29" t="s">
        <v>146</v>
      </c>
      <c r="AI297" s="15" t="s">
        <v>326</v>
      </c>
      <c r="AJ297" s="15" t="s">
        <v>327</v>
      </c>
      <c r="AK297" s="15" t="s">
        <v>328</v>
      </c>
    </row>
    <row r="298" spans="1:38" x14ac:dyDescent="0.25">
      <c r="A298" s="4" t="s">
        <v>171</v>
      </c>
      <c r="C298" s="38">
        <f>C$274</f>
        <v>14.038787814662816</v>
      </c>
      <c r="D298" s="38">
        <f>D$274</f>
        <v>0.44724144423385709</v>
      </c>
      <c r="E298" s="38">
        <f>E$274</f>
        <v>3.9542815052139198E-2</v>
      </c>
      <c r="G298" s="38">
        <f>G$274</f>
        <v>11.13140062427305</v>
      </c>
      <c r="H298" s="38">
        <f>H$274</f>
        <v>1.1125637325462043</v>
      </c>
      <c r="I298" s="38">
        <f>I$274</f>
        <v>0.14730142742892013</v>
      </c>
      <c r="K298" s="38">
        <f>K$274</f>
        <v>11.13140062427305</v>
      </c>
      <c r="L298" s="38">
        <f>L$274</f>
        <v>1.1125637325462043</v>
      </c>
      <c r="M298" s="38">
        <f>M$274</f>
        <v>0.14730142742892013</v>
      </c>
      <c r="O298" s="38">
        <f>O$274</f>
        <v>9.3921642509789631</v>
      </c>
      <c r="P298" s="38">
        <f>P$274</f>
        <v>1.5253783378533921</v>
      </c>
      <c r="Q298" s="38">
        <f>Q$274</f>
        <v>0.20490866716654377</v>
      </c>
      <c r="S298" s="38">
        <f>S$274</f>
        <v>9.3921642509789631</v>
      </c>
      <c r="T298" s="38">
        <f>T$274</f>
        <v>1.5253783378533921</v>
      </c>
      <c r="U298" s="38">
        <f>U$274</f>
        <v>0.20490866716654377</v>
      </c>
      <c r="W298" s="38">
        <f>W$274</f>
        <v>1.4035668034517013</v>
      </c>
      <c r="X298" s="38">
        <f>X$274</f>
        <v>1.4035668034517013</v>
      </c>
      <c r="Y298" s="38">
        <f>Y$274</f>
        <v>1.4035668034517013</v>
      </c>
      <c r="AA298" s="38">
        <f>AA$274</f>
        <v>9.3921642509789631</v>
      </c>
      <c r="AB298" s="38">
        <f>AB$274</f>
        <v>1.5253783378533921</v>
      </c>
      <c r="AC298" s="38">
        <f>AC$274</f>
        <v>0.20490866716654377</v>
      </c>
      <c r="AE298" s="38">
        <f>AE$274</f>
        <v>9.3921642509789631</v>
      </c>
      <c r="AF298" s="38">
        <f>AF$274</f>
        <v>1.5253783378533921</v>
      </c>
      <c r="AG298" s="38">
        <f>AG$274</f>
        <v>0.20490866716654377</v>
      </c>
      <c r="AI298" s="38">
        <f>AI$274</f>
        <v>9.3921642509789631</v>
      </c>
      <c r="AJ298" s="38">
        <f>AJ$274</f>
        <v>1.5253783378533921</v>
      </c>
      <c r="AK298" s="38">
        <f>AK$274</f>
        <v>0.20490866716654377</v>
      </c>
      <c r="AL298" s="17"/>
    </row>
    <row r="299" spans="1:38" x14ac:dyDescent="0.25">
      <c r="A299" s="4" t="s">
        <v>173</v>
      </c>
      <c r="C299" s="38">
        <f>C$277</f>
        <v>13.964532837936257</v>
      </c>
      <c r="D299" s="38">
        <f>D$277</f>
        <v>0.44487586228538928</v>
      </c>
      <c r="E299" s="38">
        <f>E$277</f>
        <v>3.9333662321136852E-2</v>
      </c>
      <c r="G299" s="38">
        <f>G$277</f>
        <v>11.072523611157564</v>
      </c>
      <c r="H299" s="38">
        <f>H$277</f>
        <v>1.1066790796005457</v>
      </c>
      <c r="I299" s="38">
        <f>I$277</f>
        <v>0.14652231001437388</v>
      </c>
      <c r="K299" s="38">
        <f>K$277</f>
        <v>11.072523611157564</v>
      </c>
      <c r="L299" s="38">
        <f>L$277</f>
        <v>1.1066790796005457</v>
      </c>
      <c r="M299" s="38">
        <f>M$277</f>
        <v>0.14652231001437388</v>
      </c>
      <c r="O299" s="38">
        <f>O$277</f>
        <v>9.3424865332817095</v>
      </c>
      <c r="P299" s="38">
        <f>P$277</f>
        <v>1.5173101958975603</v>
      </c>
      <c r="Q299" s="38">
        <f>Q$277</f>
        <v>0.20382484935318312</v>
      </c>
      <c r="S299" s="38">
        <f>S$277</f>
        <v>9.3424865332817095</v>
      </c>
      <c r="T299" s="38">
        <f>T$277</f>
        <v>1.5173101958975603</v>
      </c>
      <c r="U299" s="38">
        <f>U$277</f>
        <v>0.20382484935318312</v>
      </c>
      <c r="W299" s="38">
        <f>W$277</f>
        <v>1.3961429559158318</v>
      </c>
      <c r="X299" s="38">
        <f>X$277</f>
        <v>1.396142955915832</v>
      </c>
      <c r="Y299" s="38">
        <f>Y$277</f>
        <v>1.3961429559158323</v>
      </c>
      <c r="AA299" s="38">
        <f>AA$277</f>
        <v>9.3424865332817095</v>
      </c>
      <c r="AB299" s="38">
        <f>AB$277</f>
        <v>1.5173101958975603</v>
      </c>
      <c r="AC299" s="38">
        <f>AC$277</f>
        <v>0.20382484935318312</v>
      </c>
      <c r="AE299" s="38">
        <f>AE$277</f>
        <v>9.3424865332817095</v>
      </c>
      <c r="AF299" s="38">
        <f>AF$277</f>
        <v>1.5173101958975603</v>
      </c>
      <c r="AG299" s="38">
        <f>AG$277</f>
        <v>0.20382484935318312</v>
      </c>
      <c r="AI299" s="38">
        <f>AI$277</f>
        <v>9.3424865332817095</v>
      </c>
      <c r="AJ299" s="38">
        <f>AJ$277</f>
        <v>1.5173101958975603</v>
      </c>
      <c r="AK299" s="38">
        <f>AK$277</f>
        <v>0.20382484935318312</v>
      </c>
      <c r="AL299" s="17"/>
    </row>
    <row r="301" spans="1:38" ht="21" customHeight="1" x14ac:dyDescent="0.3">
      <c r="A301" s="1" t="s">
        <v>633</v>
      </c>
    </row>
    <row r="302" spans="1:38" x14ac:dyDescent="0.25">
      <c r="A302" s="2" t="s">
        <v>350</v>
      </c>
    </row>
    <row r="303" spans="1:38" x14ac:dyDescent="0.25">
      <c r="A303" s="32" t="s">
        <v>573</v>
      </c>
    </row>
    <row r="304" spans="1:38" x14ac:dyDescent="0.25">
      <c r="A304" s="2" t="s">
        <v>632</v>
      </c>
    </row>
    <row r="306" spans="1:5" ht="45" x14ac:dyDescent="0.25">
      <c r="B306" s="15" t="s">
        <v>634</v>
      </c>
    </row>
    <row r="307" spans="1:5" x14ac:dyDescent="0.25">
      <c r="A307" s="4" t="s">
        <v>171</v>
      </c>
      <c r="B307" s="21">
        <f>B$119</f>
        <v>6643439.9717970481</v>
      </c>
      <c r="C307" s="17"/>
    </row>
    <row r="308" spans="1:5" x14ac:dyDescent="0.25">
      <c r="A308" s="4" t="s">
        <v>173</v>
      </c>
      <c r="B308" s="21">
        <f>B$122</f>
        <v>1575953.3705314007</v>
      </c>
      <c r="C308" s="17"/>
    </row>
    <row r="310" spans="1:5" ht="21" customHeight="1" x14ac:dyDescent="0.3">
      <c r="A310" s="1" t="s">
        <v>635</v>
      </c>
    </row>
    <row r="311" spans="1:5" x14ac:dyDescent="0.25">
      <c r="A311" s="2" t="s">
        <v>350</v>
      </c>
    </row>
    <row r="312" spans="1:5" x14ac:dyDescent="0.25">
      <c r="A312" s="32" t="s">
        <v>636</v>
      </c>
    </row>
    <row r="313" spans="1:5" x14ac:dyDescent="0.25">
      <c r="A313" s="2" t="s">
        <v>632</v>
      </c>
    </row>
    <row r="315" spans="1:5" x14ac:dyDescent="0.25">
      <c r="B315" s="15" t="s">
        <v>326</v>
      </c>
      <c r="C315" s="15" t="s">
        <v>327</v>
      </c>
      <c r="D315" s="15" t="s">
        <v>328</v>
      </c>
    </row>
    <row r="316" spans="1:5" x14ac:dyDescent="0.25">
      <c r="A316" s="4" t="s">
        <v>171</v>
      </c>
      <c r="B316" s="39">
        <f>B$43</f>
        <v>0.1267129394160639</v>
      </c>
      <c r="C316" s="39">
        <f>C$43</f>
        <v>0.33181157293058772</v>
      </c>
      <c r="D316" s="39">
        <f>D$43</f>
        <v>0.54147548765334852</v>
      </c>
      <c r="E316" s="17"/>
    </row>
    <row r="317" spans="1:5" x14ac:dyDescent="0.25">
      <c r="A317" s="4" t="s">
        <v>173</v>
      </c>
      <c r="B317" s="39">
        <f>B$46</f>
        <v>0.109274314230623</v>
      </c>
      <c r="C317" s="39">
        <f>C$46</f>
        <v>0.447827832406547</v>
      </c>
      <c r="D317" s="39">
        <f>D$46</f>
        <v>0.44289785336283</v>
      </c>
      <c r="E317" s="17"/>
    </row>
    <row r="319" spans="1:5" ht="21" customHeight="1" x14ac:dyDescent="0.3">
      <c r="A319" s="1" t="s">
        <v>637</v>
      </c>
    </row>
    <row r="320" spans="1:5" x14ac:dyDescent="0.25">
      <c r="A320" s="2" t="s">
        <v>350</v>
      </c>
    </row>
    <row r="321" spans="1:11" x14ac:dyDescent="0.25">
      <c r="A321" s="32" t="s">
        <v>638</v>
      </c>
    </row>
    <row r="322" spans="1:11" x14ac:dyDescent="0.25">
      <c r="A322" s="32" t="s">
        <v>639</v>
      </c>
    </row>
    <row r="323" spans="1:11" x14ac:dyDescent="0.25">
      <c r="A323" s="2" t="s">
        <v>363</v>
      </c>
    </row>
    <row r="325" spans="1:11" x14ac:dyDescent="0.25">
      <c r="B325" s="15" t="s">
        <v>139</v>
      </c>
      <c r="C325" s="15" t="s">
        <v>140</v>
      </c>
      <c r="D325" s="15" t="s">
        <v>141</v>
      </c>
      <c r="E325" s="15" t="s">
        <v>142</v>
      </c>
      <c r="F325" s="15" t="s">
        <v>143</v>
      </c>
      <c r="G325" s="15" t="s">
        <v>148</v>
      </c>
      <c r="H325" s="15" t="s">
        <v>144</v>
      </c>
      <c r="I325" s="15" t="s">
        <v>145</v>
      </c>
      <c r="J325" s="15" t="s">
        <v>146</v>
      </c>
    </row>
    <row r="326" spans="1:11" x14ac:dyDescent="0.25">
      <c r="A326" s="4" t="s">
        <v>171</v>
      </c>
      <c r="B326" s="37">
        <f>SUMPRODUCT($C298:$E298,$B316:$D316)</f>
        <v>1.9487074219888729</v>
      </c>
      <c r="C326" s="37">
        <f>SUMPRODUCT($G298:$I298,$B316:$D316)</f>
        <v>1.8594141272502376</v>
      </c>
      <c r="D326" s="37">
        <f>SUMPRODUCT($K298:$M298,$B316:$D316)</f>
        <v>1.8594141272502376</v>
      </c>
      <c r="E326" s="37">
        <f>SUMPRODUCT($O298:$Q298,$B316:$D316)</f>
        <v>1.8071999457957999</v>
      </c>
      <c r="F326" s="37">
        <f>SUMPRODUCT($S298:$U298,$B316:$D316)</f>
        <v>1.8071999457957999</v>
      </c>
      <c r="G326" s="37">
        <f>SUMPRODUCT($W298:$Y298,$B316:$D316)</f>
        <v>1.4035668034517015</v>
      </c>
      <c r="H326" s="37">
        <f>SUMPRODUCT($AA298:$AC298,$B316:$D316)</f>
        <v>1.8071999457957999</v>
      </c>
      <c r="I326" s="37">
        <f>SUMPRODUCT($AE298:$AG298,$B316:$D316)</f>
        <v>1.8071999457957999</v>
      </c>
      <c r="J326" s="37">
        <f>SUMPRODUCT($AI298:$AK298,$B316:$D316)</f>
        <v>1.8071999457957999</v>
      </c>
      <c r="K326" s="17"/>
    </row>
    <row r="327" spans="1:11" x14ac:dyDescent="0.25">
      <c r="A327" s="4" t="s">
        <v>173</v>
      </c>
      <c r="B327" s="37">
        <f>SUMPRODUCT($C299:$E299,$B317:$D317)</f>
        <v>1.7426133371206898</v>
      </c>
      <c r="C327" s="37">
        <f>SUMPRODUCT($G299:$I299,$B317:$D317)</f>
        <v>1.7704385343739384</v>
      </c>
      <c r="D327" s="37">
        <f>SUMPRODUCT($K299:$M299,$B317:$D317)</f>
        <v>1.7704385343739384</v>
      </c>
      <c r="E327" s="37">
        <f>SUMPRODUCT($O299:$Q299,$B317:$D317)</f>
        <v>1.7906611334908742</v>
      </c>
      <c r="F327" s="37">
        <f>SUMPRODUCT($S299:$U299,$B317:$D317)</f>
        <v>1.7906611334908742</v>
      </c>
      <c r="G327" s="37">
        <f>SUMPRODUCT($W299:$Y299,$B317:$D317)</f>
        <v>1.396142955915832</v>
      </c>
      <c r="H327" s="37">
        <f>SUMPRODUCT($AA299:$AC299,$B317:$D317)</f>
        <v>1.7906611334908742</v>
      </c>
      <c r="I327" s="37">
        <f>SUMPRODUCT($AE299:$AG299,$B317:$D317)</f>
        <v>1.7906611334908742</v>
      </c>
      <c r="J327" s="37">
        <f>SUMPRODUCT($AI299:$AK299,$B317:$D317)</f>
        <v>1.7906611334908742</v>
      </c>
      <c r="K327" s="17"/>
    </row>
    <row r="329" spans="1:11" ht="21" customHeight="1" x14ac:dyDescent="0.3">
      <c r="A329" s="1" t="s">
        <v>640</v>
      </c>
    </row>
    <row r="330" spans="1:11" x14ac:dyDescent="0.25">
      <c r="A330" s="2" t="s">
        <v>350</v>
      </c>
    </row>
    <row r="331" spans="1:11" x14ac:dyDescent="0.25">
      <c r="A331" s="32" t="s">
        <v>573</v>
      </c>
    </row>
    <row r="332" spans="1:11" x14ac:dyDescent="0.25">
      <c r="A332" s="2" t="s">
        <v>632</v>
      </c>
    </row>
    <row r="334" spans="1:11" ht="45" x14ac:dyDescent="0.25">
      <c r="B334" s="15" t="s">
        <v>641</v>
      </c>
    </row>
    <row r="335" spans="1:11" x14ac:dyDescent="0.25">
      <c r="A335" s="4" t="s">
        <v>172</v>
      </c>
      <c r="B335" s="21">
        <f>B$120</f>
        <v>951470.60774900892</v>
      </c>
      <c r="C335" s="17"/>
    </row>
    <row r="336" spans="1:11" x14ac:dyDescent="0.25">
      <c r="A336" s="4" t="s">
        <v>174</v>
      </c>
      <c r="B336" s="21">
        <f>B$123</f>
        <v>791480.42273707187</v>
      </c>
      <c r="C336" s="17"/>
    </row>
    <row r="338" spans="1:38" ht="21" customHeight="1" x14ac:dyDescent="0.3">
      <c r="A338" s="1" t="s">
        <v>642</v>
      </c>
    </row>
    <row r="339" spans="1:38" x14ac:dyDescent="0.25">
      <c r="A339" s="2" t="s">
        <v>350</v>
      </c>
    </row>
    <row r="340" spans="1:38" x14ac:dyDescent="0.25">
      <c r="A340" s="32" t="s">
        <v>631</v>
      </c>
    </row>
    <row r="341" spans="1:38" x14ac:dyDescent="0.25">
      <c r="A341" s="2" t="s">
        <v>632</v>
      </c>
    </row>
    <row r="343" spans="1:38" x14ac:dyDescent="0.25">
      <c r="B343" s="29" t="s">
        <v>139</v>
      </c>
      <c r="C343" s="15" t="s">
        <v>326</v>
      </c>
      <c r="D343" s="15" t="s">
        <v>327</v>
      </c>
      <c r="E343" s="15" t="s">
        <v>328</v>
      </c>
      <c r="F343" s="29" t="s">
        <v>140</v>
      </c>
      <c r="G343" s="15" t="s">
        <v>326</v>
      </c>
      <c r="H343" s="15" t="s">
        <v>327</v>
      </c>
      <c r="I343" s="15" t="s">
        <v>328</v>
      </c>
      <c r="J343" s="29" t="s">
        <v>141</v>
      </c>
      <c r="K343" s="15" t="s">
        <v>326</v>
      </c>
      <c r="L343" s="15" t="s">
        <v>327</v>
      </c>
      <c r="M343" s="15" t="s">
        <v>328</v>
      </c>
      <c r="N343" s="29" t="s">
        <v>142</v>
      </c>
      <c r="O343" s="15" t="s">
        <v>326</v>
      </c>
      <c r="P343" s="15" t="s">
        <v>327</v>
      </c>
      <c r="Q343" s="15" t="s">
        <v>328</v>
      </c>
      <c r="R343" s="29" t="s">
        <v>143</v>
      </c>
      <c r="S343" s="15" t="s">
        <v>326</v>
      </c>
      <c r="T343" s="15" t="s">
        <v>327</v>
      </c>
      <c r="U343" s="15" t="s">
        <v>328</v>
      </c>
      <c r="V343" s="29" t="s">
        <v>148</v>
      </c>
      <c r="W343" s="15" t="s">
        <v>326</v>
      </c>
      <c r="X343" s="15" t="s">
        <v>327</v>
      </c>
      <c r="Y343" s="15" t="s">
        <v>328</v>
      </c>
      <c r="Z343" s="29" t="s">
        <v>144</v>
      </c>
      <c r="AA343" s="15" t="s">
        <v>326</v>
      </c>
      <c r="AB343" s="15" t="s">
        <v>327</v>
      </c>
      <c r="AC343" s="15" t="s">
        <v>328</v>
      </c>
      <c r="AD343" s="29" t="s">
        <v>145</v>
      </c>
      <c r="AE343" s="15" t="s">
        <v>326</v>
      </c>
      <c r="AF343" s="15" t="s">
        <v>327</v>
      </c>
      <c r="AG343" s="15" t="s">
        <v>328</v>
      </c>
      <c r="AH343" s="29" t="s">
        <v>146</v>
      </c>
      <c r="AI343" s="15" t="s">
        <v>326</v>
      </c>
      <c r="AJ343" s="15" t="s">
        <v>327</v>
      </c>
      <c r="AK343" s="15" t="s">
        <v>328</v>
      </c>
    </row>
    <row r="344" spans="1:38" x14ac:dyDescent="0.25">
      <c r="A344" s="4" t="s">
        <v>172</v>
      </c>
      <c r="C344" s="38">
        <f>C$275</f>
        <v>15.758131506696277</v>
      </c>
      <c r="D344" s="38">
        <f>D$275</f>
        <v>0.50201552915565328</v>
      </c>
      <c r="E344" s="38">
        <f>E$275</f>
        <v>4.4385661209706412E-2</v>
      </c>
      <c r="G344" s="38">
        <f>G$275</f>
        <v>12.494673842695207</v>
      </c>
      <c r="H344" s="38">
        <f>H$275</f>
        <v>1.2488204707198953</v>
      </c>
      <c r="I344" s="38">
        <f>I$275</f>
        <v>0.16534157330340357</v>
      </c>
      <c r="K344" s="38">
        <f>K$275</f>
        <v>12.494673842695207</v>
      </c>
      <c r="L344" s="38">
        <f>L$275</f>
        <v>1.2488204707198953</v>
      </c>
      <c r="M344" s="38">
        <f>M$275</f>
        <v>0.16534157330340357</v>
      </c>
      <c r="O344" s="38">
        <f>O$275</f>
        <v>10.542431537061647</v>
      </c>
      <c r="P344" s="38">
        <f>P$275</f>
        <v>1.712192873251775</v>
      </c>
      <c r="Q344" s="38">
        <f>Q$275</f>
        <v>0.2300040264658568</v>
      </c>
      <c r="S344" s="38">
        <f>S$275</f>
        <v>10.542431537061647</v>
      </c>
      <c r="T344" s="38">
        <f>T$275</f>
        <v>1.712192873251775</v>
      </c>
      <c r="U344" s="38">
        <f>U$275</f>
        <v>0.2300040264658568</v>
      </c>
      <c r="W344" s="38">
        <f>W$275</f>
        <v>1.5754629644109663</v>
      </c>
      <c r="X344" s="38">
        <f>X$275</f>
        <v>1.5754629644109663</v>
      </c>
      <c r="Y344" s="38">
        <f>Y$275</f>
        <v>1.5754629644109663</v>
      </c>
      <c r="AA344" s="38">
        <f>AA$275</f>
        <v>10.542431537061647</v>
      </c>
      <c r="AB344" s="38">
        <f>AB$275</f>
        <v>1.712192873251775</v>
      </c>
      <c r="AC344" s="38">
        <f>AC$275</f>
        <v>0.2300040264658568</v>
      </c>
      <c r="AE344" s="38">
        <f>AE$275</f>
        <v>10.542431537061647</v>
      </c>
      <c r="AF344" s="38">
        <f>AF$275</f>
        <v>1.712192873251775</v>
      </c>
      <c r="AG344" s="38">
        <f>AG$275</f>
        <v>0.2300040264658568</v>
      </c>
      <c r="AI344" s="38">
        <f>AI$275</f>
        <v>10.542431537061647</v>
      </c>
      <c r="AJ344" s="38">
        <f>AJ$275</f>
        <v>1.712192873251775</v>
      </c>
      <c r="AK344" s="38">
        <f>AK$275</f>
        <v>0.2300040264658568</v>
      </c>
      <c r="AL344" s="17"/>
    </row>
    <row r="345" spans="1:38" x14ac:dyDescent="0.25">
      <c r="A345" s="4" t="s">
        <v>174</v>
      </c>
      <c r="C345" s="38">
        <f>C$278</f>
        <v>13.173939917030248</v>
      </c>
      <c r="D345" s="38">
        <f>D$278</f>
        <v>0.41968950542787176</v>
      </c>
      <c r="E345" s="38">
        <f>E$278</f>
        <v>3.7106812676734859E-2</v>
      </c>
      <c r="G345" s="38">
        <f>G$278</f>
        <v>10.445659906862</v>
      </c>
      <c r="H345" s="38">
        <f>H$278</f>
        <v>1.0440251651301589</v>
      </c>
      <c r="I345" s="38">
        <f>I$278</f>
        <v>0.13822704497425251</v>
      </c>
      <c r="K345" s="38">
        <f>K$278</f>
        <v>10.445659906862</v>
      </c>
      <c r="L345" s="38">
        <f>L$278</f>
        <v>1.0440251651301589</v>
      </c>
      <c r="M345" s="38">
        <f>M$278</f>
        <v>0.13822704497425251</v>
      </c>
      <c r="O345" s="38">
        <f>O$278</f>
        <v>8.8135677500620506</v>
      </c>
      <c r="P345" s="38">
        <f>P$278</f>
        <v>1.4314086685341576</v>
      </c>
      <c r="Q345" s="38">
        <f>Q$278</f>
        <v>0.19228543841309084</v>
      </c>
      <c r="S345" s="38">
        <f>S$278</f>
        <v>8.8135677500620506</v>
      </c>
      <c r="T345" s="38">
        <f>T$278</f>
        <v>1.4314086685341576</v>
      </c>
      <c r="U345" s="38">
        <f>U$278</f>
        <v>0.19228543841309084</v>
      </c>
      <c r="W345" s="38">
        <f>W$278</f>
        <v>1.3171012328356799</v>
      </c>
      <c r="X345" s="38">
        <f>X$278</f>
        <v>1.3171012328356801</v>
      </c>
      <c r="Y345" s="38">
        <f>Y$278</f>
        <v>1.3171012328356801</v>
      </c>
      <c r="AA345" s="38">
        <f>AA$278</f>
        <v>8.8135677500620506</v>
      </c>
      <c r="AB345" s="38">
        <f>AB$278</f>
        <v>1.4314086685341576</v>
      </c>
      <c r="AC345" s="38">
        <f>AC$278</f>
        <v>0.19228543841309084</v>
      </c>
      <c r="AE345" s="38">
        <f>AE$278</f>
        <v>8.8135677500620506</v>
      </c>
      <c r="AF345" s="38">
        <f>AF$278</f>
        <v>1.4314086685341576</v>
      </c>
      <c r="AG345" s="38">
        <f>AG$278</f>
        <v>0.19228543841309084</v>
      </c>
      <c r="AI345" s="38">
        <f>AI$278</f>
        <v>8.8135677500620506</v>
      </c>
      <c r="AJ345" s="38">
        <f>AJ$278</f>
        <v>1.4314086685341576</v>
      </c>
      <c r="AK345" s="38">
        <f>AK$278</f>
        <v>0.19228543841309084</v>
      </c>
      <c r="AL345" s="17"/>
    </row>
    <row r="347" spans="1:38" ht="21" customHeight="1" x14ac:dyDescent="0.3">
      <c r="A347" s="1" t="s">
        <v>643</v>
      </c>
    </row>
    <row r="348" spans="1:38" x14ac:dyDescent="0.25">
      <c r="A348" s="2" t="s">
        <v>350</v>
      </c>
    </row>
    <row r="349" spans="1:38" x14ac:dyDescent="0.25">
      <c r="A349" s="32" t="s">
        <v>644</v>
      </c>
    </row>
    <row r="350" spans="1:38" x14ac:dyDescent="0.25">
      <c r="A350" s="2" t="s">
        <v>632</v>
      </c>
    </row>
    <row r="352" spans="1:38" x14ac:dyDescent="0.25">
      <c r="B352" s="15" t="s">
        <v>326</v>
      </c>
      <c r="C352" s="15" t="s">
        <v>327</v>
      </c>
      <c r="D352" s="15" t="s">
        <v>328</v>
      </c>
    </row>
    <row r="353" spans="1:11" x14ac:dyDescent="0.25">
      <c r="A353" s="4" t="s">
        <v>172</v>
      </c>
      <c r="B353" s="39">
        <f>B$178</f>
        <v>6.758881985023249E-2</v>
      </c>
      <c r="C353" s="39">
        <f>C$178</f>
        <v>0.17389031813495912</v>
      </c>
      <c r="D353" s="39">
        <f>D$178</f>
        <v>0.75852086201480839</v>
      </c>
      <c r="E353" s="17"/>
    </row>
    <row r="354" spans="1:11" x14ac:dyDescent="0.25">
      <c r="A354" s="4" t="s">
        <v>174</v>
      </c>
      <c r="B354" s="39">
        <f>B$179</f>
        <v>8.8000744961455074E-2</v>
      </c>
      <c r="C354" s="39">
        <f>C$179</f>
        <v>0.33132260736719038</v>
      </c>
      <c r="D354" s="39">
        <f>D$179</f>
        <v>0.58067664767135452</v>
      </c>
      <c r="E354" s="17"/>
    </row>
    <row r="356" spans="1:11" ht="21" customHeight="1" x14ac:dyDescent="0.3">
      <c r="A356" s="1" t="s">
        <v>645</v>
      </c>
    </row>
    <row r="357" spans="1:11" x14ac:dyDescent="0.25">
      <c r="A357" s="2" t="s">
        <v>350</v>
      </c>
    </row>
    <row r="358" spans="1:11" x14ac:dyDescent="0.25">
      <c r="A358" s="32" t="s">
        <v>646</v>
      </c>
    </row>
    <row r="359" spans="1:11" x14ac:dyDescent="0.25">
      <c r="A359" s="32" t="s">
        <v>647</v>
      </c>
    </row>
    <row r="360" spans="1:11" x14ac:dyDescent="0.25">
      <c r="A360" s="2" t="s">
        <v>363</v>
      </c>
    </row>
    <row r="362" spans="1:11" x14ac:dyDescent="0.25">
      <c r="B362" s="15" t="s">
        <v>139</v>
      </c>
      <c r="C362" s="15" t="s">
        <v>140</v>
      </c>
      <c r="D362" s="15" t="s">
        <v>141</v>
      </c>
      <c r="E362" s="15" t="s">
        <v>142</v>
      </c>
      <c r="F362" s="15" t="s">
        <v>143</v>
      </c>
      <c r="G362" s="15" t="s">
        <v>148</v>
      </c>
      <c r="H362" s="15" t="s">
        <v>144</v>
      </c>
      <c r="I362" s="15" t="s">
        <v>145</v>
      </c>
      <c r="J362" s="15" t="s">
        <v>146</v>
      </c>
    </row>
    <row r="363" spans="1:11" x14ac:dyDescent="0.25">
      <c r="A363" s="4" t="s">
        <v>172</v>
      </c>
      <c r="B363" s="37">
        <f>SUMPRODUCT($C344:$E344,$B353:$D353)</f>
        <v>1.1860366016578174</v>
      </c>
      <c r="C363" s="37">
        <f>SUMPRODUCT($G344:$I344,$B353:$D353)</f>
        <v>1.1870730810972527</v>
      </c>
      <c r="D363" s="37">
        <f>SUMPRODUCT($K344:$M344,$B353:$D353)</f>
        <v>1.1870730810972527</v>
      </c>
      <c r="E363" s="37">
        <f>SUMPRODUCT($O344:$Q344,$B353:$D353)</f>
        <v>1.1847471218017886</v>
      </c>
      <c r="F363" s="37">
        <f>SUMPRODUCT($S344:$U344,$B353:$D353)</f>
        <v>1.1847471218017886</v>
      </c>
      <c r="G363" s="37">
        <f>SUMPRODUCT($W344:$Y344,$B353:$D353)</f>
        <v>1.5754629644109661</v>
      </c>
      <c r="H363" s="37">
        <f>SUMPRODUCT($AA344:$AC344,$B353:$D353)</f>
        <v>1.1847471218017886</v>
      </c>
      <c r="I363" s="37">
        <f>SUMPRODUCT($AE344:$AG344,$B353:$D353)</f>
        <v>1.1847471218017886</v>
      </c>
      <c r="J363" s="37">
        <f>SUMPRODUCT($AI344:$AK344,$B353:$D353)</f>
        <v>1.1847471218017886</v>
      </c>
      <c r="K363" s="17"/>
    </row>
    <row r="364" spans="1:11" x14ac:dyDescent="0.25">
      <c r="A364" s="4" t="s">
        <v>174</v>
      </c>
      <c r="B364" s="37">
        <f>SUMPRODUCT($C345:$E345,$B354:$D354)</f>
        <v>1.3199162075900157</v>
      </c>
      <c r="C364" s="37">
        <f>SUMPRODUCT($G345:$I345,$B354:$D354)</f>
        <v>1.3454002103789118</v>
      </c>
      <c r="D364" s="37">
        <f>SUMPRODUCT($K345:$M345,$B354:$D354)</f>
        <v>1.3454002103789118</v>
      </c>
      <c r="E364" s="37">
        <f>SUMPRODUCT($O345:$Q345,$B354:$D354)</f>
        <v>1.3615142438141816</v>
      </c>
      <c r="F364" s="37">
        <f>SUMPRODUCT($S345:$U345,$B354:$D354)</f>
        <v>1.3615142438141816</v>
      </c>
      <c r="G364" s="37">
        <f>SUMPRODUCT($W345:$Y345,$B354:$D354)</f>
        <v>1.3171012328356801</v>
      </c>
      <c r="H364" s="37">
        <f>SUMPRODUCT($AA345:$AC345,$B354:$D354)</f>
        <v>1.3615142438141816</v>
      </c>
      <c r="I364" s="37">
        <f>SUMPRODUCT($AE345:$AG345,$B354:$D354)</f>
        <v>1.3615142438141816</v>
      </c>
      <c r="J364" s="37">
        <f>SUMPRODUCT($AI345:$AK345,$B354:$D354)</f>
        <v>1.3615142438141816</v>
      </c>
      <c r="K364" s="17"/>
    </row>
    <row r="366" spans="1:11" ht="21" customHeight="1" x14ac:dyDescent="0.3">
      <c r="A366" s="1" t="s">
        <v>648</v>
      </c>
    </row>
    <row r="367" spans="1:11" x14ac:dyDescent="0.25">
      <c r="A367" s="2" t="s">
        <v>350</v>
      </c>
    </row>
    <row r="368" spans="1:11" x14ac:dyDescent="0.25">
      <c r="A368" s="32" t="s">
        <v>573</v>
      </c>
    </row>
    <row r="369" spans="1:38" x14ac:dyDescent="0.25">
      <c r="A369" s="2" t="s">
        <v>632</v>
      </c>
    </row>
    <row r="371" spans="1:38" ht="45" x14ac:dyDescent="0.25">
      <c r="B371" s="15" t="s">
        <v>649</v>
      </c>
    </row>
    <row r="372" spans="1:38" x14ac:dyDescent="0.25">
      <c r="A372" s="4" t="s">
        <v>213</v>
      </c>
      <c r="B372" s="21">
        <f>B$121</f>
        <v>16657.9640809597</v>
      </c>
      <c r="C372" s="17"/>
    </row>
    <row r="373" spans="1:38" x14ac:dyDescent="0.25">
      <c r="A373" s="4" t="s">
        <v>214</v>
      </c>
      <c r="B373" s="21">
        <f>B$124</f>
        <v>18224.065631184701</v>
      </c>
      <c r="C373" s="17"/>
    </row>
    <row r="375" spans="1:38" ht="21" customHeight="1" x14ac:dyDescent="0.3">
      <c r="A375" s="1" t="s">
        <v>650</v>
      </c>
    </row>
    <row r="376" spans="1:38" x14ac:dyDescent="0.25">
      <c r="A376" s="2" t="s">
        <v>350</v>
      </c>
    </row>
    <row r="377" spans="1:38" x14ac:dyDescent="0.25">
      <c r="A377" s="32" t="s">
        <v>631</v>
      </c>
    </row>
    <row r="378" spans="1:38" x14ac:dyDescent="0.25">
      <c r="A378" s="2" t="s">
        <v>632</v>
      </c>
    </row>
    <row r="380" spans="1:38" x14ac:dyDescent="0.25">
      <c r="B380" s="29" t="s">
        <v>139</v>
      </c>
      <c r="C380" s="15" t="s">
        <v>326</v>
      </c>
      <c r="D380" s="15" t="s">
        <v>327</v>
      </c>
      <c r="E380" s="15" t="s">
        <v>328</v>
      </c>
      <c r="F380" s="29" t="s">
        <v>140</v>
      </c>
      <c r="G380" s="15" t="s">
        <v>326</v>
      </c>
      <c r="H380" s="15" t="s">
        <v>327</v>
      </c>
      <c r="I380" s="15" t="s">
        <v>328</v>
      </c>
      <c r="J380" s="29" t="s">
        <v>141</v>
      </c>
      <c r="K380" s="15" t="s">
        <v>326</v>
      </c>
      <c r="L380" s="15" t="s">
        <v>327</v>
      </c>
      <c r="M380" s="15" t="s">
        <v>328</v>
      </c>
      <c r="N380" s="29" t="s">
        <v>142</v>
      </c>
      <c r="O380" s="15" t="s">
        <v>326</v>
      </c>
      <c r="P380" s="15" t="s">
        <v>327</v>
      </c>
      <c r="Q380" s="15" t="s">
        <v>328</v>
      </c>
      <c r="R380" s="29" t="s">
        <v>143</v>
      </c>
      <c r="S380" s="15" t="s">
        <v>326</v>
      </c>
      <c r="T380" s="15" t="s">
        <v>327</v>
      </c>
      <c r="U380" s="15" t="s">
        <v>328</v>
      </c>
      <c r="V380" s="29" t="s">
        <v>148</v>
      </c>
      <c r="W380" s="15" t="s">
        <v>326</v>
      </c>
      <c r="X380" s="15" t="s">
        <v>327</v>
      </c>
      <c r="Y380" s="15" t="s">
        <v>328</v>
      </c>
      <c r="Z380" s="29" t="s">
        <v>144</v>
      </c>
      <c r="AA380" s="15" t="s">
        <v>326</v>
      </c>
      <c r="AB380" s="15" t="s">
        <v>327</v>
      </c>
      <c r="AC380" s="15" t="s">
        <v>328</v>
      </c>
      <c r="AD380" s="29" t="s">
        <v>145</v>
      </c>
      <c r="AE380" s="15" t="s">
        <v>326</v>
      </c>
      <c r="AF380" s="15" t="s">
        <v>327</v>
      </c>
      <c r="AG380" s="15" t="s">
        <v>328</v>
      </c>
      <c r="AH380" s="29" t="s">
        <v>146</v>
      </c>
      <c r="AI380" s="15" t="s">
        <v>326</v>
      </c>
      <c r="AJ380" s="15" t="s">
        <v>327</v>
      </c>
      <c r="AK380" s="15" t="s">
        <v>328</v>
      </c>
    </row>
    <row r="381" spans="1:38" x14ac:dyDescent="0.25">
      <c r="A381" s="4" t="s">
        <v>213</v>
      </c>
      <c r="C381" s="38">
        <f>C$276</f>
        <v>10.002222751448761</v>
      </c>
      <c r="D381" s="38">
        <f>D$276</f>
        <v>0.3186463537994666</v>
      </c>
      <c r="E381" s="38">
        <f>E$276</f>
        <v>2.8173090838921312E-2</v>
      </c>
      <c r="G381" s="38">
        <f>G$276</f>
        <v>7.9307950265696743</v>
      </c>
      <c r="H381" s="38">
        <f>H$276</f>
        <v>0.79266888459469698</v>
      </c>
      <c r="I381" s="38">
        <f>I$276</f>
        <v>0.10494792771293197</v>
      </c>
      <c r="K381" s="38">
        <f>K$276</f>
        <v>7.9307950265696743</v>
      </c>
      <c r="L381" s="38">
        <f>L$276</f>
        <v>0.79266888459469698</v>
      </c>
      <c r="M381" s="38">
        <f>M$276</f>
        <v>0.10494792771293197</v>
      </c>
      <c r="O381" s="38">
        <f>O$276</f>
        <v>6.6916403464953857</v>
      </c>
      <c r="P381" s="38">
        <f>P$276</f>
        <v>1.0867871298338831</v>
      </c>
      <c r="Q381" s="38">
        <f>Q$276</f>
        <v>0.14599138898314287</v>
      </c>
      <c r="S381" s="38">
        <f>S$276</f>
        <v>6.6916403464953857</v>
      </c>
      <c r="T381" s="38">
        <f>T$276</f>
        <v>1.0867871298338831</v>
      </c>
      <c r="U381" s="38">
        <f>U$276</f>
        <v>0.14599138898314287</v>
      </c>
      <c r="W381" s="38">
        <f>W$276</f>
        <v>0.99999999999999989</v>
      </c>
      <c r="X381" s="38">
        <f>X$276</f>
        <v>1</v>
      </c>
      <c r="Y381" s="38">
        <f>Y$276</f>
        <v>1.0000000000000002</v>
      </c>
      <c r="AA381" s="38">
        <f>AA$276</f>
        <v>6.6916403464953857</v>
      </c>
      <c r="AB381" s="38">
        <f>AB$276</f>
        <v>1.0867871298338831</v>
      </c>
      <c r="AC381" s="38">
        <f>AC$276</f>
        <v>0.14599138898314287</v>
      </c>
      <c r="AE381" s="38">
        <f>AE$276</f>
        <v>6.6916403464953857</v>
      </c>
      <c r="AF381" s="38">
        <f>AF$276</f>
        <v>1.0867871298338831</v>
      </c>
      <c r="AG381" s="38">
        <f>AG$276</f>
        <v>0.14599138898314287</v>
      </c>
      <c r="AI381" s="38">
        <f>AI$276</f>
        <v>6.6916403464953857</v>
      </c>
      <c r="AJ381" s="38">
        <f>AJ$276</f>
        <v>1.0867871298338831</v>
      </c>
      <c r="AK381" s="38">
        <f>AK$276</f>
        <v>0.14599138898314287</v>
      </c>
      <c r="AL381" s="17"/>
    </row>
    <row r="382" spans="1:38" x14ac:dyDescent="0.25">
      <c r="A382" s="4" t="s">
        <v>214</v>
      </c>
      <c r="C382" s="38">
        <f>C$279</f>
        <v>10.002222751448761</v>
      </c>
      <c r="D382" s="38">
        <f>D$279</f>
        <v>0.3186463537994666</v>
      </c>
      <c r="E382" s="38">
        <f>E$279</f>
        <v>2.8173090838921312E-2</v>
      </c>
      <c r="G382" s="38">
        <f>G$279</f>
        <v>7.9307950265696743</v>
      </c>
      <c r="H382" s="38">
        <f>H$279</f>
        <v>0.79266888459469698</v>
      </c>
      <c r="I382" s="38">
        <f>I$279</f>
        <v>0.10494792771293197</v>
      </c>
      <c r="K382" s="38">
        <f>K$279</f>
        <v>7.9307950265696743</v>
      </c>
      <c r="L382" s="38">
        <f>L$279</f>
        <v>0.79266888459469698</v>
      </c>
      <c r="M382" s="38">
        <f>M$279</f>
        <v>0.10494792771293197</v>
      </c>
      <c r="O382" s="38">
        <f>O$279</f>
        <v>6.6916403464953857</v>
      </c>
      <c r="P382" s="38">
        <f>P$279</f>
        <v>1.0867871298338831</v>
      </c>
      <c r="Q382" s="38">
        <f>Q$279</f>
        <v>0.14599138898314287</v>
      </c>
      <c r="S382" s="38">
        <f>S$279</f>
        <v>6.6916403464953857</v>
      </c>
      <c r="T382" s="38">
        <f>T$279</f>
        <v>1.0867871298338831</v>
      </c>
      <c r="U382" s="38">
        <f>U$279</f>
        <v>0.14599138898314287</v>
      </c>
      <c r="W382" s="38">
        <f>W$279</f>
        <v>0.99999999999999989</v>
      </c>
      <c r="X382" s="38">
        <f>X$279</f>
        <v>1</v>
      </c>
      <c r="Y382" s="38">
        <f>Y$279</f>
        <v>1.0000000000000002</v>
      </c>
      <c r="AA382" s="38">
        <f>AA$279</f>
        <v>6.6916403464953857</v>
      </c>
      <c r="AB382" s="38">
        <f>AB$279</f>
        <v>1.0867871298338831</v>
      </c>
      <c r="AC382" s="38">
        <f>AC$279</f>
        <v>0.14599138898314287</v>
      </c>
      <c r="AE382" s="38">
        <f>AE$279</f>
        <v>6.6916403464953857</v>
      </c>
      <c r="AF382" s="38">
        <f>AF$279</f>
        <v>1.0867871298338831</v>
      </c>
      <c r="AG382" s="38">
        <f>AG$279</f>
        <v>0.14599138898314287</v>
      </c>
      <c r="AI382" s="38">
        <f>AI$279</f>
        <v>6.6916403464953857</v>
      </c>
      <c r="AJ382" s="38">
        <f>AJ$279</f>
        <v>1.0867871298338831</v>
      </c>
      <c r="AK382" s="38">
        <f>AK$279</f>
        <v>0.14599138898314287</v>
      </c>
      <c r="AL382" s="17"/>
    </row>
    <row r="384" spans="1:38" ht="21" customHeight="1" x14ac:dyDescent="0.3">
      <c r="A384" s="1" t="s">
        <v>651</v>
      </c>
    </row>
    <row r="385" spans="1:11" x14ac:dyDescent="0.25">
      <c r="A385" s="2" t="s">
        <v>350</v>
      </c>
    </row>
    <row r="386" spans="1:11" x14ac:dyDescent="0.25">
      <c r="A386" s="32" t="s">
        <v>636</v>
      </c>
    </row>
    <row r="387" spans="1:11" x14ac:dyDescent="0.25">
      <c r="A387" s="2" t="s">
        <v>632</v>
      </c>
    </row>
    <row r="389" spans="1:11" x14ac:dyDescent="0.25">
      <c r="B389" s="15" t="s">
        <v>326</v>
      </c>
      <c r="C389" s="15" t="s">
        <v>327</v>
      </c>
      <c r="D389" s="15" t="s">
        <v>328</v>
      </c>
    </row>
    <row r="390" spans="1:11" x14ac:dyDescent="0.25">
      <c r="A390" s="4" t="s">
        <v>213</v>
      </c>
      <c r="B390" s="39">
        <f>B$45</f>
        <v>5.2959339628810709E-3</v>
      </c>
      <c r="C390" s="39">
        <f>C$45</f>
        <v>9.4141842042598817E-2</v>
      </c>
      <c r="D390" s="39">
        <f>D$45</f>
        <v>0.90056222399452013</v>
      </c>
      <c r="E390" s="17"/>
    </row>
    <row r="391" spans="1:11" x14ac:dyDescent="0.25">
      <c r="A391" s="4" t="s">
        <v>214</v>
      </c>
      <c r="B391" s="39">
        <f>B$48</f>
        <v>1.5755592705031696E-3</v>
      </c>
      <c r="C391" s="39">
        <f>C$48</f>
        <v>5.0778904213195086E-2</v>
      </c>
      <c r="D391" s="39">
        <f>D$48</f>
        <v>0.94764553651630179</v>
      </c>
      <c r="E391" s="17"/>
    </row>
    <row r="393" spans="1:11" ht="21" customHeight="1" x14ac:dyDescent="0.3">
      <c r="A393" s="1" t="s">
        <v>652</v>
      </c>
    </row>
    <row r="394" spans="1:11" x14ac:dyDescent="0.25">
      <c r="A394" s="2" t="s">
        <v>350</v>
      </c>
    </row>
    <row r="395" spans="1:11" x14ac:dyDescent="0.25">
      <c r="A395" s="32" t="s">
        <v>653</v>
      </c>
    </row>
    <row r="396" spans="1:11" x14ac:dyDescent="0.25">
      <c r="A396" s="32" t="s">
        <v>654</v>
      </c>
    </row>
    <row r="397" spans="1:11" x14ac:dyDescent="0.25">
      <c r="A397" s="2" t="s">
        <v>363</v>
      </c>
    </row>
    <row r="399" spans="1:11" x14ac:dyDescent="0.25">
      <c r="B399" s="15" t="s">
        <v>139</v>
      </c>
      <c r="C399" s="15" t="s">
        <v>140</v>
      </c>
      <c r="D399" s="15" t="s">
        <v>141</v>
      </c>
      <c r="E399" s="15" t="s">
        <v>142</v>
      </c>
      <c r="F399" s="15" t="s">
        <v>143</v>
      </c>
      <c r="G399" s="15" t="s">
        <v>148</v>
      </c>
      <c r="H399" s="15" t="s">
        <v>144</v>
      </c>
      <c r="I399" s="15" t="s">
        <v>145</v>
      </c>
      <c r="J399" s="15" t="s">
        <v>146</v>
      </c>
    </row>
    <row r="400" spans="1:11" x14ac:dyDescent="0.25">
      <c r="A400" s="4" t="s">
        <v>213</v>
      </c>
      <c r="B400" s="37">
        <f>SUMPRODUCT($C381:$E381,$B390:$D390)</f>
        <v>0.10834068722323729</v>
      </c>
      <c r="C400" s="37">
        <f>SUMPRODUCT($G381:$I381,$B390:$D390)</f>
        <v>0.21113641484422974</v>
      </c>
      <c r="D400" s="37">
        <f>SUMPRODUCT($K381:$M381,$B390:$D390)</f>
        <v>0.21113641484422974</v>
      </c>
      <c r="E400" s="37">
        <f>SUMPRODUCT($O381:$Q381,$B390:$D390)</f>
        <v>0.26922495763584919</v>
      </c>
      <c r="F400" s="37">
        <f>SUMPRODUCT($S381:$U381,$B390:$D390)</f>
        <v>0.26922495763584919</v>
      </c>
      <c r="G400" s="37">
        <f>SUMPRODUCT($W381:$Y381,$B390:$D390)</f>
        <v>1.0000000000000002</v>
      </c>
      <c r="H400" s="37">
        <f>SUMPRODUCT($AA381:$AC381,$B390:$D390)</f>
        <v>0.26922495763584919</v>
      </c>
      <c r="I400" s="37">
        <f>SUMPRODUCT($AE381:$AG381,$B390:$D390)</f>
        <v>0.26922495763584919</v>
      </c>
      <c r="J400" s="37">
        <f>SUMPRODUCT($AI381:$AK381,$B390:$D390)</f>
        <v>0.26922495763584919</v>
      </c>
      <c r="K400" s="17"/>
    </row>
    <row r="401" spans="1:11" x14ac:dyDescent="0.25">
      <c r="A401" s="4" t="s">
        <v>214</v>
      </c>
      <c r="B401" s="37">
        <f>SUMPRODUCT($C382:$E382,$B391:$D391)</f>
        <v>5.8637711242521887E-2</v>
      </c>
      <c r="C401" s="37">
        <f>SUMPRODUCT($G382:$I382,$B391:$D391)</f>
        <v>0.15219973025398206</v>
      </c>
      <c r="D401" s="37">
        <f>SUMPRODUCT($K382:$M382,$B391:$D391)</f>
        <v>0.15219973025398206</v>
      </c>
      <c r="E401" s="37">
        <f>SUMPRODUCT($O382:$Q382,$B391:$D391)</f>
        <v>0.20407702368845237</v>
      </c>
      <c r="F401" s="37">
        <f>SUMPRODUCT($S382:$U382,$B391:$D391)</f>
        <v>0.20407702368845237</v>
      </c>
      <c r="G401" s="37">
        <f>SUMPRODUCT($W382:$Y382,$B391:$D391)</f>
        <v>1.0000000000000002</v>
      </c>
      <c r="H401" s="37">
        <f>SUMPRODUCT($AA382:$AC382,$B391:$D391)</f>
        <v>0.20407702368845237</v>
      </c>
      <c r="I401" s="37">
        <f>SUMPRODUCT($AE382:$AG382,$B391:$D391)</f>
        <v>0.20407702368845237</v>
      </c>
      <c r="J401" s="37">
        <f>SUMPRODUCT($AI382:$AK382,$B391:$D391)</f>
        <v>0.20407702368845237</v>
      </c>
      <c r="K401" s="17"/>
    </row>
    <row r="403" spans="1:11" ht="21" customHeight="1" x14ac:dyDescent="0.3">
      <c r="A403" s="1" t="s">
        <v>655</v>
      </c>
    </row>
    <row r="404" spans="1:11" x14ac:dyDescent="0.25">
      <c r="A404" s="2" t="s">
        <v>350</v>
      </c>
    </row>
    <row r="405" spans="1:11" x14ac:dyDescent="0.25">
      <c r="A405" s="32" t="s">
        <v>573</v>
      </c>
    </row>
    <row r="406" spans="1:11" x14ac:dyDescent="0.25">
      <c r="A406" s="2" t="s">
        <v>632</v>
      </c>
    </row>
    <row r="408" spans="1:11" ht="45" x14ac:dyDescent="0.25">
      <c r="B408" s="15" t="s">
        <v>656</v>
      </c>
    </row>
    <row r="409" spans="1:11" x14ac:dyDescent="0.25">
      <c r="A409" s="4" t="s">
        <v>177</v>
      </c>
      <c r="B409" s="21">
        <f>B$128</f>
        <v>0</v>
      </c>
      <c r="C409" s="17"/>
    </row>
    <row r="410" spans="1:11" x14ac:dyDescent="0.25">
      <c r="A410" s="4" t="s">
        <v>178</v>
      </c>
      <c r="B410" s="21">
        <f>B$129</f>
        <v>512249.98082569428</v>
      </c>
      <c r="C410" s="17"/>
    </row>
    <row r="412" spans="1:11" ht="21" customHeight="1" x14ac:dyDescent="0.3">
      <c r="A412" s="1" t="s">
        <v>657</v>
      </c>
    </row>
    <row r="413" spans="1:11" x14ac:dyDescent="0.25">
      <c r="A413" s="2" t="s">
        <v>350</v>
      </c>
    </row>
    <row r="414" spans="1:11" x14ac:dyDescent="0.25">
      <c r="A414" s="32" t="s">
        <v>631</v>
      </c>
    </row>
    <row r="415" spans="1:11" x14ac:dyDescent="0.25">
      <c r="A415" s="2" t="s">
        <v>632</v>
      </c>
    </row>
    <row r="417" spans="1:38" x14ac:dyDescent="0.25">
      <c r="B417" s="29" t="s">
        <v>139</v>
      </c>
      <c r="C417" s="15" t="s">
        <v>326</v>
      </c>
      <c r="D417" s="15" t="s">
        <v>327</v>
      </c>
      <c r="E417" s="15" t="s">
        <v>328</v>
      </c>
      <c r="F417" s="29" t="s">
        <v>140</v>
      </c>
      <c r="G417" s="15" t="s">
        <v>326</v>
      </c>
      <c r="H417" s="15" t="s">
        <v>327</v>
      </c>
      <c r="I417" s="15" t="s">
        <v>328</v>
      </c>
      <c r="J417" s="29" t="s">
        <v>141</v>
      </c>
      <c r="K417" s="15" t="s">
        <v>326</v>
      </c>
      <c r="L417" s="15" t="s">
        <v>327</v>
      </c>
      <c r="M417" s="15" t="s">
        <v>328</v>
      </c>
      <c r="N417" s="29" t="s">
        <v>142</v>
      </c>
      <c r="O417" s="15" t="s">
        <v>326</v>
      </c>
      <c r="P417" s="15" t="s">
        <v>327</v>
      </c>
      <c r="Q417" s="15" t="s">
        <v>328</v>
      </c>
      <c r="R417" s="29" t="s">
        <v>143</v>
      </c>
      <c r="S417" s="15" t="s">
        <v>326</v>
      </c>
      <c r="T417" s="15" t="s">
        <v>327</v>
      </c>
      <c r="U417" s="15" t="s">
        <v>328</v>
      </c>
      <c r="V417" s="29" t="s">
        <v>148</v>
      </c>
      <c r="W417" s="15" t="s">
        <v>326</v>
      </c>
      <c r="X417" s="15" t="s">
        <v>327</v>
      </c>
      <c r="Y417" s="15" t="s">
        <v>328</v>
      </c>
      <c r="Z417" s="29" t="s">
        <v>144</v>
      </c>
      <c r="AA417" s="15" t="s">
        <v>326</v>
      </c>
      <c r="AB417" s="15" t="s">
        <v>327</v>
      </c>
      <c r="AC417" s="15" t="s">
        <v>328</v>
      </c>
      <c r="AD417" s="29" t="s">
        <v>145</v>
      </c>
      <c r="AE417" s="15" t="s">
        <v>326</v>
      </c>
      <c r="AF417" s="15" t="s">
        <v>327</v>
      </c>
      <c r="AG417" s="15" t="s">
        <v>328</v>
      </c>
      <c r="AH417" s="29" t="s">
        <v>146</v>
      </c>
      <c r="AI417" s="15" t="s">
        <v>326</v>
      </c>
      <c r="AJ417" s="15" t="s">
        <v>327</v>
      </c>
      <c r="AK417" s="15" t="s">
        <v>328</v>
      </c>
    </row>
    <row r="418" spans="1:38" x14ac:dyDescent="0.25">
      <c r="A418" s="4" t="s">
        <v>177</v>
      </c>
      <c r="C418" s="38">
        <f>C$283</f>
        <v>10.002222751448761</v>
      </c>
      <c r="D418" s="38">
        <f>D$283</f>
        <v>0.3186463537994666</v>
      </c>
      <c r="E418" s="38">
        <f>E$283</f>
        <v>2.8173090838921312E-2</v>
      </c>
      <c r="G418" s="38">
        <f>G$283</f>
        <v>7.9307950265696743</v>
      </c>
      <c r="H418" s="38">
        <f>H$283</f>
        <v>0.79266888459469698</v>
      </c>
      <c r="I418" s="38">
        <f>I$283</f>
        <v>0.10494792771293197</v>
      </c>
      <c r="K418" s="38">
        <f>K$283</f>
        <v>7.9307950265696743</v>
      </c>
      <c r="L418" s="38">
        <f>L$283</f>
        <v>0.79266888459469698</v>
      </c>
      <c r="M418" s="38">
        <f>M$283</f>
        <v>0.10494792771293197</v>
      </c>
      <c r="O418" s="38">
        <f>O$283</f>
        <v>6.6916403464953857</v>
      </c>
      <c r="P418" s="38">
        <f>P$283</f>
        <v>1.0867871298338831</v>
      </c>
      <c r="Q418" s="38">
        <f>Q$283</f>
        <v>0.14599138898314287</v>
      </c>
      <c r="S418" s="38">
        <f>S$283</f>
        <v>6.6916403464953857</v>
      </c>
      <c r="T418" s="38">
        <f>T$283</f>
        <v>1.0867871298338831</v>
      </c>
      <c r="U418" s="38">
        <f>U$283</f>
        <v>0.14599138898314287</v>
      </c>
      <c r="W418" s="38">
        <f>W$283</f>
        <v>0.99999999999999989</v>
      </c>
      <c r="X418" s="38">
        <f>X$283</f>
        <v>1</v>
      </c>
      <c r="Y418" s="38">
        <f>Y$283</f>
        <v>1.0000000000000002</v>
      </c>
      <c r="AA418" s="38">
        <f>AA$283</f>
        <v>6.6916403464953857</v>
      </c>
      <c r="AB418" s="38">
        <f>AB$283</f>
        <v>1.0867871298338831</v>
      </c>
      <c r="AC418" s="38">
        <f>AC$283</f>
        <v>0.14599138898314287</v>
      </c>
      <c r="AE418" s="38">
        <f>AE$283</f>
        <v>6.6916403464953857</v>
      </c>
      <c r="AF418" s="38">
        <f>AF$283</f>
        <v>1.0867871298338831</v>
      </c>
      <c r="AG418" s="38">
        <f>AG$283</f>
        <v>0.14599138898314287</v>
      </c>
      <c r="AI418" s="38">
        <f>AI$283</f>
        <v>6.6916403464953857</v>
      </c>
      <c r="AJ418" s="38">
        <f>AJ$283</f>
        <v>1.0867871298338831</v>
      </c>
      <c r="AK418" s="38">
        <f>AK$283</f>
        <v>0.14599138898314287</v>
      </c>
      <c r="AL418" s="17"/>
    </row>
    <row r="419" spans="1:38" x14ac:dyDescent="0.25">
      <c r="A419" s="4" t="s">
        <v>178</v>
      </c>
      <c r="C419" s="38">
        <f>C$284</f>
        <v>13.970937806565441</v>
      </c>
      <c r="D419" s="38">
        <f>D$284</f>
        <v>0.44507990892088289</v>
      </c>
      <c r="E419" s="38">
        <f>E$284</f>
        <v>3.9351703087423966E-2</v>
      </c>
      <c r="G419" s="38">
        <f>G$284</f>
        <v>11.077602131663653</v>
      </c>
      <c r="H419" s="38">
        <f>H$284</f>
        <v>1.1071866687100189</v>
      </c>
      <c r="I419" s="38">
        <f>I$284</f>
        <v>0.14658951389509153</v>
      </c>
      <c r="K419" s="38">
        <f>K$284</f>
        <v>11.077602131663653</v>
      </c>
      <c r="L419" s="38">
        <f>L$284</f>
        <v>1.1071866687100189</v>
      </c>
      <c r="M419" s="38">
        <f>M$284</f>
        <v>0.14658951389509153</v>
      </c>
      <c r="O419" s="38">
        <f>O$284</f>
        <v>9.3467715554774902</v>
      </c>
      <c r="P419" s="38">
        <f>P$284</f>
        <v>1.518006124957147</v>
      </c>
      <c r="Q419" s="38">
        <f>Q$284</f>
        <v>0.20391833560017089</v>
      </c>
      <c r="S419" s="38">
        <f>S$284</f>
        <v>9.3467715554774902</v>
      </c>
      <c r="T419" s="38">
        <f>T$284</f>
        <v>1.518006124957147</v>
      </c>
      <c r="U419" s="38">
        <f>U$284</f>
        <v>0.20391833560017089</v>
      </c>
      <c r="W419" s="38">
        <f>W$284</f>
        <v>1.3967833104438547</v>
      </c>
      <c r="X419" s="38">
        <f>X$284</f>
        <v>1.3967833104438554</v>
      </c>
      <c r="Y419" s="38">
        <f>Y$284</f>
        <v>1.3967833104438554</v>
      </c>
      <c r="AA419" s="38">
        <f>AA$284</f>
        <v>9.3467715554774902</v>
      </c>
      <c r="AB419" s="38">
        <f>AB$284</f>
        <v>1.518006124957147</v>
      </c>
      <c r="AC419" s="38">
        <f>AC$284</f>
        <v>0.20391833560017089</v>
      </c>
      <c r="AE419" s="38">
        <f>AE$284</f>
        <v>9.3467715554774902</v>
      </c>
      <c r="AF419" s="38">
        <f>AF$284</f>
        <v>1.518006124957147</v>
      </c>
      <c r="AG419" s="38">
        <f>AG$284</f>
        <v>0.20391833560017089</v>
      </c>
      <c r="AI419" s="38">
        <f>AI$284</f>
        <v>9.3467715554774902</v>
      </c>
      <c r="AJ419" s="38">
        <f>AJ$284</f>
        <v>1.518006124957147</v>
      </c>
      <c r="AK419" s="38">
        <f>AK$284</f>
        <v>0.20391833560017089</v>
      </c>
      <c r="AL419" s="17"/>
    </row>
    <row r="421" spans="1:38" ht="21" customHeight="1" x14ac:dyDescent="0.3">
      <c r="A421" s="1" t="s">
        <v>658</v>
      </c>
    </row>
    <row r="422" spans="1:38" x14ac:dyDescent="0.25">
      <c r="A422" s="2" t="s">
        <v>350</v>
      </c>
    </row>
    <row r="423" spans="1:38" x14ac:dyDescent="0.25">
      <c r="A423" s="32" t="s">
        <v>659</v>
      </c>
    </row>
    <row r="424" spans="1:38" x14ac:dyDescent="0.25">
      <c r="A424" s="2" t="s">
        <v>632</v>
      </c>
    </row>
    <row r="426" spans="1:38" x14ac:dyDescent="0.25">
      <c r="B426" s="15" t="s">
        <v>326</v>
      </c>
      <c r="C426" s="15" t="s">
        <v>327</v>
      </c>
      <c r="D426" s="15" t="s">
        <v>328</v>
      </c>
    </row>
    <row r="427" spans="1:38" x14ac:dyDescent="0.25">
      <c r="A427" s="4" t="s">
        <v>177</v>
      </c>
      <c r="B427" s="39">
        <f>B$201</f>
        <v>0</v>
      </c>
      <c r="C427" s="39">
        <f>C$201</f>
        <v>0</v>
      </c>
      <c r="D427" s="39">
        <f>D$201</f>
        <v>0</v>
      </c>
      <c r="E427" s="17"/>
    </row>
    <row r="428" spans="1:38" x14ac:dyDescent="0.25">
      <c r="A428" s="4" t="s">
        <v>178</v>
      </c>
      <c r="B428" s="39">
        <f>B$202</f>
        <v>0.10922421748233643</v>
      </c>
      <c r="C428" s="39">
        <f>C$202</f>
        <v>0.38762470572021201</v>
      </c>
      <c r="D428" s="39">
        <f>D$202</f>
        <v>0.50315107679745164</v>
      </c>
      <c r="E428" s="17"/>
    </row>
    <row r="430" spans="1:38" ht="21" customHeight="1" x14ac:dyDescent="0.3">
      <c r="A430" s="1" t="s">
        <v>660</v>
      </c>
    </row>
    <row r="431" spans="1:38" x14ac:dyDescent="0.25">
      <c r="A431" s="2" t="s">
        <v>350</v>
      </c>
    </row>
    <row r="432" spans="1:38" x14ac:dyDescent="0.25">
      <c r="A432" s="32" t="s">
        <v>661</v>
      </c>
    </row>
    <row r="433" spans="1:11" x14ac:dyDescent="0.25">
      <c r="A433" s="32" t="s">
        <v>662</v>
      </c>
    </row>
    <row r="434" spans="1:11" x14ac:dyDescent="0.25">
      <c r="A434" s="2" t="s">
        <v>363</v>
      </c>
    </row>
    <row r="436" spans="1:11" x14ac:dyDescent="0.25">
      <c r="B436" s="15" t="s">
        <v>139</v>
      </c>
      <c r="C436" s="15" t="s">
        <v>140</v>
      </c>
      <c r="D436" s="15" t="s">
        <v>141</v>
      </c>
      <c r="E436" s="15" t="s">
        <v>142</v>
      </c>
      <c r="F436" s="15" t="s">
        <v>143</v>
      </c>
      <c r="G436" s="15" t="s">
        <v>148</v>
      </c>
      <c r="H436" s="15" t="s">
        <v>144</v>
      </c>
      <c r="I436" s="15" t="s">
        <v>145</v>
      </c>
      <c r="J436" s="15" t="s">
        <v>146</v>
      </c>
    </row>
    <row r="437" spans="1:11" x14ac:dyDescent="0.25">
      <c r="A437" s="4" t="s">
        <v>177</v>
      </c>
      <c r="B437" s="37">
        <f>SUMPRODUCT($C418:$E418,$B427:$D427)</f>
        <v>0</v>
      </c>
      <c r="C437" s="37">
        <f>SUMPRODUCT($G418:$I418,$B427:$D427)</f>
        <v>0</v>
      </c>
      <c r="D437" s="37">
        <f>SUMPRODUCT($K418:$M418,$B427:$D427)</f>
        <v>0</v>
      </c>
      <c r="E437" s="37">
        <f>SUMPRODUCT($O418:$Q418,$B427:$D427)</f>
        <v>0</v>
      </c>
      <c r="F437" s="37">
        <f>SUMPRODUCT($S418:$U418,$B427:$D427)</f>
        <v>0</v>
      </c>
      <c r="G437" s="37">
        <f>SUMPRODUCT($W418:$Y418,$B427:$D427)</f>
        <v>0</v>
      </c>
      <c r="H437" s="37">
        <f>SUMPRODUCT($AA418:$AC418,$B427:$D427)</f>
        <v>0</v>
      </c>
      <c r="I437" s="37">
        <f>SUMPRODUCT($AE418:$AG418,$B427:$D427)</f>
        <v>0</v>
      </c>
      <c r="J437" s="37">
        <f>SUMPRODUCT($AI418:$AK418,$B427:$D427)</f>
        <v>0</v>
      </c>
      <c r="K437" s="17"/>
    </row>
    <row r="438" spans="1:11" x14ac:dyDescent="0.25">
      <c r="A438" s="4" t="s">
        <v>178</v>
      </c>
      <c r="B438" s="37">
        <f>SUMPRODUCT($C419:$E419,$B428:$D428)</f>
        <v>1.7182885699161872</v>
      </c>
      <c r="C438" s="37">
        <f>SUMPRODUCT($G419:$I419,$B428:$D428)</f>
        <v>1.7128720028112179</v>
      </c>
      <c r="D438" s="37">
        <f>SUMPRODUCT($K419:$M419,$B428:$D428)</f>
        <v>1.7128720028112179</v>
      </c>
      <c r="E438" s="37">
        <f>SUMPRODUCT($O419:$Q419,$B428:$D428)</f>
        <v>1.711912216737153</v>
      </c>
      <c r="F438" s="37">
        <f>SUMPRODUCT($S419:$U419,$B428:$D428)</f>
        <v>1.711912216737153</v>
      </c>
      <c r="G438" s="37">
        <f>SUMPRODUCT($W419:$Y419,$B428:$D428)</f>
        <v>1.3967833104438554</v>
      </c>
      <c r="H438" s="37">
        <f>SUMPRODUCT($AA419:$AC419,$B428:$D428)</f>
        <v>1.711912216737153</v>
      </c>
      <c r="I438" s="37">
        <f>SUMPRODUCT($AE419:$AG419,$B428:$D428)</f>
        <v>1.711912216737153</v>
      </c>
      <c r="J438" s="37">
        <f>SUMPRODUCT($AI419:$AK419,$B428:$D428)</f>
        <v>1.711912216737153</v>
      </c>
      <c r="K438" s="17"/>
    </row>
    <row r="440" spans="1:11" ht="21" customHeight="1" x14ac:dyDescent="0.3">
      <c r="A440" s="1" t="s">
        <v>663</v>
      </c>
    </row>
    <row r="441" spans="1:11" x14ac:dyDescent="0.25">
      <c r="A441" s="2" t="s">
        <v>350</v>
      </c>
    </row>
    <row r="442" spans="1:11" x14ac:dyDescent="0.25">
      <c r="A442" s="32" t="s">
        <v>664</v>
      </c>
    </row>
    <row r="443" spans="1:11" x14ac:dyDescent="0.25">
      <c r="A443" s="32" t="s">
        <v>665</v>
      </c>
    </row>
    <row r="444" spans="1:11" x14ac:dyDescent="0.25">
      <c r="A444" s="32" t="s">
        <v>666</v>
      </c>
    </row>
    <row r="445" spans="1:11" x14ac:dyDescent="0.25">
      <c r="A445" s="32" t="s">
        <v>667</v>
      </c>
    </row>
    <row r="446" spans="1:11" x14ac:dyDescent="0.25">
      <c r="A446" s="32" t="s">
        <v>668</v>
      </c>
    </row>
    <row r="447" spans="1:11" x14ac:dyDescent="0.25">
      <c r="A447" s="32" t="s">
        <v>669</v>
      </c>
    </row>
    <row r="448" spans="1:11" x14ac:dyDescent="0.25">
      <c r="A448" s="2" t="s">
        <v>670</v>
      </c>
    </row>
    <row r="450" spans="1:11" x14ac:dyDescent="0.25">
      <c r="B450" s="15" t="s">
        <v>139</v>
      </c>
      <c r="C450" s="15" t="s">
        <v>140</v>
      </c>
      <c r="D450" s="15" t="s">
        <v>141</v>
      </c>
      <c r="E450" s="15" t="s">
        <v>142</v>
      </c>
      <c r="F450" s="15" t="s">
        <v>143</v>
      </c>
      <c r="G450" s="15" t="s">
        <v>148</v>
      </c>
      <c r="H450" s="15" t="s">
        <v>144</v>
      </c>
      <c r="I450" s="15" t="s">
        <v>145</v>
      </c>
      <c r="J450" s="15" t="s">
        <v>146</v>
      </c>
    </row>
    <row r="451" spans="1:11" x14ac:dyDescent="0.25">
      <c r="A451" s="4" t="s">
        <v>671</v>
      </c>
      <c r="B451" s="37">
        <f t="shared" ref="B451:J451" si="0">($B307*B326+$B335*B363+$B372*B400)/($B307+$B335+$B372)</f>
        <v>1.8493434567875626</v>
      </c>
      <c r="C451" s="37">
        <f t="shared" si="0"/>
        <v>1.771762063040017</v>
      </c>
      <c r="D451" s="37">
        <f t="shared" si="0"/>
        <v>1.771762063040017</v>
      </c>
      <c r="E451" s="37">
        <f t="shared" si="0"/>
        <v>1.7260254683790297</v>
      </c>
      <c r="F451" s="37">
        <f t="shared" si="0"/>
        <v>1.7260254683790297</v>
      </c>
      <c r="G451" s="37">
        <f t="shared" si="0"/>
        <v>1.4241711693616397</v>
      </c>
      <c r="H451" s="37">
        <f t="shared" si="0"/>
        <v>1.7260254683790297</v>
      </c>
      <c r="I451" s="37">
        <f t="shared" si="0"/>
        <v>1.7260254683790297</v>
      </c>
      <c r="J451" s="37">
        <f t="shared" si="0"/>
        <v>1.7260254683790297</v>
      </c>
      <c r="K451" s="17"/>
    </row>
    <row r="452" spans="1:11" x14ac:dyDescent="0.25">
      <c r="A452" s="4" t="s">
        <v>672</v>
      </c>
      <c r="B452" s="37">
        <f t="shared" ref="B452:J452" si="1">($B308*B327+$B336*B364+$B373*B401)/($B308+$B336+$B373)</f>
        <v>1.5895128479891651</v>
      </c>
      <c r="C452" s="37">
        <f t="shared" si="1"/>
        <v>1.6170634805441251</v>
      </c>
      <c r="D452" s="37">
        <f t="shared" si="1"/>
        <v>1.6170634805441251</v>
      </c>
      <c r="E452" s="37">
        <f t="shared" si="1"/>
        <v>1.636164807360504</v>
      </c>
      <c r="F452" s="37">
        <f t="shared" si="1"/>
        <v>1.636164807360504</v>
      </c>
      <c r="G452" s="37">
        <f t="shared" si="1"/>
        <v>1.3668934508516517</v>
      </c>
      <c r="H452" s="37">
        <f t="shared" si="1"/>
        <v>1.636164807360504</v>
      </c>
      <c r="I452" s="37">
        <f t="shared" si="1"/>
        <v>1.636164807360504</v>
      </c>
      <c r="J452" s="37">
        <f t="shared" si="1"/>
        <v>1.636164807360504</v>
      </c>
      <c r="K452" s="17"/>
    </row>
    <row r="454" spans="1:11" ht="21" customHeight="1" x14ac:dyDescent="0.3">
      <c r="A454" s="1" t="s">
        <v>673</v>
      </c>
    </row>
    <row r="455" spans="1:11" x14ac:dyDescent="0.25">
      <c r="A455" s="2" t="s">
        <v>350</v>
      </c>
    </row>
    <row r="456" spans="1:11" x14ac:dyDescent="0.25">
      <c r="A456" s="32" t="s">
        <v>664</v>
      </c>
    </row>
    <row r="457" spans="1:11" x14ac:dyDescent="0.25">
      <c r="A457" s="32" t="s">
        <v>639</v>
      </c>
    </row>
    <row r="458" spans="1:11" x14ac:dyDescent="0.25">
      <c r="A458" s="32" t="s">
        <v>666</v>
      </c>
    </row>
    <row r="459" spans="1:11" x14ac:dyDescent="0.25">
      <c r="A459" s="32" t="s">
        <v>674</v>
      </c>
    </row>
    <row r="460" spans="1:11" x14ac:dyDescent="0.25">
      <c r="A460" s="32" t="s">
        <v>668</v>
      </c>
    </row>
    <row r="461" spans="1:11" x14ac:dyDescent="0.25">
      <c r="A461" s="32" t="s">
        <v>675</v>
      </c>
    </row>
    <row r="462" spans="1:11" x14ac:dyDescent="0.25">
      <c r="A462" s="2" t="s">
        <v>670</v>
      </c>
    </row>
    <row r="464" spans="1:11" x14ac:dyDescent="0.25">
      <c r="B464" s="15" t="s">
        <v>326</v>
      </c>
      <c r="C464" s="15" t="s">
        <v>327</v>
      </c>
      <c r="D464" s="15" t="s">
        <v>328</v>
      </c>
    </row>
    <row r="465" spans="1:11" x14ac:dyDescent="0.25">
      <c r="A465" s="4" t="s">
        <v>177</v>
      </c>
      <c r="B465" s="39">
        <f t="shared" ref="B465:D466" si="2">($B307*B316+$B335*B353+$B372*B390)/($B307+$B335+$B372)</f>
        <v>0.1190565119980414</v>
      </c>
      <c r="C465" s="39">
        <f t="shared" si="2"/>
        <v>0.31155076528847986</v>
      </c>
      <c r="D465" s="39">
        <f t="shared" si="2"/>
        <v>0.56939272271347885</v>
      </c>
      <c r="E465" s="17"/>
    </row>
    <row r="466" spans="1:11" x14ac:dyDescent="0.25">
      <c r="A466" s="4" t="s">
        <v>178</v>
      </c>
      <c r="B466" s="39">
        <f t="shared" si="2"/>
        <v>0.10139375302317943</v>
      </c>
      <c r="C466" s="39">
        <f t="shared" si="2"/>
        <v>0.40614228637553179</v>
      </c>
      <c r="D466" s="39">
        <f t="shared" si="2"/>
        <v>0.49246396060128883</v>
      </c>
      <c r="E466" s="17"/>
    </row>
    <row r="468" spans="1:11" ht="21" customHeight="1" x14ac:dyDescent="0.3">
      <c r="A468" s="1" t="s">
        <v>676</v>
      </c>
    </row>
    <row r="469" spans="1:11" x14ac:dyDescent="0.25">
      <c r="A469" s="2" t="s">
        <v>350</v>
      </c>
    </row>
    <row r="470" spans="1:11" x14ac:dyDescent="0.25">
      <c r="A470" s="32" t="s">
        <v>661</v>
      </c>
    </row>
    <row r="471" spans="1:11" x14ac:dyDescent="0.25">
      <c r="A471" s="32" t="s">
        <v>677</v>
      </c>
    </row>
    <row r="472" spans="1:11" x14ac:dyDescent="0.25">
      <c r="A472" s="2" t="s">
        <v>363</v>
      </c>
    </row>
    <row r="474" spans="1:11" x14ac:dyDescent="0.25">
      <c r="B474" s="15" t="s">
        <v>139</v>
      </c>
      <c r="C474" s="15" t="s">
        <v>140</v>
      </c>
      <c r="D474" s="15" t="s">
        <v>141</v>
      </c>
      <c r="E474" s="15" t="s">
        <v>142</v>
      </c>
      <c r="F474" s="15" t="s">
        <v>143</v>
      </c>
      <c r="G474" s="15" t="s">
        <v>148</v>
      </c>
      <c r="H474" s="15" t="s">
        <v>144</v>
      </c>
      <c r="I474" s="15" t="s">
        <v>145</v>
      </c>
      <c r="J474" s="15" t="s">
        <v>146</v>
      </c>
    </row>
    <row r="475" spans="1:11" x14ac:dyDescent="0.25">
      <c r="A475" s="4" t="s">
        <v>177</v>
      </c>
      <c r="B475" s="37">
        <f>SUMPRODUCT($C418:$E418,$B465:$D465)</f>
        <v>1.3061458212975772</v>
      </c>
      <c r="C475" s="37">
        <f>SUMPRODUCT($G418:$I418,$B465:$D465)</f>
        <v>1.2509259771542469</v>
      </c>
      <c r="D475" s="37">
        <f>SUMPRODUCT($K418:$M418,$B465:$D465)</f>
        <v>1.2509259771542469</v>
      </c>
      <c r="E475" s="37">
        <f>SUMPRODUCT($O418:$Q418,$B465:$D465)</f>
        <v>1.2183991556703568</v>
      </c>
      <c r="F475" s="37">
        <f>SUMPRODUCT($S418:$U418,$B465:$D465)</f>
        <v>1.2183991556703568</v>
      </c>
      <c r="G475" s="37">
        <f>SUMPRODUCT($W418:$Y418,$B465:$D465)</f>
        <v>1.0000000000000002</v>
      </c>
      <c r="H475" s="37">
        <f>SUMPRODUCT($AA418:$AC418,$B465:$D465)</f>
        <v>1.2183991556703568</v>
      </c>
      <c r="I475" s="37">
        <f>SUMPRODUCT($AE418:$AG418,$B465:$D465)</f>
        <v>1.2183991556703568</v>
      </c>
      <c r="J475" s="37">
        <f>SUMPRODUCT($AI418:$AK418,$B465:$D465)</f>
        <v>1.2183991556703568</v>
      </c>
      <c r="K475" s="17"/>
    </row>
    <row r="476" spans="1:11" x14ac:dyDescent="0.25">
      <c r="A476" s="4" t="s">
        <v>178</v>
      </c>
      <c r="B476" s="37">
        <f>SUMPRODUCT($C419:$E419,$B466:$D466)</f>
        <v>1.6167108848488763</v>
      </c>
      <c r="C476" s="37">
        <f>SUMPRODUCT($G419:$I419,$B466:$D466)</f>
        <v>1.6450650322967404</v>
      </c>
      <c r="D476" s="37">
        <f>SUMPRODUCT($K419:$M419,$B466:$D466)</f>
        <v>1.6450650322967404</v>
      </c>
      <c r="E476" s="37">
        <f>SUMPRODUCT($O419:$Q419,$B466:$D466)</f>
        <v>1.6646531561712032</v>
      </c>
      <c r="F476" s="37">
        <f>SUMPRODUCT($S419:$U419,$B466:$D466)</f>
        <v>1.6646531561712032</v>
      </c>
      <c r="G476" s="37">
        <f>SUMPRODUCT($W419:$Y419,$B466:$D466)</f>
        <v>1.3967833104438554</v>
      </c>
      <c r="H476" s="37">
        <f>SUMPRODUCT($AA419:$AC419,$B466:$D466)</f>
        <v>1.6646531561712032</v>
      </c>
      <c r="I476" s="37">
        <f>SUMPRODUCT($AE419:$AG419,$B466:$D466)</f>
        <v>1.6646531561712032</v>
      </c>
      <c r="J476" s="37">
        <f>SUMPRODUCT($AI419:$AK419,$B466:$D466)</f>
        <v>1.6646531561712032</v>
      </c>
      <c r="K476" s="17"/>
    </row>
    <row r="478" spans="1:11" ht="21" customHeight="1" x14ac:dyDescent="0.3">
      <c r="A478" s="1" t="s">
        <v>678</v>
      </c>
    </row>
    <row r="479" spans="1:11" x14ac:dyDescent="0.25">
      <c r="A479" s="2" t="s">
        <v>350</v>
      </c>
    </row>
    <row r="480" spans="1:11" x14ac:dyDescent="0.25">
      <c r="A480" s="32" t="s">
        <v>679</v>
      </c>
    </row>
    <row r="481" spans="1:11" x14ac:dyDescent="0.25">
      <c r="A481" s="32" t="s">
        <v>680</v>
      </c>
    </row>
    <row r="482" spans="1:11" x14ac:dyDescent="0.25">
      <c r="A482" s="2" t="s">
        <v>430</v>
      </c>
    </row>
    <row r="484" spans="1:11" x14ac:dyDescent="0.25">
      <c r="B484" s="15" t="s">
        <v>139</v>
      </c>
      <c r="C484" s="15" t="s">
        <v>140</v>
      </c>
      <c r="D484" s="15" t="s">
        <v>141</v>
      </c>
      <c r="E484" s="15" t="s">
        <v>142</v>
      </c>
      <c r="F484" s="15" t="s">
        <v>143</v>
      </c>
      <c r="G484" s="15" t="s">
        <v>148</v>
      </c>
      <c r="H484" s="15" t="s">
        <v>144</v>
      </c>
      <c r="I484" s="15" t="s">
        <v>145</v>
      </c>
      <c r="J484" s="15" t="s">
        <v>146</v>
      </c>
    </row>
    <row r="485" spans="1:11" x14ac:dyDescent="0.25">
      <c r="A485" s="4" t="s">
        <v>671</v>
      </c>
      <c r="B485" s="37">
        <f t="shared" ref="B485:J485" si="3">B451/B475</f>
        <v>1.4158782477674288</v>
      </c>
      <c r="C485" s="37">
        <f t="shared" si="3"/>
        <v>1.416360436506906</v>
      </c>
      <c r="D485" s="37">
        <f t="shared" si="3"/>
        <v>1.416360436506906</v>
      </c>
      <c r="E485" s="37">
        <f t="shared" si="3"/>
        <v>1.4166338349351364</v>
      </c>
      <c r="F485" s="37">
        <f t="shared" si="3"/>
        <v>1.4166338349351364</v>
      </c>
      <c r="G485" s="37">
        <f t="shared" si="3"/>
        <v>1.4241711693616395</v>
      </c>
      <c r="H485" s="37">
        <f t="shared" si="3"/>
        <v>1.4166338349351364</v>
      </c>
      <c r="I485" s="37">
        <f t="shared" si="3"/>
        <v>1.4166338349351364</v>
      </c>
      <c r="J485" s="37">
        <f t="shared" si="3"/>
        <v>1.4166338349351364</v>
      </c>
      <c r="K485" s="17"/>
    </row>
    <row r="486" spans="1:11" x14ac:dyDescent="0.25">
      <c r="A486" s="4" t="s">
        <v>672</v>
      </c>
      <c r="B486" s="37">
        <f t="shared" ref="B486:J486" si="4">B452/B476</f>
        <v>0.98317693218088686</v>
      </c>
      <c r="C486" s="37">
        <f t="shared" si="4"/>
        <v>0.98297845300770803</v>
      </c>
      <c r="D486" s="37">
        <f t="shared" si="4"/>
        <v>0.98297845300770803</v>
      </c>
      <c r="E486" s="37">
        <f t="shared" si="4"/>
        <v>0.98288631556364325</v>
      </c>
      <c r="F486" s="37">
        <f t="shared" si="4"/>
        <v>0.98288631556364325</v>
      </c>
      <c r="G486" s="37">
        <f t="shared" si="4"/>
        <v>0.97860093303756213</v>
      </c>
      <c r="H486" s="37">
        <f t="shared" si="4"/>
        <v>0.98288631556364325</v>
      </c>
      <c r="I486" s="37">
        <f t="shared" si="4"/>
        <v>0.98288631556364325</v>
      </c>
      <c r="J486" s="37">
        <f t="shared" si="4"/>
        <v>0.98288631556364325</v>
      </c>
      <c r="K486" s="17"/>
    </row>
    <row r="488" spans="1:11" ht="21" customHeight="1" x14ac:dyDescent="0.3">
      <c r="A488" s="1" t="s">
        <v>681</v>
      </c>
    </row>
    <row r="489" spans="1:11" x14ac:dyDescent="0.25">
      <c r="A489" s="2" t="s">
        <v>350</v>
      </c>
    </row>
    <row r="490" spans="1:11" x14ac:dyDescent="0.25">
      <c r="A490" s="32" t="s">
        <v>664</v>
      </c>
    </row>
    <row r="491" spans="1:11" x14ac:dyDescent="0.25">
      <c r="A491" s="32" t="s">
        <v>665</v>
      </c>
    </row>
    <row r="492" spans="1:11" x14ac:dyDescent="0.25">
      <c r="A492" s="32" t="s">
        <v>666</v>
      </c>
    </row>
    <row r="493" spans="1:11" x14ac:dyDescent="0.25">
      <c r="A493" s="32" t="s">
        <v>667</v>
      </c>
    </row>
    <row r="494" spans="1:11" x14ac:dyDescent="0.25">
      <c r="A494" s="32" t="s">
        <v>668</v>
      </c>
    </row>
    <row r="495" spans="1:11" x14ac:dyDescent="0.25">
      <c r="A495" s="32" t="s">
        <v>669</v>
      </c>
    </row>
    <row r="496" spans="1:11" x14ac:dyDescent="0.25">
      <c r="A496" s="32" t="s">
        <v>682</v>
      </c>
    </row>
    <row r="497" spans="1:38" x14ac:dyDescent="0.25">
      <c r="A497" s="32" t="s">
        <v>683</v>
      </c>
    </row>
    <row r="498" spans="1:38" x14ac:dyDescent="0.25">
      <c r="A498" s="32" t="s">
        <v>684</v>
      </c>
    </row>
    <row r="499" spans="1:38" x14ac:dyDescent="0.25">
      <c r="A499" s="2" t="s">
        <v>685</v>
      </c>
    </row>
    <row r="501" spans="1:38" x14ac:dyDescent="0.25">
      <c r="B501" s="15" t="s">
        <v>139</v>
      </c>
      <c r="C501" s="15" t="s">
        <v>140</v>
      </c>
      <c r="D501" s="15" t="s">
        <v>141</v>
      </c>
      <c r="E501" s="15" t="s">
        <v>142</v>
      </c>
      <c r="F501" s="15" t="s">
        <v>143</v>
      </c>
      <c r="G501" s="15" t="s">
        <v>148</v>
      </c>
      <c r="H501" s="15" t="s">
        <v>144</v>
      </c>
      <c r="I501" s="15" t="s">
        <v>145</v>
      </c>
      <c r="J501" s="15" t="s">
        <v>146</v>
      </c>
    </row>
    <row r="502" spans="1:38" x14ac:dyDescent="0.25">
      <c r="A502" s="4" t="s">
        <v>671</v>
      </c>
      <c r="B502" s="37">
        <f t="shared" ref="B502:J502" si="5">($B307*B326+$B335*B363+$B372*B400+$B409*B437)/($B307*B326+$B335*B363+$B372*B400+$B409*B437*B485)</f>
        <v>1</v>
      </c>
      <c r="C502" s="37">
        <f t="shared" si="5"/>
        <v>1</v>
      </c>
      <c r="D502" s="37">
        <f t="shared" si="5"/>
        <v>1</v>
      </c>
      <c r="E502" s="37">
        <f t="shared" si="5"/>
        <v>1</v>
      </c>
      <c r="F502" s="37">
        <f t="shared" si="5"/>
        <v>1</v>
      </c>
      <c r="G502" s="37">
        <f t="shared" si="5"/>
        <v>1</v>
      </c>
      <c r="H502" s="37">
        <f t="shared" si="5"/>
        <v>1</v>
      </c>
      <c r="I502" s="37">
        <f t="shared" si="5"/>
        <v>1</v>
      </c>
      <c r="J502" s="37">
        <f t="shared" si="5"/>
        <v>1</v>
      </c>
      <c r="K502" s="17"/>
    </row>
    <row r="503" spans="1:38" x14ac:dyDescent="0.25">
      <c r="A503" s="4" t="s">
        <v>672</v>
      </c>
      <c r="B503" s="37">
        <f t="shared" ref="B503:J503" si="6">($B308*B327+$B336*B364+$B373*B401+$B410*B438)/($B308*B327+$B336*B364+$B373*B401+$B410*B438*B486)</f>
        <v>1.0031793466729109</v>
      </c>
      <c r="C503" s="37">
        <f t="shared" si="6"/>
        <v>1.0031640362946639</v>
      </c>
      <c r="D503" s="37">
        <f t="shared" si="6"/>
        <v>1.0031640362946639</v>
      </c>
      <c r="E503" s="37">
        <f t="shared" si="6"/>
        <v>1.0031493531649804</v>
      </c>
      <c r="F503" s="37">
        <f t="shared" si="6"/>
        <v>1.0031493531649804</v>
      </c>
      <c r="G503" s="37">
        <f t="shared" si="6"/>
        <v>1.0038653301410942</v>
      </c>
      <c r="H503" s="37">
        <f t="shared" si="6"/>
        <v>1.0031493531649804</v>
      </c>
      <c r="I503" s="37">
        <f t="shared" si="6"/>
        <v>1.0031493531649804</v>
      </c>
      <c r="J503" s="37">
        <f t="shared" si="6"/>
        <v>1.0031493531649804</v>
      </c>
      <c r="K503" s="17"/>
    </row>
    <row r="505" spans="1:38" ht="21" customHeight="1" x14ac:dyDescent="0.3">
      <c r="A505" s="1" t="s">
        <v>686</v>
      </c>
    </row>
    <row r="506" spans="1:38" x14ac:dyDescent="0.25">
      <c r="A506" s="2" t="s">
        <v>350</v>
      </c>
    </row>
    <row r="507" spans="1:38" x14ac:dyDescent="0.25">
      <c r="A507" s="32" t="s">
        <v>638</v>
      </c>
    </row>
    <row r="508" spans="1:38" x14ac:dyDescent="0.25">
      <c r="A508" s="32" t="s">
        <v>687</v>
      </c>
    </row>
    <row r="509" spans="1:38" x14ac:dyDescent="0.25">
      <c r="A509" s="2" t="s">
        <v>688</v>
      </c>
    </row>
    <row r="511" spans="1:38" x14ac:dyDescent="0.25">
      <c r="B511" s="29" t="s">
        <v>139</v>
      </c>
      <c r="C511" s="15" t="s">
        <v>326</v>
      </c>
      <c r="D511" s="15" t="s">
        <v>327</v>
      </c>
      <c r="E511" s="15" t="s">
        <v>328</v>
      </c>
      <c r="F511" s="29" t="s">
        <v>140</v>
      </c>
      <c r="G511" s="15" t="s">
        <v>326</v>
      </c>
      <c r="H511" s="15" t="s">
        <v>327</v>
      </c>
      <c r="I511" s="15" t="s">
        <v>328</v>
      </c>
      <c r="J511" s="29" t="s">
        <v>141</v>
      </c>
      <c r="K511" s="15" t="s">
        <v>326</v>
      </c>
      <c r="L511" s="15" t="s">
        <v>327</v>
      </c>
      <c r="M511" s="15" t="s">
        <v>328</v>
      </c>
      <c r="N511" s="29" t="s">
        <v>142</v>
      </c>
      <c r="O511" s="15" t="s">
        <v>326</v>
      </c>
      <c r="P511" s="15" t="s">
        <v>327</v>
      </c>
      <c r="Q511" s="15" t="s">
        <v>328</v>
      </c>
      <c r="R511" s="29" t="s">
        <v>143</v>
      </c>
      <c r="S511" s="15" t="s">
        <v>326</v>
      </c>
      <c r="T511" s="15" t="s">
        <v>327</v>
      </c>
      <c r="U511" s="15" t="s">
        <v>328</v>
      </c>
      <c r="V511" s="29" t="s">
        <v>148</v>
      </c>
      <c r="W511" s="15" t="s">
        <v>326</v>
      </c>
      <c r="X511" s="15" t="s">
        <v>327</v>
      </c>
      <c r="Y511" s="15" t="s">
        <v>328</v>
      </c>
      <c r="Z511" s="29" t="s">
        <v>144</v>
      </c>
      <c r="AA511" s="15" t="s">
        <v>326</v>
      </c>
      <c r="AB511" s="15" t="s">
        <v>327</v>
      </c>
      <c r="AC511" s="15" t="s">
        <v>328</v>
      </c>
      <c r="AD511" s="29" t="s">
        <v>145</v>
      </c>
      <c r="AE511" s="15" t="s">
        <v>326</v>
      </c>
      <c r="AF511" s="15" t="s">
        <v>327</v>
      </c>
      <c r="AG511" s="15" t="s">
        <v>328</v>
      </c>
      <c r="AH511" s="29" t="s">
        <v>146</v>
      </c>
      <c r="AI511" s="15" t="s">
        <v>326</v>
      </c>
      <c r="AJ511" s="15" t="s">
        <v>327</v>
      </c>
      <c r="AK511" s="15" t="s">
        <v>328</v>
      </c>
    </row>
    <row r="512" spans="1:38" x14ac:dyDescent="0.25">
      <c r="A512" s="4" t="s">
        <v>171</v>
      </c>
      <c r="C512" s="37">
        <f t="shared" ref="C512:E513" si="7">C298*$B502</f>
        <v>14.038787814662816</v>
      </c>
      <c r="D512" s="37">
        <f t="shared" si="7"/>
        <v>0.44724144423385709</v>
      </c>
      <c r="E512" s="37">
        <f t="shared" si="7"/>
        <v>3.9542815052139198E-2</v>
      </c>
      <c r="G512" s="37">
        <f t="shared" ref="G512:I513" si="8">G298*$C502</f>
        <v>11.13140062427305</v>
      </c>
      <c r="H512" s="37">
        <f t="shared" si="8"/>
        <v>1.1125637325462043</v>
      </c>
      <c r="I512" s="37">
        <f t="shared" si="8"/>
        <v>0.14730142742892013</v>
      </c>
      <c r="K512" s="37">
        <f t="shared" ref="K512:M513" si="9">K298*$D502</f>
        <v>11.13140062427305</v>
      </c>
      <c r="L512" s="37">
        <f t="shared" si="9"/>
        <v>1.1125637325462043</v>
      </c>
      <c r="M512" s="37">
        <f t="shared" si="9"/>
        <v>0.14730142742892013</v>
      </c>
      <c r="O512" s="37">
        <f t="shared" ref="O512:Q513" si="10">O298*$E502</f>
        <v>9.3921642509789631</v>
      </c>
      <c r="P512" s="37">
        <f t="shared" si="10"/>
        <v>1.5253783378533921</v>
      </c>
      <c r="Q512" s="37">
        <f t="shared" si="10"/>
        <v>0.20490866716654377</v>
      </c>
      <c r="S512" s="37">
        <f t="shared" ref="S512:U513" si="11">S298*$F502</f>
        <v>9.3921642509789631</v>
      </c>
      <c r="T512" s="37">
        <f t="shared" si="11"/>
        <v>1.5253783378533921</v>
      </c>
      <c r="U512" s="37">
        <f t="shared" si="11"/>
        <v>0.20490866716654377</v>
      </c>
      <c r="W512" s="37">
        <f t="shared" ref="W512:Y513" si="12">W298*$G502</f>
        <v>1.4035668034517013</v>
      </c>
      <c r="X512" s="37">
        <f t="shared" si="12"/>
        <v>1.4035668034517013</v>
      </c>
      <c r="Y512" s="37">
        <f t="shared" si="12"/>
        <v>1.4035668034517013</v>
      </c>
      <c r="AA512" s="37">
        <f t="shared" ref="AA512:AC513" si="13">AA298*$H502</f>
        <v>9.3921642509789631</v>
      </c>
      <c r="AB512" s="37">
        <f t="shared" si="13"/>
        <v>1.5253783378533921</v>
      </c>
      <c r="AC512" s="37">
        <f t="shared" si="13"/>
        <v>0.20490866716654377</v>
      </c>
      <c r="AE512" s="37">
        <f t="shared" ref="AE512:AG513" si="14">AE298*$I502</f>
        <v>9.3921642509789631</v>
      </c>
      <c r="AF512" s="37">
        <f t="shared" si="14"/>
        <v>1.5253783378533921</v>
      </c>
      <c r="AG512" s="37">
        <f t="shared" si="14"/>
        <v>0.20490866716654377</v>
      </c>
      <c r="AI512" s="37">
        <f t="shared" ref="AI512:AK513" si="15">AI298*$J502</f>
        <v>9.3921642509789631</v>
      </c>
      <c r="AJ512" s="37">
        <f t="shared" si="15"/>
        <v>1.5253783378533921</v>
      </c>
      <c r="AK512" s="37">
        <f t="shared" si="15"/>
        <v>0.20490866716654377</v>
      </c>
      <c r="AL512" s="17"/>
    </row>
    <row r="513" spans="1:38" x14ac:dyDescent="0.25">
      <c r="A513" s="4" t="s">
        <v>173</v>
      </c>
      <c r="C513" s="37">
        <f t="shared" si="7"/>
        <v>14.008930928953305</v>
      </c>
      <c r="D513" s="37">
        <f t="shared" si="7"/>
        <v>0.44629027687800471</v>
      </c>
      <c r="E513" s="37">
        <f t="shared" si="7"/>
        <v>3.9458717669570958E-2</v>
      </c>
      <c r="G513" s="37">
        <f t="shared" si="8"/>
        <v>11.107557477736789</v>
      </c>
      <c r="H513" s="37">
        <f t="shared" si="8"/>
        <v>1.1101806523749471</v>
      </c>
      <c r="I513" s="37">
        <f t="shared" si="8"/>
        <v>0.14698591192123736</v>
      </c>
      <c r="K513" s="37">
        <f t="shared" si="9"/>
        <v>11.107557477736789</v>
      </c>
      <c r="L513" s="37">
        <f t="shared" si="9"/>
        <v>1.1101806523749471</v>
      </c>
      <c r="M513" s="37">
        <f t="shared" si="9"/>
        <v>0.14698591192123736</v>
      </c>
      <c r="O513" s="37">
        <f t="shared" si="10"/>
        <v>9.3719093228140871</v>
      </c>
      <c r="P513" s="37">
        <f t="shared" si="10"/>
        <v>1.5220887415652673</v>
      </c>
      <c r="Q513" s="37">
        <f t="shared" si="10"/>
        <v>0.20446676578759523</v>
      </c>
      <c r="S513" s="37">
        <f t="shared" si="11"/>
        <v>9.3719093228140871</v>
      </c>
      <c r="T513" s="37">
        <f t="shared" si="11"/>
        <v>1.5220887415652673</v>
      </c>
      <c r="U513" s="37">
        <f t="shared" si="11"/>
        <v>0.20446676578759523</v>
      </c>
      <c r="W513" s="37">
        <f t="shared" si="12"/>
        <v>1.4015395093646097</v>
      </c>
      <c r="X513" s="37">
        <f t="shared" si="12"/>
        <v>1.4015395093646099</v>
      </c>
      <c r="Y513" s="37">
        <f t="shared" si="12"/>
        <v>1.4015395093646101</v>
      </c>
      <c r="AA513" s="37">
        <f t="shared" si="13"/>
        <v>9.3719093228140871</v>
      </c>
      <c r="AB513" s="37">
        <f t="shared" si="13"/>
        <v>1.5220887415652673</v>
      </c>
      <c r="AC513" s="37">
        <f t="shared" si="13"/>
        <v>0.20446676578759523</v>
      </c>
      <c r="AE513" s="37">
        <f t="shared" si="14"/>
        <v>9.3719093228140871</v>
      </c>
      <c r="AF513" s="37">
        <f t="shared" si="14"/>
        <v>1.5220887415652673</v>
      </c>
      <c r="AG513" s="37">
        <f t="shared" si="14"/>
        <v>0.20446676578759523</v>
      </c>
      <c r="AI513" s="37">
        <f t="shared" si="15"/>
        <v>9.3719093228140871</v>
      </c>
      <c r="AJ513" s="37">
        <f t="shared" si="15"/>
        <v>1.5220887415652673</v>
      </c>
      <c r="AK513" s="37">
        <f t="shared" si="15"/>
        <v>0.20446676578759523</v>
      </c>
      <c r="AL513" s="17"/>
    </row>
    <row r="515" spans="1:38" ht="21" customHeight="1" x14ac:dyDescent="0.3">
      <c r="A515" s="1" t="s">
        <v>689</v>
      </c>
    </row>
    <row r="516" spans="1:38" x14ac:dyDescent="0.25">
      <c r="A516" s="2" t="s">
        <v>350</v>
      </c>
    </row>
    <row r="517" spans="1:38" x14ac:dyDescent="0.25">
      <c r="A517" s="32" t="s">
        <v>646</v>
      </c>
    </row>
    <row r="518" spans="1:38" x14ac:dyDescent="0.25">
      <c r="A518" s="32" t="s">
        <v>687</v>
      </c>
    </row>
    <row r="519" spans="1:38" x14ac:dyDescent="0.25">
      <c r="A519" s="2" t="s">
        <v>688</v>
      </c>
    </row>
    <row r="521" spans="1:38" x14ac:dyDescent="0.25">
      <c r="B521" s="29" t="s">
        <v>139</v>
      </c>
      <c r="C521" s="15" t="s">
        <v>326</v>
      </c>
      <c r="D521" s="15" t="s">
        <v>327</v>
      </c>
      <c r="E521" s="15" t="s">
        <v>328</v>
      </c>
      <c r="F521" s="29" t="s">
        <v>140</v>
      </c>
      <c r="G521" s="15" t="s">
        <v>326</v>
      </c>
      <c r="H521" s="15" t="s">
        <v>327</v>
      </c>
      <c r="I521" s="15" t="s">
        <v>328</v>
      </c>
      <c r="J521" s="29" t="s">
        <v>141</v>
      </c>
      <c r="K521" s="15" t="s">
        <v>326</v>
      </c>
      <c r="L521" s="15" t="s">
        <v>327</v>
      </c>
      <c r="M521" s="15" t="s">
        <v>328</v>
      </c>
      <c r="N521" s="29" t="s">
        <v>142</v>
      </c>
      <c r="O521" s="15" t="s">
        <v>326</v>
      </c>
      <c r="P521" s="15" t="s">
        <v>327</v>
      </c>
      <c r="Q521" s="15" t="s">
        <v>328</v>
      </c>
      <c r="R521" s="29" t="s">
        <v>143</v>
      </c>
      <c r="S521" s="15" t="s">
        <v>326</v>
      </c>
      <c r="T521" s="15" t="s">
        <v>327</v>
      </c>
      <c r="U521" s="15" t="s">
        <v>328</v>
      </c>
      <c r="V521" s="29" t="s">
        <v>148</v>
      </c>
      <c r="W521" s="15" t="s">
        <v>326</v>
      </c>
      <c r="X521" s="15" t="s">
        <v>327</v>
      </c>
      <c r="Y521" s="15" t="s">
        <v>328</v>
      </c>
      <c r="Z521" s="29" t="s">
        <v>144</v>
      </c>
      <c r="AA521" s="15" t="s">
        <v>326</v>
      </c>
      <c r="AB521" s="15" t="s">
        <v>327</v>
      </c>
      <c r="AC521" s="15" t="s">
        <v>328</v>
      </c>
      <c r="AD521" s="29" t="s">
        <v>145</v>
      </c>
      <c r="AE521" s="15" t="s">
        <v>326</v>
      </c>
      <c r="AF521" s="15" t="s">
        <v>327</v>
      </c>
      <c r="AG521" s="15" t="s">
        <v>328</v>
      </c>
      <c r="AH521" s="29" t="s">
        <v>146</v>
      </c>
      <c r="AI521" s="15" t="s">
        <v>326</v>
      </c>
      <c r="AJ521" s="15" t="s">
        <v>327</v>
      </c>
      <c r="AK521" s="15" t="s">
        <v>328</v>
      </c>
    </row>
    <row r="522" spans="1:38" x14ac:dyDescent="0.25">
      <c r="A522" s="4" t="s">
        <v>172</v>
      </c>
      <c r="C522" s="37">
        <f t="shared" ref="C522:E523" si="16">C344*$B502</f>
        <v>15.758131506696277</v>
      </c>
      <c r="D522" s="37">
        <f t="shared" si="16"/>
        <v>0.50201552915565328</v>
      </c>
      <c r="E522" s="37">
        <f t="shared" si="16"/>
        <v>4.4385661209706412E-2</v>
      </c>
      <c r="G522" s="37">
        <f t="shared" ref="G522:I523" si="17">G344*$C502</f>
        <v>12.494673842695207</v>
      </c>
      <c r="H522" s="37">
        <f t="shared" si="17"/>
        <v>1.2488204707198953</v>
      </c>
      <c r="I522" s="37">
        <f t="shared" si="17"/>
        <v>0.16534157330340357</v>
      </c>
      <c r="K522" s="37">
        <f t="shared" ref="K522:M523" si="18">K344*$D502</f>
        <v>12.494673842695207</v>
      </c>
      <c r="L522" s="37">
        <f t="shared" si="18"/>
        <v>1.2488204707198953</v>
      </c>
      <c r="M522" s="37">
        <f t="shared" si="18"/>
        <v>0.16534157330340357</v>
      </c>
      <c r="O522" s="37">
        <f t="shared" ref="O522:Q523" si="19">O344*$E502</f>
        <v>10.542431537061647</v>
      </c>
      <c r="P522" s="37">
        <f t="shared" si="19"/>
        <v>1.712192873251775</v>
      </c>
      <c r="Q522" s="37">
        <f t="shared" si="19"/>
        <v>0.2300040264658568</v>
      </c>
      <c r="S522" s="37">
        <f t="shared" ref="S522:U523" si="20">S344*$F502</f>
        <v>10.542431537061647</v>
      </c>
      <c r="T522" s="37">
        <f t="shared" si="20"/>
        <v>1.712192873251775</v>
      </c>
      <c r="U522" s="37">
        <f t="shared" si="20"/>
        <v>0.2300040264658568</v>
      </c>
      <c r="W522" s="37">
        <f t="shared" ref="W522:Y523" si="21">W344*$G502</f>
        <v>1.5754629644109663</v>
      </c>
      <c r="X522" s="37">
        <f t="shared" si="21"/>
        <v>1.5754629644109663</v>
      </c>
      <c r="Y522" s="37">
        <f t="shared" si="21"/>
        <v>1.5754629644109663</v>
      </c>
      <c r="AA522" s="37">
        <f t="shared" ref="AA522:AC523" si="22">AA344*$H502</f>
        <v>10.542431537061647</v>
      </c>
      <c r="AB522" s="37">
        <f t="shared" si="22"/>
        <v>1.712192873251775</v>
      </c>
      <c r="AC522" s="37">
        <f t="shared" si="22"/>
        <v>0.2300040264658568</v>
      </c>
      <c r="AE522" s="37">
        <f t="shared" ref="AE522:AG523" si="23">AE344*$I502</f>
        <v>10.542431537061647</v>
      </c>
      <c r="AF522" s="37">
        <f t="shared" si="23"/>
        <v>1.712192873251775</v>
      </c>
      <c r="AG522" s="37">
        <f t="shared" si="23"/>
        <v>0.2300040264658568</v>
      </c>
      <c r="AI522" s="37">
        <f t="shared" ref="AI522:AK523" si="24">AI344*$J502</f>
        <v>10.542431537061647</v>
      </c>
      <c r="AJ522" s="37">
        <f t="shared" si="24"/>
        <v>1.712192873251775</v>
      </c>
      <c r="AK522" s="37">
        <f t="shared" si="24"/>
        <v>0.2300040264658568</v>
      </c>
      <c r="AL522" s="17"/>
    </row>
    <row r="523" spans="1:38" x14ac:dyDescent="0.25">
      <c r="A523" s="4" t="s">
        <v>174</v>
      </c>
      <c r="C523" s="37">
        <f t="shared" si="16"/>
        <v>13.215824439074586</v>
      </c>
      <c r="D523" s="37">
        <f t="shared" si="16"/>
        <v>0.42102384386060948</v>
      </c>
      <c r="E523" s="37">
        <f t="shared" si="16"/>
        <v>3.722478809816096E-2</v>
      </c>
      <c r="G523" s="37">
        <f t="shared" si="17"/>
        <v>10.478710353929026</v>
      </c>
      <c r="H523" s="37">
        <f t="shared" si="17"/>
        <v>1.0473284986451732</v>
      </c>
      <c r="I523" s="37">
        <f t="shared" si="17"/>
        <v>0.13866440036145516</v>
      </c>
      <c r="K523" s="37">
        <f t="shared" si="18"/>
        <v>10.478710353929026</v>
      </c>
      <c r="L523" s="37">
        <f t="shared" si="18"/>
        <v>1.0473284986451732</v>
      </c>
      <c r="M523" s="37">
        <f t="shared" si="18"/>
        <v>0.13866440036145516</v>
      </c>
      <c r="O523" s="37">
        <f t="shared" si="19"/>
        <v>8.8413247875504783</v>
      </c>
      <c r="P523" s="37">
        <f t="shared" si="19"/>
        <v>1.435916679954786</v>
      </c>
      <c r="Q523" s="37">
        <f t="shared" si="19"/>
        <v>0.19289101316713675</v>
      </c>
      <c r="S523" s="37">
        <f t="shared" si="20"/>
        <v>8.8413247875504783</v>
      </c>
      <c r="T523" s="37">
        <f t="shared" si="20"/>
        <v>1.435916679954786</v>
      </c>
      <c r="U523" s="37">
        <f t="shared" si="20"/>
        <v>0.19289101316713675</v>
      </c>
      <c r="W523" s="37">
        <f t="shared" si="21"/>
        <v>1.322192263929832</v>
      </c>
      <c r="X523" s="37">
        <f t="shared" si="21"/>
        <v>1.3221922639298322</v>
      </c>
      <c r="Y523" s="37">
        <f t="shared" si="21"/>
        <v>1.3221922639298322</v>
      </c>
      <c r="AA523" s="37">
        <f t="shared" si="22"/>
        <v>8.8413247875504783</v>
      </c>
      <c r="AB523" s="37">
        <f t="shared" si="22"/>
        <v>1.435916679954786</v>
      </c>
      <c r="AC523" s="37">
        <f t="shared" si="22"/>
        <v>0.19289101316713675</v>
      </c>
      <c r="AE523" s="37">
        <f t="shared" si="23"/>
        <v>8.8413247875504783</v>
      </c>
      <c r="AF523" s="37">
        <f t="shared" si="23"/>
        <v>1.435916679954786</v>
      </c>
      <c r="AG523" s="37">
        <f t="shared" si="23"/>
        <v>0.19289101316713675</v>
      </c>
      <c r="AI523" s="37">
        <f t="shared" si="24"/>
        <v>8.8413247875504783</v>
      </c>
      <c r="AJ523" s="37">
        <f t="shared" si="24"/>
        <v>1.435916679954786</v>
      </c>
      <c r="AK523" s="37">
        <f t="shared" si="24"/>
        <v>0.19289101316713675</v>
      </c>
      <c r="AL523" s="17"/>
    </row>
    <row r="525" spans="1:38" ht="21" customHeight="1" x14ac:dyDescent="0.3">
      <c r="A525" s="1" t="s">
        <v>690</v>
      </c>
    </row>
    <row r="526" spans="1:38" x14ac:dyDescent="0.25">
      <c r="A526" s="2" t="s">
        <v>350</v>
      </c>
    </row>
    <row r="527" spans="1:38" x14ac:dyDescent="0.25">
      <c r="A527" s="32" t="s">
        <v>653</v>
      </c>
    </row>
    <row r="528" spans="1:38" x14ac:dyDescent="0.25">
      <c r="A528" s="32" t="s">
        <v>687</v>
      </c>
    </row>
    <row r="529" spans="1:38" x14ac:dyDescent="0.25">
      <c r="A529" s="2" t="s">
        <v>688</v>
      </c>
    </row>
    <row r="531" spans="1:38" x14ac:dyDescent="0.25">
      <c r="B531" s="29" t="s">
        <v>139</v>
      </c>
      <c r="C531" s="15" t="s">
        <v>326</v>
      </c>
      <c r="D531" s="15" t="s">
        <v>327</v>
      </c>
      <c r="E531" s="15" t="s">
        <v>328</v>
      </c>
      <c r="F531" s="29" t="s">
        <v>140</v>
      </c>
      <c r="G531" s="15" t="s">
        <v>326</v>
      </c>
      <c r="H531" s="15" t="s">
        <v>327</v>
      </c>
      <c r="I531" s="15" t="s">
        <v>328</v>
      </c>
      <c r="J531" s="29" t="s">
        <v>141</v>
      </c>
      <c r="K531" s="15" t="s">
        <v>326</v>
      </c>
      <c r="L531" s="15" t="s">
        <v>327</v>
      </c>
      <c r="M531" s="15" t="s">
        <v>328</v>
      </c>
      <c r="N531" s="29" t="s">
        <v>142</v>
      </c>
      <c r="O531" s="15" t="s">
        <v>326</v>
      </c>
      <c r="P531" s="15" t="s">
        <v>327</v>
      </c>
      <c r="Q531" s="15" t="s">
        <v>328</v>
      </c>
      <c r="R531" s="29" t="s">
        <v>143</v>
      </c>
      <c r="S531" s="15" t="s">
        <v>326</v>
      </c>
      <c r="T531" s="15" t="s">
        <v>327</v>
      </c>
      <c r="U531" s="15" t="s">
        <v>328</v>
      </c>
      <c r="V531" s="29" t="s">
        <v>148</v>
      </c>
      <c r="W531" s="15" t="s">
        <v>326</v>
      </c>
      <c r="X531" s="15" t="s">
        <v>327</v>
      </c>
      <c r="Y531" s="15" t="s">
        <v>328</v>
      </c>
      <c r="Z531" s="29" t="s">
        <v>144</v>
      </c>
      <c r="AA531" s="15" t="s">
        <v>326</v>
      </c>
      <c r="AB531" s="15" t="s">
        <v>327</v>
      </c>
      <c r="AC531" s="15" t="s">
        <v>328</v>
      </c>
      <c r="AD531" s="29" t="s">
        <v>145</v>
      </c>
      <c r="AE531" s="15" t="s">
        <v>326</v>
      </c>
      <c r="AF531" s="15" t="s">
        <v>327</v>
      </c>
      <c r="AG531" s="15" t="s">
        <v>328</v>
      </c>
      <c r="AH531" s="29" t="s">
        <v>146</v>
      </c>
      <c r="AI531" s="15" t="s">
        <v>326</v>
      </c>
      <c r="AJ531" s="15" t="s">
        <v>327</v>
      </c>
      <c r="AK531" s="15" t="s">
        <v>328</v>
      </c>
    </row>
    <row r="532" spans="1:38" x14ac:dyDescent="0.25">
      <c r="A532" s="4" t="s">
        <v>213</v>
      </c>
      <c r="C532" s="37">
        <f t="shared" ref="C532:E533" si="25">C381*$B502</f>
        <v>10.002222751448761</v>
      </c>
      <c r="D532" s="37">
        <f t="shared" si="25"/>
        <v>0.3186463537994666</v>
      </c>
      <c r="E532" s="37">
        <f t="shared" si="25"/>
        <v>2.8173090838921312E-2</v>
      </c>
      <c r="G532" s="37">
        <f t="shared" ref="G532:I533" si="26">G381*$C502</f>
        <v>7.9307950265696743</v>
      </c>
      <c r="H532" s="37">
        <f t="shared" si="26"/>
        <v>0.79266888459469698</v>
      </c>
      <c r="I532" s="37">
        <f t="shared" si="26"/>
        <v>0.10494792771293197</v>
      </c>
      <c r="K532" s="37">
        <f t="shared" ref="K532:M533" si="27">K381*$D502</f>
        <v>7.9307950265696743</v>
      </c>
      <c r="L532" s="37">
        <f t="shared" si="27"/>
        <v>0.79266888459469698</v>
      </c>
      <c r="M532" s="37">
        <f t="shared" si="27"/>
        <v>0.10494792771293197</v>
      </c>
      <c r="O532" s="37">
        <f t="shared" ref="O532:Q533" si="28">O381*$E502</f>
        <v>6.6916403464953857</v>
      </c>
      <c r="P532" s="37">
        <f t="shared" si="28"/>
        <v>1.0867871298338831</v>
      </c>
      <c r="Q532" s="37">
        <f t="shared" si="28"/>
        <v>0.14599138898314287</v>
      </c>
      <c r="S532" s="37">
        <f t="shared" ref="S532:U533" si="29">S381*$F502</f>
        <v>6.6916403464953857</v>
      </c>
      <c r="T532" s="37">
        <f t="shared" si="29"/>
        <v>1.0867871298338831</v>
      </c>
      <c r="U532" s="37">
        <f t="shared" si="29"/>
        <v>0.14599138898314287</v>
      </c>
      <c r="W532" s="37">
        <f t="shared" ref="W532:Y533" si="30">W381*$G502</f>
        <v>0.99999999999999989</v>
      </c>
      <c r="X532" s="37">
        <f t="shared" si="30"/>
        <v>1</v>
      </c>
      <c r="Y532" s="37">
        <f t="shared" si="30"/>
        <v>1.0000000000000002</v>
      </c>
      <c r="AA532" s="37">
        <f t="shared" ref="AA532:AC533" si="31">AA381*$H502</f>
        <v>6.6916403464953857</v>
      </c>
      <c r="AB532" s="37">
        <f t="shared" si="31"/>
        <v>1.0867871298338831</v>
      </c>
      <c r="AC532" s="37">
        <f t="shared" si="31"/>
        <v>0.14599138898314287</v>
      </c>
      <c r="AE532" s="37">
        <f t="shared" ref="AE532:AG533" si="32">AE381*$I502</f>
        <v>6.6916403464953857</v>
      </c>
      <c r="AF532" s="37">
        <f t="shared" si="32"/>
        <v>1.0867871298338831</v>
      </c>
      <c r="AG532" s="37">
        <f t="shared" si="32"/>
        <v>0.14599138898314287</v>
      </c>
      <c r="AI532" s="37">
        <f t="shared" ref="AI532:AK533" si="33">AI381*$J502</f>
        <v>6.6916403464953857</v>
      </c>
      <c r="AJ532" s="37">
        <f t="shared" si="33"/>
        <v>1.0867871298338831</v>
      </c>
      <c r="AK532" s="37">
        <f t="shared" si="33"/>
        <v>0.14599138898314287</v>
      </c>
      <c r="AL532" s="17"/>
    </row>
    <row r="533" spans="1:38" x14ac:dyDescent="0.25">
      <c r="A533" s="4" t="s">
        <v>214</v>
      </c>
      <c r="C533" s="37">
        <f t="shared" si="25"/>
        <v>10.034023285075293</v>
      </c>
      <c r="D533" s="37">
        <f t="shared" si="25"/>
        <v>0.31965944102425409</v>
      </c>
      <c r="E533" s="37">
        <f t="shared" si="25"/>
        <v>2.8262662861545652E-2</v>
      </c>
      <c r="G533" s="37">
        <f t="shared" si="26"/>
        <v>7.955888349879281</v>
      </c>
      <c r="H533" s="37">
        <f t="shared" si="26"/>
        <v>0.79517691771520538</v>
      </c>
      <c r="I533" s="37">
        <f t="shared" si="26"/>
        <v>0.10527998676526545</v>
      </c>
      <c r="K533" s="37">
        <f t="shared" si="27"/>
        <v>7.955888349879281</v>
      </c>
      <c r="L533" s="37">
        <f t="shared" si="27"/>
        <v>0.79517691771520538</v>
      </c>
      <c r="M533" s="37">
        <f t="shared" si="27"/>
        <v>0.10527998676526545</v>
      </c>
      <c r="O533" s="37">
        <f t="shared" si="28"/>
        <v>6.7127146851995318</v>
      </c>
      <c r="P533" s="37">
        <f t="shared" si="28"/>
        <v>1.0902098063208856</v>
      </c>
      <c r="Q533" s="37">
        <f t="shared" si="28"/>
        <v>0.14645116742609682</v>
      </c>
      <c r="S533" s="37">
        <f t="shared" si="29"/>
        <v>6.7127146851995318</v>
      </c>
      <c r="T533" s="37">
        <f t="shared" si="29"/>
        <v>1.0902098063208856</v>
      </c>
      <c r="U533" s="37">
        <f t="shared" si="29"/>
        <v>0.14645116742609682</v>
      </c>
      <c r="W533" s="37">
        <f t="shared" si="30"/>
        <v>1.003865330141094</v>
      </c>
      <c r="X533" s="37">
        <f t="shared" si="30"/>
        <v>1.0038653301410942</v>
      </c>
      <c r="Y533" s="37">
        <f t="shared" si="30"/>
        <v>1.0038653301410945</v>
      </c>
      <c r="AA533" s="37">
        <f t="shared" si="31"/>
        <v>6.7127146851995318</v>
      </c>
      <c r="AB533" s="37">
        <f t="shared" si="31"/>
        <v>1.0902098063208856</v>
      </c>
      <c r="AC533" s="37">
        <f t="shared" si="31"/>
        <v>0.14645116742609682</v>
      </c>
      <c r="AE533" s="37">
        <f t="shared" si="32"/>
        <v>6.7127146851995318</v>
      </c>
      <c r="AF533" s="37">
        <f t="shared" si="32"/>
        <v>1.0902098063208856</v>
      </c>
      <c r="AG533" s="37">
        <f t="shared" si="32"/>
        <v>0.14645116742609682</v>
      </c>
      <c r="AI533" s="37">
        <f t="shared" si="33"/>
        <v>6.7127146851995318</v>
      </c>
      <c r="AJ533" s="37">
        <f t="shared" si="33"/>
        <v>1.0902098063208856</v>
      </c>
      <c r="AK533" s="37">
        <f t="shared" si="33"/>
        <v>0.14645116742609682</v>
      </c>
      <c r="AL533" s="17"/>
    </row>
    <row r="535" spans="1:38" ht="21" customHeight="1" x14ac:dyDescent="0.3">
      <c r="A535" s="1" t="s">
        <v>691</v>
      </c>
    </row>
    <row r="536" spans="1:38" x14ac:dyDescent="0.25">
      <c r="A536" s="2" t="s">
        <v>350</v>
      </c>
    </row>
    <row r="537" spans="1:38" x14ac:dyDescent="0.25">
      <c r="A537" s="32" t="s">
        <v>661</v>
      </c>
    </row>
    <row r="538" spans="1:38" x14ac:dyDescent="0.25">
      <c r="A538" s="32" t="s">
        <v>687</v>
      </c>
    </row>
    <row r="539" spans="1:38" x14ac:dyDescent="0.25">
      <c r="A539" s="32" t="s">
        <v>692</v>
      </c>
    </row>
    <row r="540" spans="1:38" x14ac:dyDescent="0.25">
      <c r="A540" s="2" t="s">
        <v>693</v>
      </c>
    </row>
    <row r="542" spans="1:38" x14ac:dyDescent="0.25">
      <c r="B542" s="29" t="s">
        <v>139</v>
      </c>
      <c r="C542" s="15" t="s">
        <v>326</v>
      </c>
      <c r="D542" s="15" t="s">
        <v>327</v>
      </c>
      <c r="E542" s="15" t="s">
        <v>328</v>
      </c>
      <c r="F542" s="29" t="s">
        <v>140</v>
      </c>
      <c r="G542" s="15" t="s">
        <v>326</v>
      </c>
      <c r="H542" s="15" t="s">
        <v>327</v>
      </c>
      <c r="I542" s="15" t="s">
        <v>328</v>
      </c>
      <c r="J542" s="29" t="s">
        <v>141</v>
      </c>
      <c r="K542" s="15" t="s">
        <v>326</v>
      </c>
      <c r="L542" s="15" t="s">
        <v>327</v>
      </c>
      <c r="M542" s="15" t="s">
        <v>328</v>
      </c>
      <c r="N542" s="29" t="s">
        <v>142</v>
      </c>
      <c r="O542" s="15" t="s">
        <v>326</v>
      </c>
      <c r="P542" s="15" t="s">
        <v>327</v>
      </c>
      <c r="Q542" s="15" t="s">
        <v>328</v>
      </c>
      <c r="R542" s="29" t="s">
        <v>143</v>
      </c>
      <c r="S542" s="15" t="s">
        <v>326</v>
      </c>
      <c r="T542" s="15" t="s">
        <v>327</v>
      </c>
      <c r="U542" s="15" t="s">
        <v>328</v>
      </c>
      <c r="V542" s="29" t="s">
        <v>148</v>
      </c>
      <c r="W542" s="15" t="s">
        <v>326</v>
      </c>
      <c r="X542" s="15" t="s">
        <v>327</v>
      </c>
      <c r="Y542" s="15" t="s">
        <v>328</v>
      </c>
      <c r="Z542" s="29" t="s">
        <v>144</v>
      </c>
      <c r="AA542" s="15" t="s">
        <v>326</v>
      </c>
      <c r="AB542" s="15" t="s">
        <v>327</v>
      </c>
      <c r="AC542" s="15" t="s">
        <v>328</v>
      </c>
      <c r="AD542" s="29" t="s">
        <v>145</v>
      </c>
      <c r="AE542" s="15" t="s">
        <v>326</v>
      </c>
      <c r="AF542" s="15" t="s">
        <v>327</v>
      </c>
      <c r="AG542" s="15" t="s">
        <v>328</v>
      </c>
      <c r="AH542" s="29" t="s">
        <v>146</v>
      </c>
      <c r="AI542" s="15" t="s">
        <v>326</v>
      </c>
      <c r="AJ542" s="15" t="s">
        <v>327</v>
      </c>
      <c r="AK542" s="15" t="s">
        <v>328</v>
      </c>
    </row>
    <row r="543" spans="1:38" x14ac:dyDescent="0.25">
      <c r="A543" s="4" t="s">
        <v>177</v>
      </c>
      <c r="C543" s="37">
        <f t="shared" ref="C543:E544" si="34">C418*$B502*$B485</f>
        <v>14.161929623100782</v>
      </c>
      <c r="D543" s="37">
        <f t="shared" si="34"/>
        <v>0.45116444107506892</v>
      </c>
      <c r="E543" s="37">
        <f t="shared" si="34"/>
        <v>3.9889666491204505E-2</v>
      </c>
      <c r="G543" s="37">
        <f t="shared" ref="G543:I544" si="35">G418*$C502*$C485</f>
        <v>11.232864305679023</v>
      </c>
      <c r="H543" s="37">
        <f t="shared" si="35"/>
        <v>1.1227048473899872</v>
      </c>
      <c r="I543" s="37">
        <f t="shared" si="35"/>
        <v>0.14864409270598355</v>
      </c>
      <c r="K543" s="37">
        <f t="shared" ref="K543:M544" si="36">K418*$D502*$D485</f>
        <v>11.232864305679023</v>
      </c>
      <c r="L543" s="37">
        <f t="shared" si="36"/>
        <v>1.1227048473899872</v>
      </c>
      <c r="M543" s="37">
        <f t="shared" si="36"/>
        <v>0.14864409270598355</v>
      </c>
      <c r="O543" s="37">
        <f t="shared" ref="O543:Q544" si="37">O418*$E502*$E485</f>
        <v>9.4796041260624424</v>
      </c>
      <c r="P543" s="37">
        <f t="shared" si="37"/>
        <v>1.5395794194947239</v>
      </c>
      <c r="Q543" s="37">
        <f t="shared" si="37"/>
        <v>0.20681634124269691</v>
      </c>
      <c r="S543" s="37">
        <f t="shared" ref="S543:U544" si="38">S418*$F502*$F485</f>
        <v>9.4796041260624424</v>
      </c>
      <c r="T543" s="37">
        <f t="shared" si="38"/>
        <v>1.5395794194947239</v>
      </c>
      <c r="U543" s="37">
        <f t="shared" si="38"/>
        <v>0.20681634124269691</v>
      </c>
      <c r="W543" s="37">
        <f t="shared" ref="W543:Y544" si="39">W418*$G502*$G485</f>
        <v>1.4241711693616392</v>
      </c>
      <c r="X543" s="37">
        <f t="shared" si="39"/>
        <v>1.4241711693616395</v>
      </c>
      <c r="Y543" s="37">
        <f t="shared" si="39"/>
        <v>1.4241711693616397</v>
      </c>
      <c r="AA543" s="37">
        <f t="shared" ref="AA543:AC544" si="40">AA418*$H502*$H485</f>
        <v>9.4796041260624424</v>
      </c>
      <c r="AB543" s="37">
        <f t="shared" si="40"/>
        <v>1.5395794194947239</v>
      </c>
      <c r="AC543" s="37">
        <f t="shared" si="40"/>
        <v>0.20681634124269691</v>
      </c>
      <c r="AE543" s="37">
        <f t="shared" ref="AE543:AG544" si="41">AE418*$I502*$I485</f>
        <v>9.4796041260624424</v>
      </c>
      <c r="AF543" s="37">
        <f t="shared" si="41"/>
        <v>1.5395794194947239</v>
      </c>
      <c r="AG543" s="37">
        <f t="shared" si="41"/>
        <v>0.20681634124269691</v>
      </c>
      <c r="AI543" s="37">
        <f t="shared" ref="AI543:AK544" si="42">AI418*$J502*$J485</f>
        <v>9.4796041260624424</v>
      </c>
      <c r="AJ543" s="37">
        <f t="shared" si="42"/>
        <v>1.5395794194947239</v>
      </c>
      <c r="AK543" s="37">
        <f t="shared" si="42"/>
        <v>0.20681634124269691</v>
      </c>
      <c r="AL543" s="17"/>
    </row>
    <row r="544" spans="1:38" x14ac:dyDescent="0.25">
      <c r="A544" s="4" t="s">
        <v>178</v>
      </c>
      <c r="C544" s="37">
        <f t="shared" si="34"/>
        <v>13.779574972307019</v>
      </c>
      <c r="D544" s="37">
        <f t="shared" si="34"/>
        <v>0.43898355704946063</v>
      </c>
      <c r="E544" s="37">
        <f t="shared" si="34"/>
        <v>3.8812694644328148E-2</v>
      </c>
      <c r="G544" s="37">
        <f t="shared" si="35"/>
        <v>10.923497537500932</v>
      </c>
      <c r="H544" s="37">
        <f t="shared" si="35"/>
        <v>1.0917841880814509</v>
      </c>
      <c r="I544" s="37">
        <f t="shared" si="35"/>
        <v>0.14455025329710136</v>
      </c>
      <c r="K544" s="37">
        <f t="shared" si="36"/>
        <v>10.923497537500932</v>
      </c>
      <c r="L544" s="37">
        <f t="shared" si="36"/>
        <v>1.0917841880814509</v>
      </c>
      <c r="M544" s="37">
        <f t="shared" si="36"/>
        <v>0.14455025329710136</v>
      </c>
      <c r="O544" s="37">
        <f t="shared" si="37"/>
        <v>9.2157463778736339</v>
      </c>
      <c r="P544" s="37">
        <f t="shared" si="37"/>
        <v>1.4967263685251317</v>
      </c>
      <c r="Q544" s="37">
        <f t="shared" si="37"/>
        <v>0.20105976181561774</v>
      </c>
      <c r="S544" s="37">
        <f t="shared" si="38"/>
        <v>9.2157463778736339</v>
      </c>
      <c r="T544" s="37">
        <f t="shared" si="38"/>
        <v>1.4967263685251317</v>
      </c>
      <c r="U544" s="37">
        <f t="shared" si="38"/>
        <v>0.20105976181561774</v>
      </c>
      <c r="W544" s="37">
        <f t="shared" si="39"/>
        <v>1.3721769453068922</v>
      </c>
      <c r="X544" s="37">
        <f t="shared" si="39"/>
        <v>1.3721769453068928</v>
      </c>
      <c r="Y544" s="37">
        <f t="shared" si="39"/>
        <v>1.3721769453068928</v>
      </c>
      <c r="AA544" s="37">
        <f t="shared" si="40"/>
        <v>9.2157463778736339</v>
      </c>
      <c r="AB544" s="37">
        <f t="shared" si="40"/>
        <v>1.4967263685251317</v>
      </c>
      <c r="AC544" s="37">
        <f t="shared" si="40"/>
        <v>0.20105976181561774</v>
      </c>
      <c r="AE544" s="37">
        <f t="shared" si="41"/>
        <v>9.2157463778736339</v>
      </c>
      <c r="AF544" s="37">
        <f t="shared" si="41"/>
        <v>1.4967263685251317</v>
      </c>
      <c r="AG544" s="37">
        <f t="shared" si="41"/>
        <v>0.20105976181561774</v>
      </c>
      <c r="AI544" s="37">
        <f t="shared" si="42"/>
        <v>9.2157463778736339</v>
      </c>
      <c r="AJ544" s="37">
        <f t="shared" si="42"/>
        <v>1.4967263685251317</v>
      </c>
      <c r="AK544" s="37">
        <f t="shared" si="42"/>
        <v>0.20105976181561774</v>
      </c>
      <c r="AL544" s="17"/>
    </row>
    <row r="546" spans="1:38" ht="21" customHeight="1" x14ac:dyDescent="0.3">
      <c r="A546" s="1" t="s">
        <v>694</v>
      </c>
    </row>
    <row r="547" spans="1:38" x14ac:dyDescent="0.25">
      <c r="A547" s="2" t="s">
        <v>350</v>
      </c>
    </row>
    <row r="548" spans="1:38" x14ac:dyDescent="0.25">
      <c r="A548" s="32" t="s">
        <v>695</v>
      </c>
    </row>
    <row r="549" spans="1:38" x14ac:dyDescent="0.25">
      <c r="A549" s="32" t="s">
        <v>696</v>
      </c>
    </row>
    <row r="550" spans="1:38" x14ac:dyDescent="0.25">
      <c r="A550" s="32" t="s">
        <v>697</v>
      </c>
    </row>
    <row r="551" spans="1:38" x14ac:dyDescent="0.25">
      <c r="A551" s="32" t="s">
        <v>698</v>
      </c>
    </row>
    <row r="552" spans="1:38" x14ac:dyDescent="0.25">
      <c r="A552" s="32" t="s">
        <v>699</v>
      </c>
    </row>
    <row r="553" spans="1:38" x14ac:dyDescent="0.25">
      <c r="A553" s="2" t="s">
        <v>439</v>
      </c>
    </row>
    <row r="555" spans="1:38" x14ac:dyDescent="0.25">
      <c r="B555" s="29" t="s">
        <v>139</v>
      </c>
      <c r="C555" s="15" t="s">
        <v>326</v>
      </c>
      <c r="D555" s="15" t="s">
        <v>327</v>
      </c>
      <c r="E555" s="15" t="s">
        <v>328</v>
      </c>
      <c r="F555" s="29" t="s">
        <v>140</v>
      </c>
      <c r="G555" s="15" t="s">
        <v>326</v>
      </c>
      <c r="H555" s="15" t="s">
        <v>327</v>
      </c>
      <c r="I555" s="15" t="s">
        <v>328</v>
      </c>
      <c r="J555" s="29" t="s">
        <v>141</v>
      </c>
      <c r="K555" s="15" t="s">
        <v>326</v>
      </c>
      <c r="L555" s="15" t="s">
        <v>327</v>
      </c>
      <c r="M555" s="15" t="s">
        <v>328</v>
      </c>
      <c r="N555" s="29" t="s">
        <v>142</v>
      </c>
      <c r="O555" s="15" t="s">
        <v>326</v>
      </c>
      <c r="P555" s="15" t="s">
        <v>327</v>
      </c>
      <c r="Q555" s="15" t="s">
        <v>328</v>
      </c>
      <c r="R555" s="29" t="s">
        <v>143</v>
      </c>
      <c r="S555" s="15" t="s">
        <v>326</v>
      </c>
      <c r="T555" s="15" t="s">
        <v>327</v>
      </c>
      <c r="U555" s="15" t="s">
        <v>328</v>
      </c>
      <c r="V555" s="29" t="s">
        <v>148</v>
      </c>
      <c r="W555" s="15" t="s">
        <v>326</v>
      </c>
      <c r="X555" s="15" t="s">
        <v>327</v>
      </c>
      <c r="Y555" s="15" t="s">
        <v>328</v>
      </c>
      <c r="Z555" s="29" t="s">
        <v>144</v>
      </c>
      <c r="AA555" s="15" t="s">
        <v>326</v>
      </c>
      <c r="AB555" s="15" t="s">
        <v>327</v>
      </c>
      <c r="AC555" s="15" t="s">
        <v>328</v>
      </c>
      <c r="AD555" s="29" t="s">
        <v>145</v>
      </c>
      <c r="AE555" s="15" t="s">
        <v>326</v>
      </c>
      <c r="AF555" s="15" t="s">
        <v>327</v>
      </c>
      <c r="AG555" s="15" t="s">
        <v>328</v>
      </c>
      <c r="AH555" s="29" t="s">
        <v>146</v>
      </c>
      <c r="AI555" s="15" t="s">
        <v>326</v>
      </c>
      <c r="AJ555" s="15" t="s">
        <v>327</v>
      </c>
      <c r="AK555" s="15" t="s">
        <v>328</v>
      </c>
    </row>
    <row r="556" spans="1:38" x14ac:dyDescent="0.25">
      <c r="A556" s="4" t="s">
        <v>171</v>
      </c>
      <c r="C556" s="38">
        <f>C$512</f>
        <v>14.038787814662816</v>
      </c>
      <c r="D556" s="38">
        <f>D$512</f>
        <v>0.44724144423385709</v>
      </c>
      <c r="E556" s="38">
        <f>E$512</f>
        <v>3.9542815052139198E-2</v>
      </c>
      <c r="G556" s="38">
        <f>G$512</f>
        <v>11.13140062427305</v>
      </c>
      <c r="H556" s="38">
        <f>H$512</f>
        <v>1.1125637325462043</v>
      </c>
      <c r="I556" s="38">
        <f>I$512</f>
        <v>0.14730142742892013</v>
      </c>
      <c r="K556" s="38">
        <f>K$512</f>
        <v>11.13140062427305</v>
      </c>
      <c r="L556" s="38">
        <f>L$512</f>
        <v>1.1125637325462043</v>
      </c>
      <c r="M556" s="38">
        <f>M$512</f>
        <v>0.14730142742892013</v>
      </c>
      <c r="O556" s="38">
        <f>O$512</f>
        <v>9.3921642509789631</v>
      </c>
      <c r="P556" s="38">
        <f>P$512</f>
        <v>1.5253783378533921</v>
      </c>
      <c r="Q556" s="38">
        <f>Q$512</f>
        <v>0.20490866716654377</v>
      </c>
      <c r="S556" s="38">
        <f>S$512</f>
        <v>9.3921642509789631</v>
      </c>
      <c r="T556" s="38">
        <f>T$512</f>
        <v>1.5253783378533921</v>
      </c>
      <c r="U556" s="38">
        <f>U$512</f>
        <v>0.20490866716654377</v>
      </c>
      <c r="W556" s="38">
        <f>W$512</f>
        <v>1.4035668034517013</v>
      </c>
      <c r="X556" s="38">
        <f>X$512</f>
        <v>1.4035668034517013</v>
      </c>
      <c r="Y556" s="38">
        <f>Y$512</f>
        <v>1.4035668034517013</v>
      </c>
      <c r="AA556" s="38">
        <f>AA$512</f>
        <v>9.3921642509789631</v>
      </c>
      <c r="AB556" s="38">
        <f>AB$512</f>
        <v>1.5253783378533921</v>
      </c>
      <c r="AC556" s="38">
        <f>AC$512</f>
        <v>0.20490866716654377</v>
      </c>
      <c r="AE556" s="38">
        <f>AE$512</f>
        <v>9.3921642509789631</v>
      </c>
      <c r="AF556" s="38">
        <f>AF$512</f>
        <v>1.5253783378533921</v>
      </c>
      <c r="AG556" s="38">
        <f>AG$512</f>
        <v>0.20490866716654377</v>
      </c>
      <c r="AI556" s="38">
        <f>AI$512</f>
        <v>9.3921642509789631</v>
      </c>
      <c r="AJ556" s="38">
        <f>AJ$512</f>
        <v>1.5253783378533921</v>
      </c>
      <c r="AK556" s="38">
        <f>AK$512</f>
        <v>0.20490866716654377</v>
      </c>
      <c r="AL556" s="17"/>
    </row>
    <row r="557" spans="1:38" x14ac:dyDescent="0.25">
      <c r="A557" s="4" t="s">
        <v>172</v>
      </c>
      <c r="C557" s="38">
        <f>C$522</f>
        <v>15.758131506696277</v>
      </c>
      <c r="D557" s="38">
        <f>D$522</f>
        <v>0.50201552915565328</v>
      </c>
      <c r="E557" s="38">
        <f>E$522</f>
        <v>4.4385661209706412E-2</v>
      </c>
      <c r="G557" s="38">
        <f>G$522</f>
        <v>12.494673842695207</v>
      </c>
      <c r="H557" s="38">
        <f>H$522</f>
        <v>1.2488204707198953</v>
      </c>
      <c r="I557" s="38">
        <f>I$522</f>
        <v>0.16534157330340357</v>
      </c>
      <c r="K557" s="38">
        <f>K$522</f>
        <v>12.494673842695207</v>
      </c>
      <c r="L557" s="38">
        <f>L$522</f>
        <v>1.2488204707198953</v>
      </c>
      <c r="M557" s="38">
        <f>M$522</f>
        <v>0.16534157330340357</v>
      </c>
      <c r="O557" s="38">
        <f>O$522</f>
        <v>10.542431537061647</v>
      </c>
      <c r="P557" s="38">
        <f>P$522</f>
        <v>1.712192873251775</v>
      </c>
      <c r="Q557" s="38">
        <f>Q$522</f>
        <v>0.2300040264658568</v>
      </c>
      <c r="S557" s="38">
        <f>S$522</f>
        <v>10.542431537061647</v>
      </c>
      <c r="T557" s="38">
        <f>T$522</f>
        <v>1.712192873251775</v>
      </c>
      <c r="U557" s="38">
        <f>U$522</f>
        <v>0.2300040264658568</v>
      </c>
      <c r="W557" s="38">
        <f>W$522</f>
        <v>1.5754629644109663</v>
      </c>
      <c r="X557" s="38">
        <f>X$522</f>
        <v>1.5754629644109663</v>
      </c>
      <c r="Y557" s="38">
        <f>Y$522</f>
        <v>1.5754629644109663</v>
      </c>
      <c r="AA557" s="38">
        <f>AA$522</f>
        <v>10.542431537061647</v>
      </c>
      <c r="AB557" s="38">
        <f>AB$522</f>
        <v>1.712192873251775</v>
      </c>
      <c r="AC557" s="38">
        <f>AC$522</f>
        <v>0.2300040264658568</v>
      </c>
      <c r="AE557" s="38">
        <f>AE$522</f>
        <v>10.542431537061647</v>
      </c>
      <c r="AF557" s="38">
        <f>AF$522</f>
        <v>1.712192873251775</v>
      </c>
      <c r="AG557" s="38">
        <f>AG$522</f>
        <v>0.2300040264658568</v>
      </c>
      <c r="AI557" s="38">
        <f>AI$522</f>
        <v>10.542431537061647</v>
      </c>
      <c r="AJ557" s="38">
        <f>AJ$522</f>
        <v>1.712192873251775</v>
      </c>
      <c r="AK557" s="38">
        <f>AK$522</f>
        <v>0.2300040264658568</v>
      </c>
      <c r="AL557" s="17"/>
    </row>
    <row r="558" spans="1:38" x14ac:dyDescent="0.25">
      <c r="A558" s="4" t="s">
        <v>213</v>
      </c>
      <c r="C558" s="38">
        <f>C$532</f>
        <v>10.002222751448761</v>
      </c>
      <c r="D558" s="38">
        <f>D$532</f>
        <v>0.3186463537994666</v>
      </c>
      <c r="E558" s="38">
        <f>E$532</f>
        <v>2.8173090838921312E-2</v>
      </c>
      <c r="G558" s="38">
        <f>G$532</f>
        <v>7.9307950265696743</v>
      </c>
      <c r="H558" s="38">
        <f>H$532</f>
        <v>0.79266888459469698</v>
      </c>
      <c r="I558" s="38">
        <f>I$532</f>
        <v>0.10494792771293197</v>
      </c>
      <c r="K558" s="38">
        <f>K$532</f>
        <v>7.9307950265696743</v>
      </c>
      <c r="L558" s="38">
        <f>L$532</f>
        <v>0.79266888459469698</v>
      </c>
      <c r="M558" s="38">
        <f>M$532</f>
        <v>0.10494792771293197</v>
      </c>
      <c r="O558" s="38">
        <f>O$532</f>
        <v>6.6916403464953857</v>
      </c>
      <c r="P558" s="38">
        <f>P$532</f>
        <v>1.0867871298338831</v>
      </c>
      <c r="Q558" s="38">
        <f>Q$532</f>
        <v>0.14599138898314287</v>
      </c>
      <c r="S558" s="38">
        <f>S$532</f>
        <v>6.6916403464953857</v>
      </c>
      <c r="T558" s="38">
        <f>T$532</f>
        <v>1.0867871298338831</v>
      </c>
      <c r="U558" s="38">
        <f>U$532</f>
        <v>0.14599138898314287</v>
      </c>
      <c r="W558" s="38">
        <f>W$532</f>
        <v>0.99999999999999989</v>
      </c>
      <c r="X558" s="38">
        <f>X$532</f>
        <v>1</v>
      </c>
      <c r="Y558" s="38">
        <f>Y$532</f>
        <v>1.0000000000000002</v>
      </c>
      <c r="AA558" s="38">
        <f>AA$532</f>
        <v>6.6916403464953857</v>
      </c>
      <c r="AB558" s="38">
        <f>AB$532</f>
        <v>1.0867871298338831</v>
      </c>
      <c r="AC558" s="38">
        <f>AC$532</f>
        <v>0.14599138898314287</v>
      </c>
      <c r="AE558" s="38">
        <f>AE$532</f>
        <v>6.6916403464953857</v>
      </c>
      <c r="AF558" s="38">
        <f>AF$532</f>
        <v>1.0867871298338831</v>
      </c>
      <c r="AG558" s="38">
        <f>AG$532</f>
        <v>0.14599138898314287</v>
      </c>
      <c r="AI558" s="38">
        <f>AI$532</f>
        <v>6.6916403464953857</v>
      </c>
      <c r="AJ558" s="38">
        <f>AJ$532</f>
        <v>1.0867871298338831</v>
      </c>
      <c r="AK558" s="38">
        <f>AK$532</f>
        <v>0.14599138898314287</v>
      </c>
      <c r="AL558" s="17"/>
    </row>
    <row r="559" spans="1:38" x14ac:dyDescent="0.25">
      <c r="A559" s="4" t="s">
        <v>173</v>
      </c>
      <c r="C559" s="38">
        <f>C$513</f>
        <v>14.008930928953305</v>
      </c>
      <c r="D559" s="38">
        <f>D$513</f>
        <v>0.44629027687800471</v>
      </c>
      <c r="E559" s="38">
        <f>E$513</f>
        <v>3.9458717669570958E-2</v>
      </c>
      <c r="G559" s="38">
        <f>G$513</f>
        <v>11.107557477736789</v>
      </c>
      <c r="H559" s="38">
        <f>H$513</f>
        <v>1.1101806523749471</v>
      </c>
      <c r="I559" s="38">
        <f>I$513</f>
        <v>0.14698591192123736</v>
      </c>
      <c r="K559" s="38">
        <f>K$513</f>
        <v>11.107557477736789</v>
      </c>
      <c r="L559" s="38">
        <f>L$513</f>
        <v>1.1101806523749471</v>
      </c>
      <c r="M559" s="38">
        <f>M$513</f>
        <v>0.14698591192123736</v>
      </c>
      <c r="O559" s="38">
        <f>O$513</f>
        <v>9.3719093228140871</v>
      </c>
      <c r="P559" s="38">
        <f>P$513</f>
        <v>1.5220887415652673</v>
      </c>
      <c r="Q559" s="38">
        <f>Q$513</f>
        <v>0.20446676578759523</v>
      </c>
      <c r="S559" s="38">
        <f>S$513</f>
        <v>9.3719093228140871</v>
      </c>
      <c r="T559" s="38">
        <f>T$513</f>
        <v>1.5220887415652673</v>
      </c>
      <c r="U559" s="38">
        <f>U$513</f>
        <v>0.20446676578759523</v>
      </c>
      <c r="W559" s="38">
        <f>W$513</f>
        <v>1.4015395093646097</v>
      </c>
      <c r="X559" s="38">
        <f>X$513</f>
        <v>1.4015395093646099</v>
      </c>
      <c r="Y559" s="38">
        <f>Y$513</f>
        <v>1.4015395093646101</v>
      </c>
      <c r="AA559" s="38">
        <f>AA$513</f>
        <v>9.3719093228140871</v>
      </c>
      <c r="AB559" s="38">
        <f>AB$513</f>
        <v>1.5220887415652673</v>
      </c>
      <c r="AC559" s="38">
        <f>AC$513</f>
        <v>0.20446676578759523</v>
      </c>
      <c r="AE559" s="38">
        <f>AE$513</f>
        <v>9.3719093228140871</v>
      </c>
      <c r="AF559" s="38">
        <f>AF$513</f>
        <v>1.5220887415652673</v>
      </c>
      <c r="AG559" s="38">
        <f>AG$513</f>
        <v>0.20446676578759523</v>
      </c>
      <c r="AI559" s="38">
        <f>AI$513</f>
        <v>9.3719093228140871</v>
      </c>
      <c r="AJ559" s="38">
        <f>AJ$513</f>
        <v>1.5220887415652673</v>
      </c>
      <c r="AK559" s="38">
        <f>AK$513</f>
        <v>0.20446676578759523</v>
      </c>
      <c r="AL559" s="17"/>
    </row>
    <row r="560" spans="1:38" x14ac:dyDescent="0.25">
      <c r="A560" s="4" t="s">
        <v>174</v>
      </c>
      <c r="C560" s="38">
        <f>C$523</f>
        <v>13.215824439074586</v>
      </c>
      <c r="D560" s="38">
        <f>D$523</f>
        <v>0.42102384386060948</v>
      </c>
      <c r="E560" s="38">
        <f>E$523</f>
        <v>3.722478809816096E-2</v>
      </c>
      <c r="G560" s="38">
        <f>G$523</f>
        <v>10.478710353929026</v>
      </c>
      <c r="H560" s="38">
        <f>H$523</f>
        <v>1.0473284986451732</v>
      </c>
      <c r="I560" s="38">
        <f>I$523</f>
        <v>0.13866440036145516</v>
      </c>
      <c r="K560" s="38">
        <f>K$523</f>
        <v>10.478710353929026</v>
      </c>
      <c r="L560" s="38">
        <f>L$523</f>
        <v>1.0473284986451732</v>
      </c>
      <c r="M560" s="38">
        <f>M$523</f>
        <v>0.13866440036145516</v>
      </c>
      <c r="O560" s="38">
        <f>O$523</f>
        <v>8.8413247875504783</v>
      </c>
      <c r="P560" s="38">
        <f>P$523</f>
        <v>1.435916679954786</v>
      </c>
      <c r="Q560" s="38">
        <f>Q$523</f>
        <v>0.19289101316713675</v>
      </c>
      <c r="S560" s="38">
        <f>S$523</f>
        <v>8.8413247875504783</v>
      </c>
      <c r="T560" s="38">
        <f>T$523</f>
        <v>1.435916679954786</v>
      </c>
      <c r="U560" s="38">
        <f>U$523</f>
        <v>0.19289101316713675</v>
      </c>
      <c r="W560" s="38">
        <f>W$523</f>
        <v>1.322192263929832</v>
      </c>
      <c r="X560" s="38">
        <f>X$523</f>
        <v>1.3221922639298322</v>
      </c>
      <c r="Y560" s="38">
        <f>Y$523</f>
        <v>1.3221922639298322</v>
      </c>
      <c r="AA560" s="38">
        <f>AA$523</f>
        <v>8.8413247875504783</v>
      </c>
      <c r="AB560" s="38">
        <f>AB$523</f>
        <v>1.435916679954786</v>
      </c>
      <c r="AC560" s="38">
        <f>AC$523</f>
        <v>0.19289101316713675</v>
      </c>
      <c r="AE560" s="38">
        <f>AE$523</f>
        <v>8.8413247875504783</v>
      </c>
      <c r="AF560" s="38">
        <f>AF$523</f>
        <v>1.435916679954786</v>
      </c>
      <c r="AG560" s="38">
        <f>AG$523</f>
        <v>0.19289101316713675</v>
      </c>
      <c r="AI560" s="38">
        <f>AI$523</f>
        <v>8.8413247875504783</v>
      </c>
      <c r="AJ560" s="38">
        <f>AJ$523</f>
        <v>1.435916679954786</v>
      </c>
      <c r="AK560" s="38">
        <f>AK$523</f>
        <v>0.19289101316713675</v>
      </c>
      <c r="AL560" s="17"/>
    </row>
    <row r="561" spans="1:38" x14ac:dyDescent="0.25">
      <c r="A561" s="4" t="s">
        <v>214</v>
      </c>
      <c r="C561" s="38">
        <f>C$533</f>
        <v>10.034023285075293</v>
      </c>
      <c r="D561" s="38">
        <f>D$533</f>
        <v>0.31965944102425409</v>
      </c>
      <c r="E561" s="38">
        <f>E$533</f>
        <v>2.8262662861545652E-2</v>
      </c>
      <c r="G561" s="38">
        <f>G$533</f>
        <v>7.955888349879281</v>
      </c>
      <c r="H561" s="38">
        <f>H$533</f>
        <v>0.79517691771520538</v>
      </c>
      <c r="I561" s="38">
        <f>I$533</f>
        <v>0.10527998676526545</v>
      </c>
      <c r="K561" s="38">
        <f>K$533</f>
        <v>7.955888349879281</v>
      </c>
      <c r="L561" s="38">
        <f>L$533</f>
        <v>0.79517691771520538</v>
      </c>
      <c r="M561" s="38">
        <f>M$533</f>
        <v>0.10527998676526545</v>
      </c>
      <c r="O561" s="38">
        <f>O$533</f>
        <v>6.7127146851995318</v>
      </c>
      <c r="P561" s="38">
        <f>P$533</f>
        <v>1.0902098063208856</v>
      </c>
      <c r="Q561" s="38">
        <f>Q$533</f>
        <v>0.14645116742609682</v>
      </c>
      <c r="S561" s="38">
        <f>S$533</f>
        <v>6.7127146851995318</v>
      </c>
      <c r="T561" s="38">
        <f>T$533</f>
        <v>1.0902098063208856</v>
      </c>
      <c r="U561" s="38">
        <f>U$533</f>
        <v>0.14645116742609682</v>
      </c>
      <c r="W561" s="38">
        <f>W$533</f>
        <v>1.003865330141094</v>
      </c>
      <c r="X561" s="38">
        <f>X$533</f>
        <v>1.0038653301410942</v>
      </c>
      <c r="Y561" s="38">
        <f>Y$533</f>
        <v>1.0038653301410945</v>
      </c>
      <c r="AA561" s="38">
        <f>AA$533</f>
        <v>6.7127146851995318</v>
      </c>
      <c r="AB561" s="38">
        <f>AB$533</f>
        <v>1.0902098063208856</v>
      </c>
      <c r="AC561" s="38">
        <f>AC$533</f>
        <v>0.14645116742609682</v>
      </c>
      <c r="AE561" s="38">
        <f>AE$533</f>
        <v>6.7127146851995318</v>
      </c>
      <c r="AF561" s="38">
        <f>AF$533</f>
        <v>1.0902098063208856</v>
      </c>
      <c r="AG561" s="38">
        <f>AG$533</f>
        <v>0.14645116742609682</v>
      </c>
      <c r="AI561" s="38">
        <f>AI$533</f>
        <v>6.7127146851995318</v>
      </c>
      <c r="AJ561" s="38">
        <f>AJ$533</f>
        <v>1.0902098063208856</v>
      </c>
      <c r="AK561" s="38">
        <f>AK$533</f>
        <v>0.14645116742609682</v>
      </c>
      <c r="AL561" s="17"/>
    </row>
    <row r="562" spans="1:38" x14ac:dyDescent="0.25">
      <c r="A562" s="4" t="s">
        <v>175</v>
      </c>
      <c r="C562" s="38">
        <f t="shared" ref="C562:E564" si="43">C280</f>
        <v>10.002222751448761</v>
      </c>
      <c r="D562" s="38">
        <f t="shared" si="43"/>
        <v>0.3186463537994666</v>
      </c>
      <c r="E562" s="38">
        <f t="shared" si="43"/>
        <v>2.8173090838921312E-2</v>
      </c>
      <c r="G562" s="38">
        <f t="shared" ref="G562:I564" si="44">G280</f>
        <v>7.9307950265696743</v>
      </c>
      <c r="H562" s="38">
        <f t="shared" si="44"/>
        <v>0.79266888459469698</v>
      </c>
      <c r="I562" s="38">
        <f t="shared" si="44"/>
        <v>0.10494792771293197</v>
      </c>
      <c r="K562" s="38">
        <f t="shared" ref="K562:M564" si="45">K280</f>
        <v>7.9307950265696743</v>
      </c>
      <c r="L562" s="38">
        <f t="shared" si="45"/>
        <v>0.79266888459469698</v>
      </c>
      <c r="M562" s="38">
        <f t="shared" si="45"/>
        <v>0.10494792771293197</v>
      </c>
      <c r="O562" s="38">
        <f t="shared" ref="O562:Q564" si="46">O280</f>
        <v>6.6916403464953857</v>
      </c>
      <c r="P562" s="38">
        <f t="shared" si="46"/>
        <v>1.0867871298338831</v>
      </c>
      <c r="Q562" s="38">
        <f t="shared" si="46"/>
        <v>0.14599138898314287</v>
      </c>
      <c r="S562" s="38">
        <f t="shared" ref="S562:U564" si="47">S280</f>
        <v>6.6916403464953857</v>
      </c>
      <c r="T562" s="38">
        <f t="shared" si="47"/>
        <v>1.0867871298338831</v>
      </c>
      <c r="U562" s="38">
        <f t="shared" si="47"/>
        <v>0.14599138898314287</v>
      </c>
      <c r="W562" s="38">
        <f t="shared" ref="W562:Y564" si="48">W280</f>
        <v>0.99999999999999989</v>
      </c>
      <c r="X562" s="38">
        <f t="shared" si="48"/>
        <v>1</v>
      </c>
      <c r="Y562" s="38">
        <f t="shared" si="48"/>
        <v>1.0000000000000002</v>
      </c>
      <c r="AA562" s="38">
        <f t="shared" ref="AA562:AC564" si="49">AA280</f>
        <v>6.6916403464953857</v>
      </c>
      <c r="AB562" s="38">
        <f t="shared" si="49"/>
        <v>1.0867871298338831</v>
      </c>
      <c r="AC562" s="38">
        <f t="shared" si="49"/>
        <v>0.14599138898314287</v>
      </c>
      <c r="AE562" s="38">
        <f t="shared" ref="AE562:AG564" si="50">AE280</f>
        <v>6.6916403464953857</v>
      </c>
      <c r="AF562" s="38">
        <f t="shared" si="50"/>
        <v>1.0867871298338831</v>
      </c>
      <c r="AG562" s="38">
        <f t="shared" si="50"/>
        <v>0.14599138898314287</v>
      </c>
      <c r="AI562" s="38">
        <f t="shared" ref="AI562:AK564" si="51">AI280</f>
        <v>6.6916403464953857</v>
      </c>
      <c r="AJ562" s="38">
        <f t="shared" si="51"/>
        <v>1.0867871298338831</v>
      </c>
      <c r="AK562" s="38">
        <f t="shared" si="51"/>
        <v>0.14599138898314287</v>
      </c>
      <c r="AL562" s="17"/>
    </row>
    <row r="563" spans="1:38" x14ac:dyDescent="0.25">
      <c r="A563" s="4" t="s">
        <v>176</v>
      </c>
      <c r="C563" s="38">
        <f t="shared" si="43"/>
        <v>10.002222751448761</v>
      </c>
      <c r="D563" s="38">
        <f t="shared" si="43"/>
        <v>0.3186463537994666</v>
      </c>
      <c r="E563" s="38">
        <f t="shared" si="43"/>
        <v>2.8173090838921312E-2</v>
      </c>
      <c r="G563" s="38">
        <f t="shared" si="44"/>
        <v>7.9307950265696743</v>
      </c>
      <c r="H563" s="38">
        <f t="shared" si="44"/>
        <v>0.79266888459469698</v>
      </c>
      <c r="I563" s="38">
        <f t="shared" si="44"/>
        <v>0.10494792771293197</v>
      </c>
      <c r="K563" s="38">
        <f t="shared" si="45"/>
        <v>7.9307950265696743</v>
      </c>
      <c r="L563" s="38">
        <f t="shared" si="45"/>
        <v>0.79266888459469698</v>
      </c>
      <c r="M563" s="38">
        <f t="shared" si="45"/>
        <v>0.10494792771293197</v>
      </c>
      <c r="O563" s="38">
        <f t="shared" si="46"/>
        <v>6.6916403464953857</v>
      </c>
      <c r="P563" s="38">
        <f t="shared" si="46"/>
        <v>1.0867871298338831</v>
      </c>
      <c r="Q563" s="38">
        <f t="shared" si="46"/>
        <v>0.14599138898314287</v>
      </c>
      <c r="S563" s="38">
        <f t="shared" si="47"/>
        <v>6.6916403464953857</v>
      </c>
      <c r="T563" s="38">
        <f t="shared" si="47"/>
        <v>1.0867871298338831</v>
      </c>
      <c r="U563" s="38">
        <f t="shared" si="47"/>
        <v>0.14599138898314287</v>
      </c>
      <c r="W563" s="38">
        <f t="shared" si="48"/>
        <v>0.99999999999999989</v>
      </c>
      <c r="X563" s="38">
        <f t="shared" si="48"/>
        <v>1</v>
      </c>
      <c r="Y563" s="38">
        <f t="shared" si="48"/>
        <v>1.0000000000000002</v>
      </c>
      <c r="AA563" s="38">
        <f t="shared" si="49"/>
        <v>6.6916403464953857</v>
      </c>
      <c r="AB563" s="38">
        <f t="shared" si="49"/>
        <v>1.0867871298338831</v>
      </c>
      <c r="AC563" s="38">
        <f t="shared" si="49"/>
        <v>0.14599138898314287</v>
      </c>
      <c r="AE563" s="38">
        <f t="shared" si="50"/>
        <v>6.6916403464953857</v>
      </c>
      <c r="AF563" s="38">
        <f t="shared" si="50"/>
        <v>1.0867871298338831</v>
      </c>
      <c r="AG563" s="38">
        <f t="shared" si="50"/>
        <v>0.14599138898314287</v>
      </c>
      <c r="AI563" s="38">
        <f t="shared" si="51"/>
        <v>6.6916403464953857</v>
      </c>
      <c r="AJ563" s="38">
        <f t="shared" si="51"/>
        <v>1.0867871298338831</v>
      </c>
      <c r="AK563" s="38">
        <f t="shared" si="51"/>
        <v>0.14599138898314287</v>
      </c>
      <c r="AL563" s="17"/>
    </row>
    <row r="564" spans="1:38" x14ac:dyDescent="0.25">
      <c r="A564" s="4" t="s">
        <v>192</v>
      </c>
      <c r="C564" s="38">
        <f t="shared" si="43"/>
        <v>12.637659196047911</v>
      </c>
      <c r="D564" s="38">
        <f t="shared" si="43"/>
        <v>0.40260491327267095</v>
      </c>
      <c r="E564" s="38">
        <f t="shared" si="43"/>
        <v>3.5596279883890462E-2</v>
      </c>
      <c r="G564" s="38">
        <f t="shared" si="44"/>
        <v>10.020441174936048</v>
      </c>
      <c r="H564" s="38">
        <f t="shared" si="44"/>
        <v>1.0015253076990553</v>
      </c>
      <c r="I564" s="38">
        <f t="shared" si="44"/>
        <v>0.13260014066127451</v>
      </c>
      <c r="K564" s="38">
        <f t="shared" si="45"/>
        <v>10.020441174936048</v>
      </c>
      <c r="L564" s="38">
        <f t="shared" si="45"/>
        <v>1.0015253076990553</v>
      </c>
      <c r="M564" s="38">
        <f t="shared" si="45"/>
        <v>0.13260014066127451</v>
      </c>
      <c r="O564" s="38">
        <f t="shared" si="46"/>
        <v>8.4547877269863516</v>
      </c>
      <c r="P564" s="38">
        <f t="shared" si="46"/>
        <v>1.3731393218074788</v>
      </c>
      <c r="Q564" s="38">
        <f t="shared" si="46"/>
        <v>0.18445794153698364</v>
      </c>
      <c r="S564" s="38">
        <f t="shared" si="47"/>
        <v>8.4547877269863516</v>
      </c>
      <c r="T564" s="38">
        <f t="shared" si="47"/>
        <v>1.3731393218074788</v>
      </c>
      <c r="U564" s="38">
        <f t="shared" si="47"/>
        <v>0.18445794153698364</v>
      </c>
      <c r="W564" s="38">
        <f t="shared" si="48"/>
        <v>1.2634850782759686</v>
      </c>
      <c r="X564" s="38">
        <f t="shared" si="48"/>
        <v>1.2634850782759686</v>
      </c>
      <c r="Y564" s="38">
        <f t="shared" si="48"/>
        <v>1.2634850782759688</v>
      </c>
      <c r="AA564" s="38">
        <f t="shared" si="49"/>
        <v>8.4547877269863516</v>
      </c>
      <c r="AB564" s="38">
        <f t="shared" si="49"/>
        <v>1.3731393218074788</v>
      </c>
      <c r="AC564" s="38">
        <f t="shared" si="49"/>
        <v>0.18445794153698364</v>
      </c>
      <c r="AE564" s="38">
        <f t="shared" si="50"/>
        <v>8.4547877269863516</v>
      </c>
      <c r="AF564" s="38">
        <f t="shared" si="50"/>
        <v>1.3731393218074788</v>
      </c>
      <c r="AG564" s="38">
        <f t="shared" si="50"/>
        <v>0.18445794153698364</v>
      </c>
      <c r="AI564" s="38">
        <f t="shared" si="51"/>
        <v>8.4547877269863516</v>
      </c>
      <c r="AJ564" s="38">
        <f t="shared" si="51"/>
        <v>1.3731393218074788</v>
      </c>
      <c r="AK564" s="38">
        <f t="shared" si="51"/>
        <v>0.18445794153698364</v>
      </c>
      <c r="AL564" s="17"/>
    </row>
    <row r="565" spans="1:38" x14ac:dyDescent="0.25">
      <c r="A565" s="4" t="s">
        <v>177</v>
      </c>
      <c r="C565" s="38">
        <f>C$543</f>
        <v>14.161929623100782</v>
      </c>
      <c r="D565" s="38">
        <f>D$543</f>
        <v>0.45116444107506892</v>
      </c>
      <c r="E565" s="38">
        <f>E$543</f>
        <v>3.9889666491204505E-2</v>
      </c>
      <c r="G565" s="38">
        <f>G$543</f>
        <v>11.232864305679023</v>
      </c>
      <c r="H565" s="38">
        <f>H$543</f>
        <v>1.1227048473899872</v>
      </c>
      <c r="I565" s="38">
        <f>I$543</f>
        <v>0.14864409270598355</v>
      </c>
      <c r="K565" s="38">
        <f>K$543</f>
        <v>11.232864305679023</v>
      </c>
      <c r="L565" s="38">
        <f>L$543</f>
        <v>1.1227048473899872</v>
      </c>
      <c r="M565" s="38">
        <f>M$543</f>
        <v>0.14864409270598355</v>
      </c>
      <c r="O565" s="38">
        <f>O$543</f>
        <v>9.4796041260624424</v>
      </c>
      <c r="P565" s="38">
        <f>P$543</f>
        <v>1.5395794194947239</v>
      </c>
      <c r="Q565" s="38">
        <f>Q$543</f>
        <v>0.20681634124269691</v>
      </c>
      <c r="S565" s="38">
        <f>S$543</f>
        <v>9.4796041260624424</v>
      </c>
      <c r="T565" s="38">
        <f>T$543</f>
        <v>1.5395794194947239</v>
      </c>
      <c r="U565" s="38">
        <f>U$543</f>
        <v>0.20681634124269691</v>
      </c>
      <c r="W565" s="38">
        <f>W$543</f>
        <v>1.4241711693616392</v>
      </c>
      <c r="X565" s="38">
        <f>X$543</f>
        <v>1.4241711693616395</v>
      </c>
      <c r="Y565" s="38">
        <f>Y$543</f>
        <v>1.4241711693616397</v>
      </c>
      <c r="AA565" s="38">
        <f>AA$543</f>
        <v>9.4796041260624424</v>
      </c>
      <c r="AB565" s="38">
        <f>AB$543</f>
        <v>1.5395794194947239</v>
      </c>
      <c r="AC565" s="38">
        <f>AC$543</f>
        <v>0.20681634124269691</v>
      </c>
      <c r="AE565" s="38">
        <f>AE$543</f>
        <v>9.4796041260624424</v>
      </c>
      <c r="AF565" s="38">
        <f>AF$543</f>
        <v>1.5395794194947239</v>
      </c>
      <c r="AG565" s="38">
        <f>AG$543</f>
        <v>0.20681634124269691</v>
      </c>
      <c r="AI565" s="38">
        <f>AI$543</f>
        <v>9.4796041260624424</v>
      </c>
      <c r="AJ565" s="38">
        <f>AJ$543</f>
        <v>1.5395794194947239</v>
      </c>
      <c r="AK565" s="38">
        <f>AK$543</f>
        <v>0.20681634124269691</v>
      </c>
      <c r="AL565" s="17"/>
    </row>
    <row r="566" spans="1:38" x14ac:dyDescent="0.25">
      <c r="A566" s="4" t="s">
        <v>178</v>
      </c>
      <c r="C566" s="38">
        <f>C$544</f>
        <v>13.779574972307019</v>
      </c>
      <c r="D566" s="38">
        <f>D$544</f>
        <v>0.43898355704946063</v>
      </c>
      <c r="E566" s="38">
        <f>E$544</f>
        <v>3.8812694644328148E-2</v>
      </c>
      <c r="G566" s="38">
        <f>G$544</f>
        <v>10.923497537500932</v>
      </c>
      <c r="H566" s="38">
        <f>H$544</f>
        <v>1.0917841880814509</v>
      </c>
      <c r="I566" s="38">
        <f>I$544</f>
        <v>0.14455025329710136</v>
      </c>
      <c r="K566" s="38">
        <f>K$544</f>
        <v>10.923497537500932</v>
      </c>
      <c r="L566" s="38">
        <f>L$544</f>
        <v>1.0917841880814509</v>
      </c>
      <c r="M566" s="38">
        <f>M$544</f>
        <v>0.14455025329710136</v>
      </c>
      <c r="O566" s="38">
        <f>O$544</f>
        <v>9.2157463778736339</v>
      </c>
      <c r="P566" s="38">
        <f>P$544</f>
        <v>1.4967263685251317</v>
      </c>
      <c r="Q566" s="38">
        <f>Q$544</f>
        <v>0.20105976181561774</v>
      </c>
      <c r="S566" s="38">
        <f>S$544</f>
        <v>9.2157463778736339</v>
      </c>
      <c r="T566" s="38">
        <f>T$544</f>
        <v>1.4967263685251317</v>
      </c>
      <c r="U566" s="38">
        <f>U$544</f>
        <v>0.20105976181561774</v>
      </c>
      <c r="W566" s="38">
        <f>W$544</f>
        <v>1.3721769453068922</v>
      </c>
      <c r="X566" s="38">
        <f>X$544</f>
        <v>1.3721769453068928</v>
      </c>
      <c r="Y566" s="38">
        <f>Y$544</f>
        <v>1.3721769453068928</v>
      </c>
      <c r="AA566" s="38">
        <f>AA$544</f>
        <v>9.2157463778736339</v>
      </c>
      <c r="AB566" s="38">
        <f>AB$544</f>
        <v>1.4967263685251317</v>
      </c>
      <c r="AC566" s="38">
        <f>AC$544</f>
        <v>0.20105976181561774</v>
      </c>
      <c r="AE566" s="38">
        <f>AE$544</f>
        <v>9.2157463778736339</v>
      </c>
      <c r="AF566" s="38">
        <f>AF$544</f>
        <v>1.4967263685251317</v>
      </c>
      <c r="AG566" s="38">
        <f>AG$544</f>
        <v>0.20105976181561774</v>
      </c>
      <c r="AI566" s="38">
        <f>AI$544</f>
        <v>9.2157463778736339</v>
      </c>
      <c r="AJ566" s="38">
        <f>AJ$544</f>
        <v>1.4967263685251317</v>
      </c>
      <c r="AK566" s="38">
        <f>AK$544</f>
        <v>0.20105976181561774</v>
      </c>
      <c r="AL566" s="17"/>
    </row>
    <row r="567" spans="1:38" x14ac:dyDescent="0.25">
      <c r="A567" s="4" t="s">
        <v>179</v>
      </c>
      <c r="C567" s="38">
        <f t="shared" ref="C567:E572" si="52">C285</f>
        <v>11.988870026892526</v>
      </c>
      <c r="D567" s="38">
        <f t="shared" si="52"/>
        <v>0.38193607712762467</v>
      </c>
      <c r="E567" s="38">
        <f t="shared" si="52"/>
        <v>3.3768846457127862E-2</v>
      </c>
      <c r="G567" s="38">
        <f t="shared" ref="G567:I572" si="53">G285</f>
        <v>9.506014127679526</v>
      </c>
      <c r="H567" s="38">
        <f t="shared" si="53"/>
        <v>0.95010923750835408</v>
      </c>
      <c r="I567" s="38">
        <f t="shared" si="53"/>
        <v>0.12579274589338754</v>
      </c>
      <c r="K567" s="38">
        <f t="shared" ref="K567:M572" si="54">K285</f>
        <v>9.506014127679526</v>
      </c>
      <c r="L567" s="38">
        <f t="shared" si="54"/>
        <v>0.95010923750835408</v>
      </c>
      <c r="M567" s="38">
        <f t="shared" si="54"/>
        <v>0.12579274589338754</v>
      </c>
      <c r="O567" s="38">
        <f t="shared" ref="O567:Q572" si="55">O285</f>
        <v>8.0207378274217209</v>
      </c>
      <c r="P567" s="38">
        <f t="shared" si="55"/>
        <v>1.3026454189485808</v>
      </c>
      <c r="Q567" s="38">
        <f t="shared" si="55"/>
        <v>0.17498828321043877</v>
      </c>
      <c r="S567" s="38">
        <f t="shared" ref="S567:U572" si="56">S285</f>
        <v>8.0207378274217209</v>
      </c>
      <c r="T567" s="38">
        <f t="shared" si="56"/>
        <v>1.3026454189485808</v>
      </c>
      <c r="U567" s="38">
        <f t="shared" si="56"/>
        <v>0.17498828321043877</v>
      </c>
      <c r="W567" s="38">
        <f t="shared" ref="W567:Y572" si="57">W285</f>
        <v>1.198620579126376</v>
      </c>
      <c r="X567" s="38">
        <f t="shared" si="57"/>
        <v>1.1986205791263762</v>
      </c>
      <c r="Y567" s="38">
        <f t="shared" si="57"/>
        <v>1.1986205791263762</v>
      </c>
      <c r="AA567" s="38">
        <f t="shared" ref="AA567:AC572" si="58">AA285</f>
        <v>8.0207378274217209</v>
      </c>
      <c r="AB567" s="38">
        <f t="shared" si="58"/>
        <v>1.3026454189485808</v>
      </c>
      <c r="AC567" s="38">
        <f t="shared" si="58"/>
        <v>0.17498828321043877</v>
      </c>
      <c r="AE567" s="38">
        <f t="shared" ref="AE567:AG572" si="59">AE285</f>
        <v>8.0207378274217209</v>
      </c>
      <c r="AF567" s="38">
        <f t="shared" si="59"/>
        <v>1.3026454189485808</v>
      </c>
      <c r="AG567" s="38">
        <f t="shared" si="59"/>
        <v>0.17498828321043877</v>
      </c>
      <c r="AI567" s="38">
        <f t="shared" ref="AI567:AK572" si="60">AI285</f>
        <v>8.0207378274217209</v>
      </c>
      <c r="AJ567" s="38">
        <f t="shared" si="60"/>
        <v>1.3026454189485808</v>
      </c>
      <c r="AK567" s="38">
        <f t="shared" si="60"/>
        <v>0.17498828321043877</v>
      </c>
      <c r="AL567" s="17"/>
    </row>
    <row r="568" spans="1:38" x14ac:dyDescent="0.25">
      <c r="A568" s="4" t="s">
        <v>180</v>
      </c>
      <c r="C568" s="38">
        <f t="shared" si="52"/>
        <v>11.891377701675799</v>
      </c>
      <c r="D568" s="38">
        <f t="shared" si="52"/>
        <v>0.37883021008929646</v>
      </c>
      <c r="E568" s="38">
        <f t="shared" si="52"/>
        <v>3.3494241481545742E-2</v>
      </c>
      <c r="G568" s="38">
        <f t="shared" si="53"/>
        <v>9.4287121451931295</v>
      </c>
      <c r="H568" s="38">
        <f t="shared" si="53"/>
        <v>0.94238304158106467</v>
      </c>
      <c r="I568" s="38">
        <f t="shared" si="53"/>
        <v>0.12476981151633335</v>
      </c>
      <c r="K568" s="38">
        <f t="shared" si="54"/>
        <v>9.4287121451931295</v>
      </c>
      <c r="L568" s="38">
        <f t="shared" si="54"/>
        <v>0.94238304158106467</v>
      </c>
      <c r="M568" s="38">
        <f t="shared" si="54"/>
        <v>0.12476981151633335</v>
      </c>
      <c r="O568" s="38">
        <f t="shared" si="55"/>
        <v>7.9555139673752748</v>
      </c>
      <c r="P568" s="38">
        <f t="shared" si="55"/>
        <v>1.2920524330757386</v>
      </c>
      <c r="Q568" s="38">
        <f t="shared" si="55"/>
        <v>0.17356529550787789</v>
      </c>
      <c r="S568" s="38">
        <f t="shared" si="56"/>
        <v>7.9555139673752748</v>
      </c>
      <c r="T568" s="38">
        <f t="shared" si="56"/>
        <v>1.2920524330757386</v>
      </c>
      <c r="U568" s="38">
        <f t="shared" si="56"/>
        <v>0.17356529550787789</v>
      </c>
      <c r="W568" s="38">
        <f t="shared" si="57"/>
        <v>1.1888735131352084</v>
      </c>
      <c r="X568" s="38">
        <f t="shared" si="57"/>
        <v>1.1888735131352086</v>
      </c>
      <c r="Y568" s="38">
        <f t="shared" si="57"/>
        <v>1.1888735131352086</v>
      </c>
      <c r="AA568" s="38">
        <f t="shared" si="58"/>
        <v>7.9555139673752748</v>
      </c>
      <c r="AB568" s="38">
        <f t="shared" si="58"/>
        <v>1.2920524330757386</v>
      </c>
      <c r="AC568" s="38">
        <f t="shared" si="58"/>
        <v>0.17356529550787789</v>
      </c>
      <c r="AE568" s="38">
        <f t="shared" si="59"/>
        <v>7.9555139673752748</v>
      </c>
      <c r="AF568" s="38">
        <f t="shared" si="59"/>
        <v>1.2920524330757386</v>
      </c>
      <c r="AG568" s="38">
        <f t="shared" si="59"/>
        <v>0.17356529550787789</v>
      </c>
      <c r="AI568" s="38">
        <f t="shared" si="60"/>
        <v>7.9555139673752748</v>
      </c>
      <c r="AJ568" s="38">
        <f t="shared" si="60"/>
        <v>1.2920524330757386</v>
      </c>
      <c r="AK568" s="38">
        <f t="shared" si="60"/>
        <v>0.17356529550787789</v>
      </c>
      <c r="AL568" s="17"/>
    </row>
    <row r="569" spans="1:38" x14ac:dyDescent="0.25">
      <c r="A569" s="4" t="s">
        <v>193</v>
      </c>
      <c r="C569" s="38">
        <f t="shared" si="52"/>
        <v>10.746510103096467</v>
      </c>
      <c r="D569" s="38">
        <f t="shared" si="52"/>
        <v>0.34235752847284123</v>
      </c>
      <c r="E569" s="38">
        <f t="shared" si="52"/>
        <v>3.0269512373344132E-2</v>
      </c>
      <c r="G569" s="38">
        <f t="shared" si="53"/>
        <v>8.5209428940455698</v>
      </c>
      <c r="H569" s="38">
        <f t="shared" si="53"/>
        <v>0.85165311635089103</v>
      </c>
      <c r="I569" s="38">
        <f t="shared" si="53"/>
        <v>0.11275733339399012</v>
      </c>
      <c r="K569" s="38">
        <f t="shared" si="54"/>
        <v>8.5209428940455698</v>
      </c>
      <c r="L569" s="38">
        <f t="shared" si="54"/>
        <v>0.85165311635089103</v>
      </c>
      <c r="M569" s="38">
        <f t="shared" si="54"/>
        <v>0.11275733339399012</v>
      </c>
      <c r="O569" s="38">
        <f t="shared" si="55"/>
        <v>7.1895799940552854</v>
      </c>
      <c r="P569" s="38">
        <f t="shared" si="55"/>
        <v>1.1676573458617867</v>
      </c>
      <c r="Q569" s="38">
        <f t="shared" si="55"/>
        <v>0.15685492871523846</v>
      </c>
      <c r="S569" s="38">
        <f t="shared" si="56"/>
        <v>7.1895799940552854</v>
      </c>
      <c r="T569" s="38">
        <f t="shared" si="56"/>
        <v>1.1676573458617867</v>
      </c>
      <c r="U569" s="38">
        <f t="shared" si="56"/>
        <v>0.15685492871523846</v>
      </c>
      <c r="W569" s="38">
        <f t="shared" si="57"/>
        <v>1.0744121951833057</v>
      </c>
      <c r="X569" s="38">
        <f t="shared" si="57"/>
        <v>1.0744121951833059</v>
      </c>
      <c r="Y569" s="38">
        <f t="shared" si="57"/>
        <v>1.0744121951833061</v>
      </c>
      <c r="AA569" s="38">
        <f t="shared" si="58"/>
        <v>7.1895799940552854</v>
      </c>
      <c r="AB569" s="38">
        <f t="shared" si="58"/>
        <v>1.1676573458617867</v>
      </c>
      <c r="AC569" s="38">
        <f t="shared" si="58"/>
        <v>0.15685492871523846</v>
      </c>
      <c r="AE569" s="38">
        <f t="shared" si="59"/>
        <v>7.1895799940552854</v>
      </c>
      <c r="AF569" s="38">
        <f t="shared" si="59"/>
        <v>1.1676573458617867</v>
      </c>
      <c r="AG569" s="38">
        <f t="shared" si="59"/>
        <v>0.15685492871523846</v>
      </c>
      <c r="AI569" s="38">
        <f t="shared" si="60"/>
        <v>7.1895799940552854</v>
      </c>
      <c r="AJ569" s="38">
        <f t="shared" si="60"/>
        <v>1.1676573458617867</v>
      </c>
      <c r="AK569" s="38">
        <f t="shared" si="60"/>
        <v>0.15685492871523846</v>
      </c>
      <c r="AL569" s="17"/>
    </row>
    <row r="570" spans="1:38" x14ac:dyDescent="0.25">
      <c r="A570" s="4" t="s">
        <v>184</v>
      </c>
      <c r="C570" s="38">
        <f t="shared" si="52"/>
        <v>-10.002222751448761</v>
      </c>
      <c r="D570" s="38">
        <f t="shared" si="52"/>
        <v>-0.3186463537994666</v>
      </c>
      <c r="E570" s="38">
        <f t="shared" si="52"/>
        <v>-2.8173090838921312E-2</v>
      </c>
      <c r="G570" s="38">
        <f t="shared" si="53"/>
        <v>-7.9307950265696743</v>
      </c>
      <c r="H570" s="38">
        <f t="shared" si="53"/>
        <v>-0.79266888459469698</v>
      </c>
      <c r="I570" s="38">
        <f t="shared" si="53"/>
        <v>-0.10494792771293197</v>
      </c>
      <c r="K570" s="38">
        <f t="shared" si="54"/>
        <v>-7.9307950265696743</v>
      </c>
      <c r="L570" s="38">
        <f t="shared" si="54"/>
        <v>-0.79266888459469698</v>
      </c>
      <c r="M570" s="38">
        <f t="shared" si="54"/>
        <v>-0.10494792771293197</v>
      </c>
      <c r="O570" s="38">
        <f t="shared" si="55"/>
        <v>-6.6916403464953857</v>
      </c>
      <c r="P570" s="38">
        <f t="shared" si="55"/>
        <v>-1.0867871298338831</v>
      </c>
      <c r="Q570" s="38">
        <f t="shared" si="55"/>
        <v>-0.14599138898314287</v>
      </c>
      <c r="S570" s="38">
        <f t="shared" si="56"/>
        <v>-6.6916403464953857</v>
      </c>
      <c r="T570" s="38">
        <f t="shared" si="56"/>
        <v>-1.0867871298338831</v>
      </c>
      <c r="U570" s="38">
        <f t="shared" si="56"/>
        <v>-0.14599138898314287</v>
      </c>
      <c r="W570" s="38">
        <f t="shared" si="57"/>
        <v>-0.99999999999999989</v>
      </c>
      <c r="X570" s="38">
        <f t="shared" si="57"/>
        <v>-1</v>
      </c>
      <c r="Y570" s="38">
        <f t="shared" si="57"/>
        <v>-1.0000000000000002</v>
      </c>
      <c r="AA570" s="38">
        <f t="shared" si="58"/>
        <v>-6.6916403464953857</v>
      </c>
      <c r="AB570" s="38">
        <f t="shared" si="58"/>
        <v>-1.0867871298338831</v>
      </c>
      <c r="AC570" s="38">
        <f t="shared" si="58"/>
        <v>-0.14599138898314287</v>
      </c>
      <c r="AE570" s="38">
        <f t="shared" si="59"/>
        <v>-6.6916403464953857</v>
      </c>
      <c r="AF570" s="38">
        <f t="shared" si="59"/>
        <v>-1.0867871298338831</v>
      </c>
      <c r="AG570" s="38">
        <f t="shared" si="59"/>
        <v>-0.14599138898314287</v>
      </c>
      <c r="AI570" s="38">
        <f t="shared" si="60"/>
        <v>-6.6916403464953857</v>
      </c>
      <c r="AJ570" s="38">
        <f t="shared" si="60"/>
        <v>-1.0867871298338831</v>
      </c>
      <c r="AK570" s="38">
        <f t="shared" si="60"/>
        <v>-0.14599138898314287</v>
      </c>
      <c r="AL570" s="17"/>
    </row>
    <row r="571" spans="1:38" x14ac:dyDescent="0.25">
      <c r="A571" s="4" t="s">
        <v>186</v>
      </c>
      <c r="C571" s="38">
        <f t="shared" si="52"/>
        <v>-10.002222751448761</v>
      </c>
      <c r="D571" s="38">
        <f t="shared" si="52"/>
        <v>-0.3186463537994666</v>
      </c>
      <c r="E571" s="38">
        <f t="shared" si="52"/>
        <v>-2.8173090838921312E-2</v>
      </c>
      <c r="G571" s="38">
        <f t="shared" si="53"/>
        <v>-7.9307950265696743</v>
      </c>
      <c r="H571" s="38">
        <f t="shared" si="53"/>
        <v>-0.79266888459469698</v>
      </c>
      <c r="I571" s="38">
        <f t="shared" si="53"/>
        <v>-0.10494792771293197</v>
      </c>
      <c r="K571" s="38">
        <f t="shared" si="54"/>
        <v>-7.9307950265696743</v>
      </c>
      <c r="L571" s="38">
        <f t="shared" si="54"/>
        <v>-0.79266888459469698</v>
      </c>
      <c r="M571" s="38">
        <f t="shared" si="54"/>
        <v>-0.10494792771293197</v>
      </c>
      <c r="O571" s="38">
        <f t="shared" si="55"/>
        <v>-6.6916403464953857</v>
      </c>
      <c r="P571" s="38">
        <f t="shared" si="55"/>
        <v>-1.0867871298338831</v>
      </c>
      <c r="Q571" s="38">
        <f t="shared" si="55"/>
        <v>-0.14599138898314287</v>
      </c>
      <c r="S571" s="38">
        <f t="shared" si="56"/>
        <v>-6.6916403464953857</v>
      </c>
      <c r="T571" s="38">
        <f t="shared" si="56"/>
        <v>-1.0867871298338831</v>
      </c>
      <c r="U571" s="38">
        <f t="shared" si="56"/>
        <v>-0.14599138898314287</v>
      </c>
      <c r="W571" s="38">
        <f t="shared" si="57"/>
        <v>-0.99999999999999989</v>
      </c>
      <c r="X571" s="38">
        <f t="shared" si="57"/>
        <v>-1</v>
      </c>
      <c r="Y571" s="38">
        <f t="shared" si="57"/>
        <v>-1.0000000000000002</v>
      </c>
      <c r="AA571" s="38">
        <f t="shared" si="58"/>
        <v>-6.6916403464953857</v>
      </c>
      <c r="AB571" s="38">
        <f t="shared" si="58"/>
        <v>-1.0867871298338831</v>
      </c>
      <c r="AC571" s="38">
        <f t="shared" si="58"/>
        <v>-0.14599138898314287</v>
      </c>
      <c r="AE571" s="38">
        <f t="shared" si="59"/>
        <v>-6.6916403464953857</v>
      </c>
      <c r="AF571" s="38">
        <f t="shared" si="59"/>
        <v>-1.0867871298338831</v>
      </c>
      <c r="AG571" s="38">
        <f t="shared" si="59"/>
        <v>-0.14599138898314287</v>
      </c>
      <c r="AI571" s="38">
        <f t="shared" si="60"/>
        <v>-6.6916403464953857</v>
      </c>
      <c r="AJ571" s="38">
        <f t="shared" si="60"/>
        <v>-1.0867871298338831</v>
      </c>
      <c r="AK571" s="38">
        <f t="shared" si="60"/>
        <v>-0.14599138898314287</v>
      </c>
      <c r="AL571" s="17"/>
    </row>
    <row r="572" spans="1:38" x14ac:dyDescent="0.25">
      <c r="A572" s="4" t="s">
        <v>195</v>
      </c>
      <c r="C572" s="38">
        <f t="shared" si="52"/>
        <v>-10.002222751448761</v>
      </c>
      <c r="D572" s="38">
        <f t="shared" si="52"/>
        <v>-0.3186463537994666</v>
      </c>
      <c r="E572" s="38">
        <f t="shared" si="52"/>
        <v>-2.8173090838921312E-2</v>
      </c>
      <c r="G572" s="38">
        <f t="shared" si="53"/>
        <v>-7.9307950265696743</v>
      </c>
      <c r="H572" s="38">
        <f t="shared" si="53"/>
        <v>-0.79266888459469698</v>
      </c>
      <c r="I572" s="38">
        <f t="shared" si="53"/>
        <v>-0.10494792771293197</v>
      </c>
      <c r="K572" s="38">
        <f t="shared" si="54"/>
        <v>-7.9307950265696743</v>
      </c>
      <c r="L572" s="38">
        <f t="shared" si="54"/>
        <v>-0.79266888459469698</v>
      </c>
      <c r="M572" s="38">
        <f t="shared" si="54"/>
        <v>-0.10494792771293197</v>
      </c>
      <c r="O572" s="38">
        <f t="shared" si="55"/>
        <v>-6.6916403464953857</v>
      </c>
      <c r="P572" s="38">
        <f t="shared" si="55"/>
        <v>-1.0867871298338831</v>
      </c>
      <c r="Q572" s="38">
        <f t="shared" si="55"/>
        <v>-0.14599138898314287</v>
      </c>
      <c r="S572" s="38">
        <f t="shared" si="56"/>
        <v>-6.6916403464953857</v>
      </c>
      <c r="T572" s="38">
        <f t="shared" si="56"/>
        <v>-1.0867871298338831</v>
      </c>
      <c r="U572" s="38">
        <f t="shared" si="56"/>
        <v>-0.14599138898314287</v>
      </c>
      <c r="W572" s="38">
        <f t="shared" si="57"/>
        <v>-0.99999999999999989</v>
      </c>
      <c r="X572" s="38">
        <f t="shared" si="57"/>
        <v>-1</v>
      </c>
      <c r="Y572" s="38">
        <f t="shared" si="57"/>
        <v>-1.0000000000000002</v>
      </c>
      <c r="AA572" s="38">
        <f t="shared" si="58"/>
        <v>-6.6916403464953857</v>
      </c>
      <c r="AB572" s="38">
        <f t="shared" si="58"/>
        <v>-1.0867871298338831</v>
      </c>
      <c r="AC572" s="38">
        <f t="shared" si="58"/>
        <v>-0.14599138898314287</v>
      </c>
      <c r="AE572" s="38">
        <f t="shared" si="59"/>
        <v>-6.6916403464953857</v>
      </c>
      <c r="AF572" s="38">
        <f t="shared" si="59"/>
        <v>-1.0867871298338831</v>
      </c>
      <c r="AG572" s="38">
        <f t="shared" si="59"/>
        <v>-0.14599138898314287</v>
      </c>
      <c r="AI572" s="38">
        <f t="shared" si="60"/>
        <v>-6.6916403464953857</v>
      </c>
      <c r="AJ572" s="38">
        <f t="shared" si="60"/>
        <v>-1.0867871298338831</v>
      </c>
      <c r="AK572" s="38">
        <f t="shared" si="60"/>
        <v>-0.14599138898314287</v>
      </c>
      <c r="AL572" s="17"/>
    </row>
    <row r="574" spans="1:38" ht="21" customHeight="1" x14ac:dyDescent="0.3">
      <c r="A574" s="1" t="s">
        <v>700</v>
      </c>
    </row>
    <row r="575" spans="1:38" x14ac:dyDescent="0.25">
      <c r="A575" s="2" t="s">
        <v>350</v>
      </c>
    </row>
    <row r="576" spans="1:38" x14ac:dyDescent="0.25">
      <c r="A576" s="32" t="s">
        <v>701</v>
      </c>
    </row>
    <row r="577" spans="1:11" x14ac:dyDescent="0.25">
      <c r="A577" s="32" t="s">
        <v>702</v>
      </c>
    </row>
    <row r="578" spans="1:11" x14ac:dyDescent="0.25">
      <c r="A578" s="2" t="s">
        <v>363</v>
      </c>
    </row>
    <row r="580" spans="1:11" x14ac:dyDescent="0.25">
      <c r="B580" s="15" t="s">
        <v>139</v>
      </c>
      <c r="C580" s="15" t="s">
        <v>140</v>
      </c>
      <c r="D580" s="15" t="s">
        <v>141</v>
      </c>
      <c r="E580" s="15" t="s">
        <v>142</v>
      </c>
      <c r="F580" s="15" t="s">
        <v>143</v>
      </c>
      <c r="G580" s="15" t="s">
        <v>148</v>
      </c>
      <c r="H580" s="15" t="s">
        <v>144</v>
      </c>
      <c r="I580" s="15" t="s">
        <v>145</v>
      </c>
      <c r="J580" s="15" t="s">
        <v>146</v>
      </c>
    </row>
    <row r="581" spans="1:11" x14ac:dyDescent="0.25">
      <c r="A581" s="4" t="s">
        <v>171</v>
      </c>
      <c r="B581" s="37">
        <f t="shared" ref="B581:B597" si="61">SUMPRODUCT($C556:$E556,$B43:$D43)</f>
        <v>1.9487074219888729</v>
      </c>
      <c r="C581" s="37">
        <f t="shared" ref="C581:C597" si="62">SUMPRODUCT($G556:$I556,$B43:$D43)</f>
        <v>1.8594141272502376</v>
      </c>
      <c r="D581" s="37">
        <f t="shared" ref="D581:D597" si="63">SUMPRODUCT($K556:$M556,$B43:$D43)</f>
        <v>1.8594141272502376</v>
      </c>
      <c r="E581" s="37">
        <f t="shared" ref="E581:E597" si="64">SUMPRODUCT($O556:$Q556,$B43:$D43)</f>
        <v>1.8071999457957999</v>
      </c>
      <c r="F581" s="37">
        <f t="shared" ref="F581:F597" si="65">SUMPRODUCT($S556:$U556,$B43:$D43)</f>
        <v>1.8071999457957999</v>
      </c>
      <c r="G581" s="37">
        <f t="shared" ref="G581:G597" si="66">SUMPRODUCT($W556:$Y556,$B43:$D43)</f>
        <v>1.4035668034517015</v>
      </c>
      <c r="H581" s="37">
        <f t="shared" ref="H581:H597" si="67">SUMPRODUCT($AA556:$AC556,$B43:$D43)</f>
        <v>1.8071999457957999</v>
      </c>
      <c r="I581" s="37">
        <f t="shared" ref="I581:I597" si="68">SUMPRODUCT($AE556:$AG556,$B43:$D43)</f>
        <v>1.8071999457957999</v>
      </c>
      <c r="J581" s="37">
        <f t="shared" ref="J581:J597" si="69">SUMPRODUCT($AI556:$AK556,$B43:$D43)</f>
        <v>1.8071999457957999</v>
      </c>
      <c r="K581" s="17"/>
    </row>
    <row r="582" spans="1:11" x14ac:dyDescent="0.25">
      <c r="A582" s="4" t="s">
        <v>172</v>
      </c>
      <c r="B582" s="37">
        <f t="shared" si="61"/>
        <v>2.3318317398497319</v>
      </c>
      <c r="C582" s="37">
        <f t="shared" si="62"/>
        <v>2.2125134785870282</v>
      </c>
      <c r="D582" s="37">
        <f t="shared" si="63"/>
        <v>2.2125134785870282</v>
      </c>
      <c r="E582" s="37">
        <f t="shared" si="64"/>
        <v>2.1429559386130168</v>
      </c>
      <c r="F582" s="37">
        <f t="shared" si="65"/>
        <v>2.1429559386130168</v>
      </c>
      <c r="G582" s="37">
        <f t="shared" si="66"/>
        <v>1.5754629644109666</v>
      </c>
      <c r="H582" s="37">
        <f t="shared" si="67"/>
        <v>2.1429559386130168</v>
      </c>
      <c r="I582" s="37">
        <f t="shared" si="68"/>
        <v>2.1429559386130168</v>
      </c>
      <c r="J582" s="37">
        <f t="shared" si="69"/>
        <v>2.1429559386130168</v>
      </c>
      <c r="K582" s="17"/>
    </row>
    <row r="583" spans="1:11" x14ac:dyDescent="0.25">
      <c r="A583" s="4" t="s">
        <v>213</v>
      </c>
      <c r="B583" s="37">
        <f t="shared" si="61"/>
        <v>0.10834068722323729</v>
      </c>
      <c r="C583" s="37">
        <f t="shared" si="62"/>
        <v>0.21113641484422974</v>
      </c>
      <c r="D583" s="37">
        <f t="shared" si="63"/>
        <v>0.21113641484422974</v>
      </c>
      <c r="E583" s="37">
        <f t="shared" si="64"/>
        <v>0.26922495763584919</v>
      </c>
      <c r="F583" s="37">
        <f t="shared" si="65"/>
        <v>0.26922495763584919</v>
      </c>
      <c r="G583" s="37">
        <f t="shared" si="66"/>
        <v>1.0000000000000002</v>
      </c>
      <c r="H583" s="37">
        <f t="shared" si="67"/>
        <v>0.26922495763584919</v>
      </c>
      <c r="I583" s="37">
        <f t="shared" si="68"/>
        <v>0.26922495763584919</v>
      </c>
      <c r="J583" s="37">
        <f t="shared" si="69"/>
        <v>0.26922495763584919</v>
      </c>
      <c r="K583" s="17"/>
    </row>
    <row r="584" spans="1:11" x14ac:dyDescent="0.25">
      <c r="A584" s="4" t="s">
        <v>173</v>
      </c>
      <c r="B584" s="37">
        <f t="shared" si="61"/>
        <v>1.7481537090362345</v>
      </c>
      <c r="C584" s="37">
        <f t="shared" si="62"/>
        <v>1.776040266154169</v>
      </c>
      <c r="D584" s="37">
        <f t="shared" si="63"/>
        <v>1.776040266154169</v>
      </c>
      <c r="E584" s="37">
        <f t="shared" si="64"/>
        <v>1.7963005577990407</v>
      </c>
      <c r="F584" s="37">
        <f t="shared" si="65"/>
        <v>1.7963005577990407</v>
      </c>
      <c r="G584" s="37">
        <f t="shared" si="66"/>
        <v>1.4015395093646101</v>
      </c>
      <c r="H584" s="37">
        <f t="shared" si="67"/>
        <v>1.7963005577990407</v>
      </c>
      <c r="I584" s="37">
        <f t="shared" si="68"/>
        <v>1.7963005577990407</v>
      </c>
      <c r="J584" s="37">
        <f t="shared" si="69"/>
        <v>1.7963005577990407</v>
      </c>
      <c r="K584" s="17"/>
    </row>
    <row r="585" spans="1:11" x14ac:dyDescent="0.25">
      <c r="A585" s="4" t="s">
        <v>174</v>
      </c>
      <c r="B585" s="37">
        <f t="shared" si="61"/>
        <v>1.827380153356015</v>
      </c>
      <c r="C585" s="37">
        <f t="shared" si="62"/>
        <v>1.8232440005138071</v>
      </c>
      <c r="D585" s="37">
        <f t="shared" si="63"/>
        <v>1.8232440005138071</v>
      </c>
      <c r="E585" s="37">
        <f t="shared" si="64"/>
        <v>1.8244963374026348</v>
      </c>
      <c r="F585" s="37">
        <f t="shared" si="65"/>
        <v>1.8244963374026348</v>
      </c>
      <c r="G585" s="37">
        <f t="shared" si="66"/>
        <v>1.322192263929832</v>
      </c>
      <c r="H585" s="37">
        <f t="shared" si="67"/>
        <v>1.8244963374026348</v>
      </c>
      <c r="I585" s="37">
        <f t="shared" si="68"/>
        <v>1.8244963374026348</v>
      </c>
      <c r="J585" s="37">
        <f t="shared" si="69"/>
        <v>1.8244963374026348</v>
      </c>
      <c r="K585" s="17"/>
    </row>
    <row r="586" spans="1:11" x14ac:dyDescent="0.25">
      <c r="A586" s="4" t="s">
        <v>214</v>
      </c>
      <c r="B586" s="37">
        <f t="shared" si="61"/>
        <v>5.8824140854667917E-2</v>
      </c>
      <c r="C586" s="37">
        <f t="shared" si="62"/>
        <v>0.15268129572454373</v>
      </c>
      <c r="D586" s="37">
        <f t="shared" si="63"/>
        <v>0.15268129572454373</v>
      </c>
      <c r="E586" s="37">
        <f t="shared" si="64"/>
        <v>0.20471973430890536</v>
      </c>
      <c r="F586" s="37">
        <f t="shared" si="65"/>
        <v>0.20471973430890536</v>
      </c>
      <c r="G586" s="37">
        <f t="shared" si="66"/>
        <v>1.0038653301410945</v>
      </c>
      <c r="H586" s="37">
        <f t="shared" si="67"/>
        <v>0.20471973430890536</v>
      </c>
      <c r="I586" s="37">
        <f t="shared" si="68"/>
        <v>0.20471973430890536</v>
      </c>
      <c r="J586" s="37">
        <f t="shared" si="69"/>
        <v>0.20471973430890536</v>
      </c>
      <c r="K586" s="17"/>
    </row>
    <row r="587" spans="1:11" x14ac:dyDescent="0.25">
      <c r="A587" s="4" t="s">
        <v>175</v>
      </c>
      <c r="B587" s="37">
        <f t="shared" si="61"/>
        <v>1.525436064727081</v>
      </c>
      <c r="C587" s="37">
        <f t="shared" si="62"/>
        <v>1.5027409590062473</v>
      </c>
      <c r="D587" s="37">
        <f t="shared" si="63"/>
        <v>1.5027409590062473</v>
      </c>
      <c r="E587" s="37">
        <f t="shared" si="64"/>
        <v>1.4924310039944173</v>
      </c>
      <c r="F587" s="37">
        <f t="shared" si="65"/>
        <v>1.4924310039944173</v>
      </c>
      <c r="G587" s="37">
        <f t="shared" si="66"/>
        <v>1</v>
      </c>
      <c r="H587" s="37">
        <f t="shared" si="67"/>
        <v>1.4924310039944173</v>
      </c>
      <c r="I587" s="37">
        <f t="shared" si="68"/>
        <v>1.4924310039944173</v>
      </c>
      <c r="J587" s="37">
        <f t="shared" si="69"/>
        <v>1.4924310039944173</v>
      </c>
      <c r="K587" s="17"/>
    </row>
    <row r="588" spans="1:11" x14ac:dyDescent="0.25">
      <c r="A588" s="4" t="s">
        <v>176</v>
      </c>
      <c r="B588" s="37">
        <f t="shared" si="61"/>
        <v>1.5021202663753193</v>
      </c>
      <c r="C588" s="37">
        <f t="shared" si="62"/>
        <v>1.4828057543107875</v>
      </c>
      <c r="D588" s="37">
        <f t="shared" si="63"/>
        <v>1.4828057543107875</v>
      </c>
      <c r="E588" s="37">
        <f t="shared" si="64"/>
        <v>1.4744521096736229</v>
      </c>
      <c r="F588" s="37">
        <f t="shared" si="65"/>
        <v>1.4744521096736229</v>
      </c>
      <c r="G588" s="37">
        <f t="shared" si="66"/>
        <v>1.0000000000000002</v>
      </c>
      <c r="H588" s="37">
        <f t="shared" si="67"/>
        <v>1.4744521096736229</v>
      </c>
      <c r="I588" s="37">
        <f t="shared" si="68"/>
        <v>1.4744521096736229</v>
      </c>
      <c r="J588" s="37">
        <f t="shared" si="69"/>
        <v>1.4744521096736229</v>
      </c>
      <c r="K588" s="17"/>
    </row>
    <row r="589" spans="1:11" x14ac:dyDescent="0.25">
      <c r="A589" s="4" t="s">
        <v>192</v>
      </c>
      <c r="B589" s="37">
        <f t="shared" si="61"/>
        <v>1.8655243103520625</v>
      </c>
      <c r="C589" s="37">
        <f t="shared" si="62"/>
        <v>1.8526876364482214</v>
      </c>
      <c r="D589" s="37">
        <f t="shared" si="63"/>
        <v>1.8526876364482214</v>
      </c>
      <c r="E589" s="37">
        <f t="shared" si="64"/>
        <v>1.8491893075934436</v>
      </c>
      <c r="F589" s="37">
        <f t="shared" si="65"/>
        <v>1.8491893075934436</v>
      </c>
      <c r="G589" s="37">
        <f t="shared" si="66"/>
        <v>1.2634850782759686</v>
      </c>
      <c r="H589" s="37">
        <f t="shared" si="67"/>
        <v>1.8491893075934436</v>
      </c>
      <c r="I589" s="37">
        <f t="shared" si="68"/>
        <v>1.8491893075934436</v>
      </c>
      <c r="J589" s="37">
        <f t="shared" si="69"/>
        <v>1.8491893075934436</v>
      </c>
      <c r="K589" s="17"/>
    </row>
    <row r="590" spans="1:11" x14ac:dyDescent="0.25">
      <c r="A590" s="4" t="s">
        <v>177</v>
      </c>
      <c r="B590" s="37">
        <f t="shared" si="61"/>
        <v>14.161929623100782</v>
      </c>
      <c r="C590" s="37">
        <f t="shared" si="62"/>
        <v>11.232864305679023</v>
      </c>
      <c r="D590" s="37">
        <f t="shared" si="63"/>
        <v>11.232864305679023</v>
      </c>
      <c r="E590" s="37">
        <f t="shared" si="64"/>
        <v>9.4796041260624424</v>
      </c>
      <c r="F590" s="37">
        <f t="shared" si="65"/>
        <v>9.4796041260624424</v>
      </c>
      <c r="G590" s="37">
        <f t="shared" si="66"/>
        <v>1.4241711693616392</v>
      </c>
      <c r="H590" s="37">
        <f t="shared" si="67"/>
        <v>9.4796041260624424</v>
      </c>
      <c r="I590" s="37">
        <f t="shared" si="68"/>
        <v>9.4796041260624424</v>
      </c>
      <c r="J590" s="37">
        <f t="shared" si="69"/>
        <v>9.4796041260624424</v>
      </c>
      <c r="K590" s="17"/>
    </row>
    <row r="591" spans="1:11" x14ac:dyDescent="0.25">
      <c r="A591" s="4" t="s">
        <v>178</v>
      </c>
      <c r="B591" s="37">
        <f t="shared" si="61"/>
        <v>13.779574972307019</v>
      </c>
      <c r="C591" s="37">
        <f t="shared" si="62"/>
        <v>10.923497537500932</v>
      </c>
      <c r="D591" s="37">
        <f t="shared" si="63"/>
        <v>10.923497537500932</v>
      </c>
      <c r="E591" s="37">
        <f t="shared" si="64"/>
        <v>9.2157463778736339</v>
      </c>
      <c r="F591" s="37">
        <f t="shared" si="65"/>
        <v>9.2157463778736339</v>
      </c>
      <c r="G591" s="37">
        <f t="shared" si="66"/>
        <v>1.3721769453068922</v>
      </c>
      <c r="H591" s="37">
        <f t="shared" si="67"/>
        <v>9.2157463778736339</v>
      </c>
      <c r="I591" s="37">
        <f t="shared" si="68"/>
        <v>9.2157463778736339</v>
      </c>
      <c r="J591" s="37">
        <f t="shared" si="69"/>
        <v>9.2157463778736339</v>
      </c>
      <c r="K591" s="17"/>
    </row>
    <row r="592" spans="1:11" x14ac:dyDescent="0.25">
      <c r="A592" s="4" t="s">
        <v>179</v>
      </c>
      <c r="B592" s="37">
        <f t="shared" si="61"/>
        <v>11.988870026892526</v>
      </c>
      <c r="C592" s="37">
        <f t="shared" si="62"/>
        <v>9.506014127679526</v>
      </c>
      <c r="D592" s="37">
        <f t="shared" si="63"/>
        <v>9.506014127679526</v>
      </c>
      <c r="E592" s="37">
        <f t="shared" si="64"/>
        <v>8.0207378274217209</v>
      </c>
      <c r="F592" s="37">
        <f t="shared" si="65"/>
        <v>8.0207378274217209</v>
      </c>
      <c r="G592" s="37">
        <f t="shared" si="66"/>
        <v>1.198620579126376</v>
      </c>
      <c r="H592" s="37">
        <f t="shared" si="67"/>
        <v>8.0207378274217209</v>
      </c>
      <c r="I592" s="37">
        <f t="shared" si="68"/>
        <v>8.0207378274217209</v>
      </c>
      <c r="J592" s="37">
        <f t="shared" si="69"/>
        <v>8.0207378274217209</v>
      </c>
      <c r="K592" s="17"/>
    </row>
    <row r="593" spans="1:11" x14ac:dyDescent="0.25">
      <c r="A593" s="4" t="s">
        <v>180</v>
      </c>
      <c r="B593" s="37">
        <f t="shared" si="61"/>
        <v>11.891377701675799</v>
      </c>
      <c r="C593" s="37">
        <f t="shared" si="62"/>
        <v>9.4287121451931295</v>
      </c>
      <c r="D593" s="37">
        <f t="shared" si="63"/>
        <v>9.4287121451931295</v>
      </c>
      <c r="E593" s="37">
        <f t="shared" si="64"/>
        <v>7.9555139673752748</v>
      </c>
      <c r="F593" s="37">
        <f t="shared" si="65"/>
        <v>7.9555139673752748</v>
      </c>
      <c r="G593" s="37">
        <f t="shared" si="66"/>
        <v>1.1888735131352084</v>
      </c>
      <c r="H593" s="37">
        <f t="shared" si="67"/>
        <v>7.9555139673752748</v>
      </c>
      <c r="I593" s="37">
        <f t="shared" si="68"/>
        <v>7.9555139673752748</v>
      </c>
      <c r="J593" s="37">
        <f t="shared" si="69"/>
        <v>7.9555139673752748</v>
      </c>
      <c r="K593" s="17"/>
    </row>
    <row r="594" spans="1:11" x14ac:dyDescent="0.25">
      <c r="A594" s="4" t="s">
        <v>193</v>
      </c>
      <c r="B594" s="37">
        <f t="shared" si="61"/>
        <v>10.746510103096467</v>
      </c>
      <c r="C594" s="37">
        <f t="shared" si="62"/>
        <v>8.5209428940455698</v>
      </c>
      <c r="D594" s="37">
        <f t="shared" si="63"/>
        <v>8.5209428940455698</v>
      </c>
      <c r="E594" s="37">
        <f t="shared" si="64"/>
        <v>7.1895799940552854</v>
      </c>
      <c r="F594" s="37">
        <f t="shared" si="65"/>
        <v>7.1895799940552854</v>
      </c>
      <c r="G594" s="37">
        <f t="shared" si="66"/>
        <v>1.0744121951833057</v>
      </c>
      <c r="H594" s="37">
        <f t="shared" si="67"/>
        <v>7.1895799940552854</v>
      </c>
      <c r="I594" s="37">
        <f t="shared" si="68"/>
        <v>7.1895799940552854</v>
      </c>
      <c r="J594" s="37">
        <f t="shared" si="69"/>
        <v>7.1895799940552854</v>
      </c>
      <c r="K594" s="17"/>
    </row>
    <row r="595" spans="1:11" x14ac:dyDescent="0.25">
      <c r="A595" s="4" t="s">
        <v>184</v>
      </c>
      <c r="B595" s="37">
        <f t="shared" si="61"/>
        <v>-10.002222751448761</v>
      </c>
      <c r="C595" s="37">
        <f t="shared" si="62"/>
        <v>-7.9307950265696743</v>
      </c>
      <c r="D595" s="37">
        <f t="shared" si="63"/>
        <v>-7.9307950265696743</v>
      </c>
      <c r="E595" s="37">
        <f t="shared" si="64"/>
        <v>-6.6916403464953857</v>
      </c>
      <c r="F595" s="37">
        <f t="shared" si="65"/>
        <v>-6.6916403464953857</v>
      </c>
      <c r="G595" s="37">
        <f t="shared" si="66"/>
        <v>-0.99999999999999989</v>
      </c>
      <c r="H595" s="37">
        <f t="shared" si="67"/>
        <v>-6.6916403464953857</v>
      </c>
      <c r="I595" s="37">
        <f t="shared" si="68"/>
        <v>-6.6916403464953857</v>
      </c>
      <c r="J595" s="37">
        <f t="shared" si="69"/>
        <v>-6.6916403464953857</v>
      </c>
      <c r="K595" s="17"/>
    </row>
    <row r="596" spans="1:11" x14ac:dyDescent="0.25">
      <c r="A596" s="4" t="s">
        <v>186</v>
      </c>
      <c r="B596" s="37">
        <f t="shared" si="61"/>
        <v>-10.002222751448761</v>
      </c>
      <c r="C596" s="37">
        <f t="shared" si="62"/>
        <v>-7.9307950265696743</v>
      </c>
      <c r="D596" s="37">
        <f t="shared" si="63"/>
        <v>-7.9307950265696743</v>
      </c>
      <c r="E596" s="37">
        <f t="shared" si="64"/>
        <v>-6.6916403464953857</v>
      </c>
      <c r="F596" s="37">
        <f t="shared" si="65"/>
        <v>-6.6916403464953857</v>
      </c>
      <c r="G596" s="37">
        <f t="shared" si="66"/>
        <v>-0.99999999999999989</v>
      </c>
      <c r="H596" s="37">
        <f t="shared" si="67"/>
        <v>-6.6916403464953857</v>
      </c>
      <c r="I596" s="37">
        <f t="shared" si="68"/>
        <v>-6.6916403464953857</v>
      </c>
      <c r="J596" s="37">
        <f t="shared" si="69"/>
        <v>-6.6916403464953857</v>
      </c>
      <c r="K596" s="17"/>
    </row>
    <row r="597" spans="1:11" x14ac:dyDescent="0.25">
      <c r="A597" s="4" t="s">
        <v>195</v>
      </c>
      <c r="B597" s="37">
        <f t="shared" si="61"/>
        <v>-10.002222751448761</v>
      </c>
      <c r="C597" s="37">
        <f t="shared" si="62"/>
        <v>-7.9307950265696743</v>
      </c>
      <c r="D597" s="37">
        <f t="shared" si="63"/>
        <v>-7.9307950265696743</v>
      </c>
      <c r="E597" s="37">
        <f t="shared" si="64"/>
        <v>-6.6916403464953857</v>
      </c>
      <c r="F597" s="37">
        <f t="shared" si="65"/>
        <v>-6.6916403464953857</v>
      </c>
      <c r="G597" s="37">
        <f t="shared" si="66"/>
        <v>-0.99999999999999989</v>
      </c>
      <c r="H597" s="37">
        <f t="shared" si="67"/>
        <v>-6.6916403464953857</v>
      </c>
      <c r="I597" s="37">
        <f t="shared" si="68"/>
        <v>-6.6916403464953857</v>
      </c>
      <c r="J597" s="37">
        <f t="shared" si="69"/>
        <v>-6.6916403464953857</v>
      </c>
      <c r="K597" s="17"/>
    </row>
    <row r="599" spans="1:11" ht="21" customHeight="1" x14ac:dyDescent="0.3">
      <c r="A599" s="1" t="s">
        <v>703</v>
      </c>
    </row>
    <row r="600" spans="1:11" x14ac:dyDescent="0.25">
      <c r="A600" s="2" t="s">
        <v>350</v>
      </c>
    </row>
    <row r="601" spans="1:11" x14ac:dyDescent="0.25">
      <c r="A601" s="32" t="s">
        <v>701</v>
      </c>
    </row>
    <row r="602" spans="1:11" x14ac:dyDescent="0.25">
      <c r="A602" s="32" t="s">
        <v>704</v>
      </c>
    </row>
    <row r="603" spans="1:11" x14ac:dyDescent="0.25">
      <c r="A603" s="2" t="s">
        <v>363</v>
      </c>
    </row>
    <row r="605" spans="1:11" x14ac:dyDescent="0.25">
      <c r="B605" s="15" t="s">
        <v>139</v>
      </c>
      <c r="C605" s="15" t="s">
        <v>140</v>
      </c>
      <c r="D605" s="15" t="s">
        <v>141</v>
      </c>
      <c r="E605" s="15" t="s">
        <v>142</v>
      </c>
      <c r="F605" s="15" t="s">
        <v>143</v>
      </c>
      <c r="G605" s="15" t="s">
        <v>148</v>
      </c>
      <c r="H605" s="15" t="s">
        <v>144</v>
      </c>
      <c r="I605" s="15" t="s">
        <v>145</v>
      </c>
      <c r="J605" s="15" t="s">
        <v>146</v>
      </c>
    </row>
    <row r="606" spans="1:11" x14ac:dyDescent="0.25">
      <c r="A606" s="4" t="s">
        <v>172</v>
      </c>
      <c r="B606" s="37">
        <f>SUMPRODUCT($C$557:$E$557,$B85:$D85)</f>
        <v>4.4385661209706412E-2</v>
      </c>
      <c r="C606" s="37">
        <f>SUMPRODUCT($G$557:$I$557,$B85:$D85)</f>
        <v>0.16534157330340357</v>
      </c>
      <c r="D606" s="37">
        <f>SUMPRODUCT($K$557:$M$557,$B85:$D85)</f>
        <v>0.16534157330340357</v>
      </c>
      <c r="E606" s="37">
        <f>SUMPRODUCT($O$557:$Q$557,$B85:$D85)</f>
        <v>0.2300040264658568</v>
      </c>
      <c r="F606" s="37">
        <f>SUMPRODUCT($S$557:$U$557,$B85:$D85)</f>
        <v>0.2300040264658568</v>
      </c>
      <c r="G606" s="37">
        <f>SUMPRODUCT($W$557:$Y$557,$B85:$D85)</f>
        <v>1.5754629644109663</v>
      </c>
      <c r="H606" s="37">
        <f>SUMPRODUCT($AA$557:$AC$557,$B85:$D85)</f>
        <v>0.2300040264658568</v>
      </c>
      <c r="I606" s="37">
        <f>SUMPRODUCT($AE$557:$AG$557,$B85:$D85)</f>
        <v>0.2300040264658568</v>
      </c>
      <c r="J606" s="37">
        <f>SUMPRODUCT($AI$557:$AK$557,$B85:$D85)</f>
        <v>0.2300040264658568</v>
      </c>
      <c r="K606" s="17"/>
    </row>
    <row r="607" spans="1:11" x14ac:dyDescent="0.25">
      <c r="A607" s="4" t="s">
        <v>174</v>
      </c>
      <c r="B607" s="37">
        <f>SUMPRODUCT($C$560:$E$560,$B86:$D86)</f>
        <v>3.722478809816096E-2</v>
      </c>
      <c r="C607" s="37">
        <f>SUMPRODUCT($G$560:$I$560,$B86:$D86)</f>
        <v>0.13866440036145516</v>
      </c>
      <c r="D607" s="37">
        <f>SUMPRODUCT($K$560:$M$560,$B86:$D86)</f>
        <v>0.13866440036145516</v>
      </c>
      <c r="E607" s="37">
        <f>SUMPRODUCT($O$560:$Q$560,$B86:$D86)</f>
        <v>0.19289101316713675</v>
      </c>
      <c r="F607" s="37">
        <f>SUMPRODUCT($S$560:$U$560,$B86:$D86)</f>
        <v>0.19289101316713675</v>
      </c>
      <c r="G607" s="37">
        <f>SUMPRODUCT($W$560:$Y$560,$B86:$D86)</f>
        <v>1.3221922639298322</v>
      </c>
      <c r="H607" s="37">
        <f>SUMPRODUCT($AA$560:$AC$560,$B86:$D86)</f>
        <v>0.19289101316713675</v>
      </c>
      <c r="I607" s="37">
        <f>SUMPRODUCT($AE$560:$AG$560,$B86:$D86)</f>
        <v>0.19289101316713675</v>
      </c>
      <c r="J607" s="37">
        <f>SUMPRODUCT($AI$560:$AK$560,$B86:$D86)</f>
        <v>0.19289101316713675</v>
      </c>
      <c r="K607" s="17"/>
    </row>
    <row r="608" spans="1:11" x14ac:dyDescent="0.25">
      <c r="A608" s="4" t="s">
        <v>175</v>
      </c>
      <c r="B608" s="37">
        <f>SUMPRODUCT($C$562:$E$562,$B87:$D87)</f>
        <v>2.8173090838921312E-2</v>
      </c>
      <c r="C608" s="37">
        <f>SUMPRODUCT($G$562:$I$562,$B87:$D87)</f>
        <v>0.10494792771293197</v>
      </c>
      <c r="D608" s="37">
        <f>SUMPRODUCT($K$562:$M$562,$B87:$D87)</f>
        <v>0.10494792771293197</v>
      </c>
      <c r="E608" s="37">
        <f>SUMPRODUCT($O$562:$Q$562,$B87:$D87)</f>
        <v>0.14599138898314287</v>
      </c>
      <c r="F608" s="37">
        <f>SUMPRODUCT($S$562:$U$562,$B87:$D87)</f>
        <v>0.14599138898314287</v>
      </c>
      <c r="G608" s="37">
        <f>SUMPRODUCT($W$562:$Y$562,$B87:$D87)</f>
        <v>1.0000000000000002</v>
      </c>
      <c r="H608" s="37">
        <f>SUMPRODUCT($AA$562:$AC$562,$B87:$D87)</f>
        <v>0.14599138898314287</v>
      </c>
      <c r="I608" s="37">
        <f>SUMPRODUCT($AE$562:$AG$562,$B87:$D87)</f>
        <v>0.14599138898314287</v>
      </c>
      <c r="J608" s="37">
        <f>SUMPRODUCT($AI$562:$AK$562,$B87:$D87)</f>
        <v>0.14599138898314287</v>
      </c>
      <c r="K608" s="17"/>
    </row>
    <row r="609" spans="1:11" x14ac:dyDescent="0.25">
      <c r="A609" s="4" t="s">
        <v>176</v>
      </c>
      <c r="B609" s="37">
        <f>SUMPRODUCT($C$563:$E$563,$B88:$D88)</f>
        <v>2.8173090838921312E-2</v>
      </c>
      <c r="C609" s="37">
        <f>SUMPRODUCT($G$563:$I$563,$B88:$D88)</f>
        <v>0.10494792771293197</v>
      </c>
      <c r="D609" s="37">
        <f>SUMPRODUCT($K$563:$M$563,$B88:$D88)</f>
        <v>0.10494792771293197</v>
      </c>
      <c r="E609" s="37">
        <f>SUMPRODUCT($O$563:$Q$563,$B88:$D88)</f>
        <v>0.14599138898314287</v>
      </c>
      <c r="F609" s="37">
        <f>SUMPRODUCT($S$563:$U$563,$B88:$D88)</f>
        <v>0.14599138898314287</v>
      </c>
      <c r="G609" s="37">
        <f>SUMPRODUCT($W$563:$Y$563,$B88:$D88)</f>
        <v>1.0000000000000002</v>
      </c>
      <c r="H609" s="37">
        <f>SUMPRODUCT($AA$563:$AC$563,$B88:$D88)</f>
        <v>0.14599138898314287</v>
      </c>
      <c r="I609" s="37">
        <f>SUMPRODUCT($AE$563:$AG$563,$B88:$D88)</f>
        <v>0.14599138898314287</v>
      </c>
      <c r="J609" s="37">
        <f>SUMPRODUCT($AI$563:$AK$563,$B88:$D88)</f>
        <v>0.14599138898314287</v>
      </c>
      <c r="K609" s="17"/>
    </row>
    <row r="610" spans="1:11" x14ac:dyDescent="0.25">
      <c r="A610" s="4" t="s">
        <v>192</v>
      </c>
      <c r="B610" s="37">
        <f>SUMPRODUCT($C$564:$E$564,$B89:$D89)</f>
        <v>3.5596279883890462E-2</v>
      </c>
      <c r="C610" s="37">
        <f>SUMPRODUCT($G$564:$I$564,$B89:$D89)</f>
        <v>0.13260014066127451</v>
      </c>
      <c r="D610" s="37">
        <f>SUMPRODUCT($K$564:$M$564,$B89:$D89)</f>
        <v>0.13260014066127451</v>
      </c>
      <c r="E610" s="37">
        <f>SUMPRODUCT($O$564:$Q$564,$B89:$D89)</f>
        <v>0.18445794153698364</v>
      </c>
      <c r="F610" s="37">
        <f>SUMPRODUCT($S$564:$U$564,$B89:$D89)</f>
        <v>0.18445794153698364</v>
      </c>
      <c r="G610" s="37">
        <f>SUMPRODUCT($W$564:$Y$564,$B89:$D89)</f>
        <v>1.2634850782759688</v>
      </c>
      <c r="H610" s="37">
        <f>SUMPRODUCT($AA$564:$AC$564,$B89:$D89)</f>
        <v>0.18445794153698364</v>
      </c>
      <c r="I610" s="37">
        <f>SUMPRODUCT($AE$564:$AG$564,$B89:$D89)</f>
        <v>0.18445794153698364</v>
      </c>
      <c r="J610" s="37">
        <f>SUMPRODUCT($AI$564:$AK$564,$B89:$D89)</f>
        <v>0.18445794153698364</v>
      </c>
      <c r="K610" s="17"/>
    </row>
    <row r="611" spans="1:11" x14ac:dyDescent="0.25">
      <c r="A611" s="4" t="s">
        <v>177</v>
      </c>
      <c r="B611" s="37">
        <f>SUMPRODUCT($C$565:$E$565,$B90:$D90)</f>
        <v>0.45116444107506892</v>
      </c>
      <c r="C611" s="37">
        <f>SUMPRODUCT($G$565:$I$565,$B90:$D90)</f>
        <v>1.1227048473899872</v>
      </c>
      <c r="D611" s="37">
        <f>SUMPRODUCT($K$565:$M$565,$B90:$D90)</f>
        <v>1.1227048473899872</v>
      </c>
      <c r="E611" s="37">
        <f>SUMPRODUCT($O$565:$Q$565,$B90:$D90)</f>
        <v>1.5395794194947239</v>
      </c>
      <c r="F611" s="37">
        <f>SUMPRODUCT($S$565:$U$565,$B90:$D90)</f>
        <v>1.5395794194947239</v>
      </c>
      <c r="G611" s="37">
        <f>SUMPRODUCT($W$565:$Y$565,$B90:$D90)</f>
        <v>1.4241711693616395</v>
      </c>
      <c r="H611" s="37">
        <f>SUMPRODUCT($AA$565:$AC$565,$B90:$D90)</f>
        <v>1.5395794194947239</v>
      </c>
      <c r="I611" s="37">
        <f>SUMPRODUCT($AE$565:$AG$565,$B90:$D90)</f>
        <v>1.5395794194947239</v>
      </c>
      <c r="J611" s="37">
        <f>SUMPRODUCT($AI$565:$AK$565,$B90:$D90)</f>
        <v>1.5395794194947239</v>
      </c>
      <c r="K611" s="17"/>
    </row>
    <row r="612" spans="1:11" x14ac:dyDescent="0.25">
      <c r="A612" s="4" t="s">
        <v>178</v>
      </c>
      <c r="B612" s="37">
        <f>SUMPRODUCT($C$566:$E$566,$B91:$D91)</f>
        <v>0.43898355704946063</v>
      </c>
      <c r="C612" s="37">
        <f>SUMPRODUCT($G$566:$I$566,$B91:$D91)</f>
        <v>1.0917841880814509</v>
      </c>
      <c r="D612" s="37">
        <f>SUMPRODUCT($K$566:$M$566,$B91:$D91)</f>
        <v>1.0917841880814509</v>
      </c>
      <c r="E612" s="37">
        <f>SUMPRODUCT($O$566:$Q$566,$B91:$D91)</f>
        <v>1.4967263685251317</v>
      </c>
      <c r="F612" s="37">
        <f>SUMPRODUCT($S$566:$U$566,$B91:$D91)</f>
        <v>1.4967263685251317</v>
      </c>
      <c r="G612" s="37">
        <f>SUMPRODUCT($W$566:$Y$566,$B91:$D91)</f>
        <v>1.3721769453068928</v>
      </c>
      <c r="H612" s="37">
        <f>SUMPRODUCT($AA$566:$AC$566,$B91:$D91)</f>
        <v>1.4967263685251317</v>
      </c>
      <c r="I612" s="37">
        <f>SUMPRODUCT($AE$566:$AG$566,$B91:$D91)</f>
        <v>1.4967263685251317</v>
      </c>
      <c r="J612" s="37">
        <f>SUMPRODUCT($AI$566:$AK$566,$B91:$D91)</f>
        <v>1.4967263685251317</v>
      </c>
      <c r="K612" s="17"/>
    </row>
    <row r="613" spans="1:11" x14ac:dyDescent="0.25">
      <c r="A613" s="4" t="s">
        <v>179</v>
      </c>
      <c r="B613" s="37">
        <f>SUMPRODUCT($C$567:$E$567,$B92:$D92)</f>
        <v>0.38193607712762467</v>
      </c>
      <c r="C613" s="37">
        <f>SUMPRODUCT($G$567:$I$567,$B92:$D92)</f>
        <v>0.95010923750835408</v>
      </c>
      <c r="D613" s="37">
        <f>SUMPRODUCT($K$567:$M$567,$B92:$D92)</f>
        <v>0.95010923750835408</v>
      </c>
      <c r="E613" s="37">
        <f>SUMPRODUCT($O$567:$Q$567,$B92:$D92)</f>
        <v>1.3026454189485808</v>
      </c>
      <c r="F613" s="37">
        <f>SUMPRODUCT($S$567:$U$567,$B92:$D92)</f>
        <v>1.3026454189485808</v>
      </c>
      <c r="G613" s="37">
        <f>SUMPRODUCT($W$567:$Y$567,$B92:$D92)</f>
        <v>1.1986205791263762</v>
      </c>
      <c r="H613" s="37">
        <f>SUMPRODUCT($AA$567:$AC$567,$B92:$D92)</f>
        <v>1.3026454189485808</v>
      </c>
      <c r="I613" s="37">
        <f>SUMPRODUCT($AE$567:$AG$567,$B92:$D92)</f>
        <v>1.3026454189485808</v>
      </c>
      <c r="J613" s="37">
        <f>SUMPRODUCT($AI$567:$AK$567,$B92:$D92)</f>
        <v>1.3026454189485808</v>
      </c>
      <c r="K613" s="17"/>
    </row>
    <row r="614" spans="1:11" x14ac:dyDescent="0.25">
      <c r="A614" s="4" t="s">
        <v>180</v>
      </c>
      <c r="B614" s="37">
        <f>SUMPRODUCT($C$568:$E$568,$B93:$D93)</f>
        <v>0.37883021008929646</v>
      </c>
      <c r="C614" s="37">
        <f>SUMPRODUCT($G$568:$I$568,$B93:$D93)</f>
        <v>0.94238304158106467</v>
      </c>
      <c r="D614" s="37">
        <f>SUMPRODUCT($K$568:$M$568,$B93:$D93)</f>
        <v>0.94238304158106467</v>
      </c>
      <c r="E614" s="37">
        <f>SUMPRODUCT($O$568:$Q$568,$B93:$D93)</f>
        <v>1.2920524330757386</v>
      </c>
      <c r="F614" s="37">
        <f>SUMPRODUCT($S$568:$U$568,$B93:$D93)</f>
        <v>1.2920524330757386</v>
      </c>
      <c r="G614" s="37">
        <f>SUMPRODUCT($W$568:$Y$568,$B93:$D93)</f>
        <v>1.1888735131352086</v>
      </c>
      <c r="H614" s="37">
        <f>SUMPRODUCT($AA$568:$AC$568,$B93:$D93)</f>
        <v>1.2920524330757386</v>
      </c>
      <c r="I614" s="37">
        <f>SUMPRODUCT($AE$568:$AG$568,$B93:$D93)</f>
        <v>1.2920524330757386</v>
      </c>
      <c r="J614" s="37">
        <f>SUMPRODUCT($AI$568:$AK$568,$B93:$D93)</f>
        <v>1.2920524330757386</v>
      </c>
      <c r="K614" s="17"/>
    </row>
    <row r="615" spans="1:11" x14ac:dyDescent="0.25">
      <c r="A615" s="4" t="s">
        <v>193</v>
      </c>
      <c r="B615" s="37">
        <f>SUMPRODUCT($C$569:$E$569,$B94:$D94)</f>
        <v>0.34235752847284123</v>
      </c>
      <c r="C615" s="37">
        <f>SUMPRODUCT($G$569:$I$569,$B94:$D94)</f>
        <v>0.85165311635089103</v>
      </c>
      <c r="D615" s="37">
        <f>SUMPRODUCT($K$569:$M$569,$B94:$D94)</f>
        <v>0.85165311635089103</v>
      </c>
      <c r="E615" s="37">
        <f>SUMPRODUCT($O$569:$Q$569,$B94:$D94)</f>
        <v>1.1676573458617867</v>
      </c>
      <c r="F615" s="37">
        <f>SUMPRODUCT($S$569:$U$569,$B94:$D94)</f>
        <v>1.1676573458617867</v>
      </c>
      <c r="G615" s="37">
        <f>SUMPRODUCT($W$569:$Y$569,$B94:$D94)</f>
        <v>1.0744121951833059</v>
      </c>
      <c r="H615" s="37">
        <f>SUMPRODUCT($AA$569:$AC$569,$B94:$D94)</f>
        <v>1.1676573458617867</v>
      </c>
      <c r="I615" s="37">
        <f>SUMPRODUCT($AE$569:$AG$569,$B94:$D94)</f>
        <v>1.1676573458617867</v>
      </c>
      <c r="J615" s="37">
        <f>SUMPRODUCT($AI$569:$AK$569,$B94:$D94)</f>
        <v>1.1676573458617867</v>
      </c>
      <c r="K615" s="17"/>
    </row>
    <row r="616" spans="1:11" x14ac:dyDescent="0.25">
      <c r="A616" s="4" t="s">
        <v>184</v>
      </c>
      <c r="B616" s="37">
        <f>SUMPRODUCT($C$570:$E$570,$B95:$D95)</f>
        <v>-0.3186463537994666</v>
      </c>
      <c r="C616" s="37">
        <f>SUMPRODUCT($G$570:$I$570,$B95:$D95)</f>
        <v>-0.79266888459469698</v>
      </c>
      <c r="D616" s="37">
        <f>SUMPRODUCT($K$570:$M$570,$B95:$D95)</f>
        <v>-0.79266888459469698</v>
      </c>
      <c r="E616" s="37">
        <f>SUMPRODUCT($O$570:$Q$570,$B95:$D95)</f>
        <v>-1.0867871298338831</v>
      </c>
      <c r="F616" s="37">
        <f>SUMPRODUCT($S$570:$U$570,$B95:$D95)</f>
        <v>-1.0867871298338831</v>
      </c>
      <c r="G616" s="37">
        <f>SUMPRODUCT($W$570:$Y$570,$B95:$D95)</f>
        <v>-1</v>
      </c>
      <c r="H616" s="37">
        <f>SUMPRODUCT($AA$570:$AC$570,$B95:$D95)</f>
        <v>-1.0867871298338831</v>
      </c>
      <c r="I616" s="37">
        <f>SUMPRODUCT($AE$570:$AG$570,$B95:$D95)</f>
        <v>-1.0867871298338831</v>
      </c>
      <c r="J616" s="37">
        <f>SUMPRODUCT($AI$570:$AK$570,$B95:$D95)</f>
        <v>-1.0867871298338831</v>
      </c>
      <c r="K616" s="17"/>
    </row>
    <row r="617" spans="1:11" x14ac:dyDescent="0.25">
      <c r="A617" s="4" t="s">
        <v>186</v>
      </c>
      <c r="B617" s="37">
        <f>SUMPRODUCT($C$571:$E$571,$B96:$D96)</f>
        <v>-0.3186463537994666</v>
      </c>
      <c r="C617" s="37">
        <f>SUMPRODUCT($G$571:$I$571,$B96:$D96)</f>
        <v>-0.79266888459469698</v>
      </c>
      <c r="D617" s="37">
        <f>SUMPRODUCT($K$571:$M$571,$B96:$D96)</f>
        <v>-0.79266888459469698</v>
      </c>
      <c r="E617" s="37">
        <f>SUMPRODUCT($O$571:$Q$571,$B96:$D96)</f>
        <v>-1.0867871298338831</v>
      </c>
      <c r="F617" s="37">
        <f>SUMPRODUCT($S$571:$U$571,$B96:$D96)</f>
        <v>-1.0867871298338831</v>
      </c>
      <c r="G617" s="37">
        <f>SUMPRODUCT($W$571:$Y$571,$B96:$D96)</f>
        <v>-1</v>
      </c>
      <c r="H617" s="37">
        <f>SUMPRODUCT($AA$571:$AC$571,$B96:$D96)</f>
        <v>-1.0867871298338831</v>
      </c>
      <c r="I617" s="37">
        <f>SUMPRODUCT($AE$571:$AG$571,$B96:$D96)</f>
        <v>-1.0867871298338831</v>
      </c>
      <c r="J617" s="37">
        <f>SUMPRODUCT($AI$571:$AK$571,$B96:$D96)</f>
        <v>-1.0867871298338831</v>
      </c>
      <c r="K617" s="17"/>
    </row>
    <row r="618" spans="1:11" x14ac:dyDescent="0.25">
      <c r="A618" s="4" t="s">
        <v>195</v>
      </c>
      <c r="B618" s="37">
        <f>SUMPRODUCT($C$572:$E$572,$B97:$D97)</f>
        <v>-0.3186463537994666</v>
      </c>
      <c r="C618" s="37">
        <f>SUMPRODUCT($G$572:$I$572,$B97:$D97)</f>
        <v>-0.79266888459469698</v>
      </c>
      <c r="D618" s="37">
        <f>SUMPRODUCT($K$572:$M$572,$B97:$D97)</f>
        <v>-0.79266888459469698</v>
      </c>
      <c r="E618" s="37">
        <f>SUMPRODUCT($O$572:$Q$572,$B97:$D97)</f>
        <v>-1.0867871298338831</v>
      </c>
      <c r="F618" s="37">
        <f>SUMPRODUCT($S$572:$U$572,$B97:$D97)</f>
        <v>-1.0867871298338831</v>
      </c>
      <c r="G618" s="37">
        <f>SUMPRODUCT($W$572:$Y$572,$B97:$D97)</f>
        <v>-1</v>
      </c>
      <c r="H618" s="37">
        <f>SUMPRODUCT($AA$572:$AC$572,$B97:$D97)</f>
        <v>-1.0867871298338831</v>
      </c>
      <c r="I618" s="37">
        <f>SUMPRODUCT($AE$572:$AG$572,$B97:$D97)</f>
        <v>-1.0867871298338831</v>
      </c>
      <c r="J618" s="37">
        <f>SUMPRODUCT($AI$572:$AK$572,$B97:$D97)</f>
        <v>-1.0867871298338831</v>
      </c>
      <c r="K618" s="17"/>
    </row>
    <row r="620" spans="1:11" ht="21" customHeight="1" x14ac:dyDescent="0.3">
      <c r="A620" s="1" t="s">
        <v>705</v>
      </c>
    </row>
    <row r="621" spans="1:11" x14ac:dyDescent="0.25">
      <c r="A621" s="2" t="s">
        <v>350</v>
      </c>
    </row>
    <row r="622" spans="1:11" x14ac:dyDescent="0.25">
      <c r="A622" s="32" t="s">
        <v>701</v>
      </c>
    </row>
    <row r="623" spans="1:11" x14ac:dyDescent="0.25">
      <c r="A623" s="32" t="s">
        <v>706</v>
      </c>
    </row>
    <row r="624" spans="1:11" x14ac:dyDescent="0.25">
      <c r="A624" s="2" t="s">
        <v>363</v>
      </c>
    </row>
    <row r="626" spans="1:11" x14ac:dyDescent="0.25">
      <c r="B626" s="15" t="s">
        <v>139</v>
      </c>
      <c r="C626" s="15" t="s">
        <v>140</v>
      </c>
      <c r="D626" s="15" t="s">
        <v>141</v>
      </c>
      <c r="E626" s="15" t="s">
        <v>142</v>
      </c>
      <c r="F626" s="15" t="s">
        <v>143</v>
      </c>
      <c r="G626" s="15" t="s">
        <v>148</v>
      </c>
      <c r="H626" s="15" t="s">
        <v>144</v>
      </c>
      <c r="I626" s="15" t="s">
        <v>145</v>
      </c>
      <c r="J626" s="15" t="s">
        <v>146</v>
      </c>
    </row>
    <row r="627" spans="1:11" x14ac:dyDescent="0.25">
      <c r="A627" s="4" t="s">
        <v>177</v>
      </c>
      <c r="B627" s="37">
        <f>SUMPRODUCT($C$565:$E$565,$B102:$D102)</f>
        <v>3.9889666491204505E-2</v>
      </c>
      <c r="C627" s="37">
        <f>SUMPRODUCT($G$565:$I$565,$B102:$D102)</f>
        <v>0.14864409270598355</v>
      </c>
      <c r="D627" s="37">
        <f>SUMPRODUCT($K$565:$M$565,$B102:$D102)</f>
        <v>0.14864409270598355</v>
      </c>
      <c r="E627" s="37">
        <f>SUMPRODUCT($O$565:$Q$565,$B102:$D102)</f>
        <v>0.20681634124269691</v>
      </c>
      <c r="F627" s="37">
        <f>SUMPRODUCT($S$565:$U$565,$B102:$D102)</f>
        <v>0.20681634124269691</v>
      </c>
      <c r="G627" s="37">
        <f>SUMPRODUCT($W$565:$Y$565,$B102:$D102)</f>
        <v>1.4241711693616397</v>
      </c>
      <c r="H627" s="37">
        <f>SUMPRODUCT($AA$565:$AC$565,$B102:$D102)</f>
        <v>0.20681634124269691</v>
      </c>
      <c r="I627" s="37">
        <f>SUMPRODUCT($AE$565:$AG$565,$B102:$D102)</f>
        <v>0.20681634124269691</v>
      </c>
      <c r="J627" s="37">
        <f>SUMPRODUCT($AI$565:$AK$565,$B102:$D102)</f>
        <v>0.20681634124269691</v>
      </c>
      <c r="K627" s="17"/>
    </row>
    <row r="628" spans="1:11" x14ac:dyDescent="0.25">
      <c r="A628" s="4" t="s">
        <v>178</v>
      </c>
      <c r="B628" s="37">
        <f>SUMPRODUCT($C$566:$E$566,$B103:$D103)</f>
        <v>3.8812694644328148E-2</v>
      </c>
      <c r="C628" s="37">
        <f>SUMPRODUCT($G$566:$I$566,$B103:$D103)</f>
        <v>0.14455025329710136</v>
      </c>
      <c r="D628" s="37">
        <f>SUMPRODUCT($K$566:$M$566,$B103:$D103)</f>
        <v>0.14455025329710136</v>
      </c>
      <c r="E628" s="37">
        <f>SUMPRODUCT($O$566:$Q$566,$B103:$D103)</f>
        <v>0.20105976181561774</v>
      </c>
      <c r="F628" s="37">
        <f>SUMPRODUCT($S$566:$U$566,$B103:$D103)</f>
        <v>0.20105976181561774</v>
      </c>
      <c r="G628" s="37">
        <f>SUMPRODUCT($W$566:$Y$566,$B103:$D103)</f>
        <v>1.3721769453068928</v>
      </c>
      <c r="H628" s="37">
        <f>SUMPRODUCT($AA$566:$AC$566,$B103:$D103)</f>
        <v>0.20105976181561774</v>
      </c>
      <c r="I628" s="37">
        <f>SUMPRODUCT($AE$566:$AG$566,$B103:$D103)</f>
        <v>0.20105976181561774</v>
      </c>
      <c r="J628" s="37">
        <f>SUMPRODUCT($AI$566:$AK$566,$B103:$D103)</f>
        <v>0.20105976181561774</v>
      </c>
      <c r="K628" s="17"/>
    </row>
    <row r="629" spans="1:11" x14ac:dyDescent="0.25">
      <c r="A629" s="4" t="s">
        <v>179</v>
      </c>
      <c r="B629" s="37">
        <f>SUMPRODUCT($C$567:$E$567,$B104:$D104)</f>
        <v>3.3768846457127862E-2</v>
      </c>
      <c r="C629" s="37">
        <f>SUMPRODUCT($G$567:$I$567,$B104:$D104)</f>
        <v>0.12579274589338754</v>
      </c>
      <c r="D629" s="37">
        <f>SUMPRODUCT($K$567:$M$567,$B104:$D104)</f>
        <v>0.12579274589338754</v>
      </c>
      <c r="E629" s="37">
        <f>SUMPRODUCT($O$567:$Q$567,$B104:$D104)</f>
        <v>0.17498828321043877</v>
      </c>
      <c r="F629" s="37">
        <f>SUMPRODUCT($S$567:$U$567,$B104:$D104)</f>
        <v>0.17498828321043877</v>
      </c>
      <c r="G629" s="37">
        <f>SUMPRODUCT($W$567:$Y$567,$B104:$D104)</f>
        <v>1.1986205791263762</v>
      </c>
      <c r="H629" s="37">
        <f>SUMPRODUCT($AA$567:$AC$567,$B104:$D104)</f>
        <v>0.17498828321043877</v>
      </c>
      <c r="I629" s="37">
        <f>SUMPRODUCT($AE$567:$AG$567,$B104:$D104)</f>
        <v>0.17498828321043877</v>
      </c>
      <c r="J629" s="37">
        <f>SUMPRODUCT($AI$567:$AK$567,$B104:$D104)</f>
        <v>0.17498828321043877</v>
      </c>
      <c r="K629" s="17"/>
    </row>
    <row r="630" spans="1:11" x14ac:dyDescent="0.25">
      <c r="A630" s="4" t="s">
        <v>180</v>
      </c>
      <c r="B630" s="37">
        <f>SUMPRODUCT($C$568:$E$568,$B105:$D105)</f>
        <v>3.3494241481545742E-2</v>
      </c>
      <c r="C630" s="37">
        <f>SUMPRODUCT($G$568:$I$568,$B105:$D105)</f>
        <v>0.12476981151633335</v>
      </c>
      <c r="D630" s="37">
        <f>SUMPRODUCT($K$568:$M$568,$B105:$D105)</f>
        <v>0.12476981151633335</v>
      </c>
      <c r="E630" s="37">
        <f>SUMPRODUCT($O$568:$Q$568,$B105:$D105)</f>
        <v>0.17356529550787789</v>
      </c>
      <c r="F630" s="37">
        <f>SUMPRODUCT($S$568:$U$568,$B105:$D105)</f>
        <v>0.17356529550787789</v>
      </c>
      <c r="G630" s="37">
        <f>SUMPRODUCT($W$568:$Y$568,$B105:$D105)</f>
        <v>1.1888735131352086</v>
      </c>
      <c r="H630" s="37">
        <f>SUMPRODUCT($AA$568:$AC$568,$B105:$D105)</f>
        <v>0.17356529550787789</v>
      </c>
      <c r="I630" s="37">
        <f>SUMPRODUCT($AE$568:$AG$568,$B105:$D105)</f>
        <v>0.17356529550787789</v>
      </c>
      <c r="J630" s="37">
        <f>SUMPRODUCT($AI$568:$AK$568,$B105:$D105)</f>
        <v>0.17356529550787789</v>
      </c>
      <c r="K630" s="17"/>
    </row>
    <row r="631" spans="1:11" x14ac:dyDescent="0.25">
      <c r="A631" s="4" t="s">
        <v>193</v>
      </c>
      <c r="B631" s="37">
        <f>SUMPRODUCT($C$569:$E$569,$B106:$D106)</f>
        <v>3.0269512373344132E-2</v>
      </c>
      <c r="C631" s="37">
        <f>SUMPRODUCT($G$569:$I$569,$B106:$D106)</f>
        <v>0.11275733339399012</v>
      </c>
      <c r="D631" s="37">
        <f>SUMPRODUCT($K$569:$M$569,$B106:$D106)</f>
        <v>0.11275733339399012</v>
      </c>
      <c r="E631" s="37">
        <f>SUMPRODUCT($O$569:$Q$569,$B106:$D106)</f>
        <v>0.15685492871523846</v>
      </c>
      <c r="F631" s="37">
        <f>SUMPRODUCT($S$569:$U$569,$B106:$D106)</f>
        <v>0.15685492871523846</v>
      </c>
      <c r="G631" s="37">
        <f>SUMPRODUCT($W$569:$Y$569,$B106:$D106)</f>
        <v>1.0744121951833061</v>
      </c>
      <c r="H631" s="37">
        <f>SUMPRODUCT($AA$569:$AC$569,$B106:$D106)</f>
        <v>0.15685492871523846</v>
      </c>
      <c r="I631" s="37">
        <f>SUMPRODUCT($AE$569:$AG$569,$B106:$D106)</f>
        <v>0.15685492871523846</v>
      </c>
      <c r="J631" s="37">
        <f>SUMPRODUCT($AI$569:$AK$569,$B106:$D106)</f>
        <v>0.15685492871523846</v>
      </c>
      <c r="K631" s="17"/>
    </row>
    <row r="632" spans="1:11" x14ac:dyDescent="0.25">
      <c r="A632" s="4" t="s">
        <v>184</v>
      </c>
      <c r="B632" s="37">
        <f>SUMPRODUCT($C$570:$E$570,$B107:$D107)</f>
        <v>-2.8173090838921312E-2</v>
      </c>
      <c r="C632" s="37">
        <f>SUMPRODUCT($G$570:$I$570,$B107:$D107)</f>
        <v>-0.10494792771293197</v>
      </c>
      <c r="D632" s="37">
        <f>SUMPRODUCT($K$570:$M$570,$B107:$D107)</f>
        <v>-0.10494792771293197</v>
      </c>
      <c r="E632" s="37">
        <f>SUMPRODUCT($O$570:$Q$570,$B107:$D107)</f>
        <v>-0.14599138898314287</v>
      </c>
      <c r="F632" s="37">
        <f>SUMPRODUCT($S$570:$U$570,$B107:$D107)</f>
        <v>-0.14599138898314287</v>
      </c>
      <c r="G632" s="37">
        <f>SUMPRODUCT($W$570:$Y$570,$B107:$D107)</f>
        <v>-1.0000000000000002</v>
      </c>
      <c r="H632" s="37">
        <f>SUMPRODUCT($AA$570:$AC$570,$B107:$D107)</f>
        <v>-0.14599138898314287</v>
      </c>
      <c r="I632" s="37">
        <f>SUMPRODUCT($AE$570:$AG$570,$B107:$D107)</f>
        <v>-0.14599138898314287</v>
      </c>
      <c r="J632" s="37">
        <f>SUMPRODUCT($AI$570:$AK$570,$B107:$D107)</f>
        <v>-0.14599138898314287</v>
      </c>
      <c r="K632" s="17"/>
    </row>
    <row r="633" spans="1:11" x14ac:dyDescent="0.25">
      <c r="A633" s="4" t="s">
        <v>186</v>
      </c>
      <c r="B633" s="37">
        <f>SUMPRODUCT($C$571:$E$571,$B108:$D108)</f>
        <v>-2.8173090838921312E-2</v>
      </c>
      <c r="C633" s="37">
        <f>SUMPRODUCT($G$571:$I$571,$B108:$D108)</f>
        <v>-0.10494792771293197</v>
      </c>
      <c r="D633" s="37">
        <f>SUMPRODUCT($K$571:$M$571,$B108:$D108)</f>
        <v>-0.10494792771293197</v>
      </c>
      <c r="E633" s="37">
        <f>SUMPRODUCT($O$571:$Q$571,$B108:$D108)</f>
        <v>-0.14599138898314287</v>
      </c>
      <c r="F633" s="37">
        <f>SUMPRODUCT($S$571:$U$571,$B108:$D108)</f>
        <v>-0.14599138898314287</v>
      </c>
      <c r="G633" s="37">
        <f>SUMPRODUCT($W$571:$Y$571,$B108:$D108)</f>
        <v>-1.0000000000000002</v>
      </c>
      <c r="H633" s="37">
        <f>SUMPRODUCT($AA$571:$AC$571,$B108:$D108)</f>
        <v>-0.14599138898314287</v>
      </c>
      <c r="I633" s="37">
        <f>SUMPRODUCT($AE$571:$AG$571,$B108:$D108)</f>
        <v>-0.14599138898314287</v>
      </c>
      <c r="J633" s="37">
        <f>SUMPRODUCT($AI$571:$AK$571,$B108:$D108)</f>
        <v>-0.14599138898314287</v>
      </c>
      <c r="K633" s="17"/>
    </row>
    <row r="634" spans="1:11" x14ac:dyDescent="0.25">
      <c r="A634" s="4" t="s">
        <v>195</v>
      </c>
      <c r="B634" s="37">
        <f>SUMPRODUCT($C$572:$E$572,$B109:$D109)</f>
        <v>-2.8173090838921312E-2</v>
      </c>
      <c r="C634" s="37">
        <f>SUMPRODUCT($G$572:$I$572,$B109:$D109)</f>
        <v>-0.10494792771293197</v>
      </c>
      <c r="D634" s="37">
        <f>SUMPRODUCT($K$572:$M$572,$B109:$D109)</f>
        <v>-0.10494792771293197</v>
      </c>
      <c r="E634" s="37">
        <f>SUMPRODUCT($O$572:$Q$572,$B109:$D109)</f>
        <v>-0.14599138898314287</v>
      </c>
      <c r="F634" s="37">
        <f>SUMPRODUCT($S$572:$U$572,$B109:$D109)</f>
        <v>-0.14599138898314287</v>
      </c>
      <c r="G634" s="37">
        <f>SUMPRODUCT($W$572:$Y$572,$B109:$D109)</f>
        <v>-1.0000000000000002</v>
      </c>
      <c r="H634" s="37">
        <f>SUMPRODUCT($AA$572:$AC$572,$B109:$D109)</f>
        <v>-0.14599138898314287</v>
      </c>
      <c r="I634" s="37">
        <f>SUMPRODUCT($AE$572:$AG$572,$B109:$D109)</f>
        <v>-0.14599138898314287</v>
      </c>
      <c r="J634" s="37">
        <f>SUMPRODUCT($AI$572:$AK$572,$B109:$D109)</f>
        <v>-0.14599138898314287</v>
      </c>
      <c r="K634" s="17"/>
    </row>
    <row r="636" spans="1:11" ht="21" customHeight="1" x14ac:dyDescent="0.3">
      <c r="A636" s="1" t="s">
        <v>707</v>
      </c>
    </row>
    <row r="637" spans="1:11" x14ac:dyDescent="0.25">
      <c r="A637" s="2" t="s">
        <v>350</v>
      </c>
    </row>
    <row r="638" spans="1:11" x14ac:dyDescent="0.25">
      <c r="A638" s="32" t="s">
        <v>708</v>
      </c>
    </row>
    <row r="639" spans="1:11" x14ac:dyDescent="0.25">
      <c r="A639" s="32" t="s">
        <v>541</v>
      </c>
    </row>
    <row r="640" spans="1:11" x14ac:dyDescent="0.25">
      <c r="A640" s="32" t="s">
        <v>709</v>
      </c>
    </row>
    <row r="641" spans="1:6" x14ac:dyDescent="0.25">
      <c r="A641" s="33" t="s">
        <v>353</v>
      </c>
      <c r="B641" s="33" t="s">
        <v>484</v>
      </c>
      <c r="C641" s="33" t="s">
        <v>483</v>
      </c>
      <c r="D641" s="33"/>
      <c r="E641" s="33"/>
    </row>
    <row r="642" spans="1:6" x14ac:dyDescent="0.25">
      <c r="A642" s="33" t="s">
        <v>356</v>
      </c>
      <c r="B642" s="33" t="s">
        <v>534</v>
      </c>
      <c r="C642" s="33" t="s">
        <v>543</v>
      </c>
      <c r="D642" s="33"/>
      <c r="E642" s="33"/>
    </row>
    <row r="644" spans="1:6" ht="30" x14ac:dyDescent="0.25">
      <c r="C644" s="31" t="s">
        <v>710</v>
      </c>
      <c r="D644" s="31"/>
      <c r="E644" s="31"/>
    </row>
    <row r="645" spans="1:6" x14ac:dyDescent="0.25">
      <c r="B645" s="15" t="s">
        <v>544</v>
      </c>
      <c r="C645" s="15" t="s">
        <v>331</v>
      </c>
      <c r="D645" s="15" t="s">
        <v>332</v>
      </c>
      <c r="E645" s="15" t="s">
        <v>328</v>
      </c>
    </row>
    <row r="646" spans="1:6" ht="30" x14ac:dyDescent="0.25">
      <c r="A646" s="4" t="s">
        <v>711</v>
      </c>
      <c r="B646" s="42">
        <f>SUM(Input!$B346:$D346)</f>
        <v>8760</v>
      </c>
      <c r="C646" s="42">
        <f>Input!B346*24*Input!$F58/$B646</f>
        <v>258</v>
      </c>
      <c r="D646" s="42">
        <f>Input!C346*24*Input!$F58/$B646</f>
        <v>3047</v>
      </c>
      <c r="E646" s="42">
        <f>Input!D346*24*Input!$F58/$B646</f>
        <v>5455</v>
      </c>
      <c r="F646" s="17"/>
    </row>
    <row r="648" spans="1:6" ht="21" customHeight="1" x14ac:dyDescent="0.3">
      <c r="A648" s="1" t="s">
        <v>712</v>
      </c>
    </row>
    <row r="649" spans="1:6" x14ac:dyDescent="0.25">
      <c r="A649" s="2" t="s">
        <v>350</v>
      </c>
    </row>
    <row r="650" spans="1:6" x14ac:dyDescent="0.25">
      <c r="A650" s="32" t="s">
        <v>713</v>
      </c>
    </row>
    <row r="651" spans="1:6" x14ac:dyDescent="0.25">
      <c r="A651" s="32" t="s">
        <v>714</v>
      </c>
    </row>
    <row r="652" spans="1:6" x14ac:dyDescent="0.25">
      <c r="A652" s="32" t="s">
        <v>715</v>
      </c>
    </row>
    <row r="653" spans="1:6" x14ac:dyDescent="0.25">
      <c r="A653" s="32" t="s">
        <v>551</v>
      </c>
    </row>
    <row r="654" spans="1:6" x14ac:dyDescent="0.25">
      <c r="A654" s="33" t="s">
        <v>353</v>
      </c>
      <c r="B654" s="33" t="s">
        <v>484</v>
      </c>
      <c r="C654" s="33" t="s">
        <v>483</v>
      </c>
      <c r="D654" s="33"/>
      <c r="E654" s="33"/>
    </row>
    <row r="655" spans="1:6" x14ac:dyDescent="0.25">
      <c r="A655" s="33" t="s">
        <v>356</v>
      </c>
      <c r="B655" s="33" t="s">
        <v>534</v>
      </c>
      <c r="C655" s="33" t="s">
        <v>552</v>
      </c>
      <c r="D655" s="33"/>
      <c r="E655" s="33"/>
    </row>
    <row r="657" spans="1:6" ht="30" x14ac:dyDescent="0.25">
      <c r="C657" s="31" t="s">
        <v>716</v>
      </c>
      <c r="D657" s="31"/>
      <c r="E657" s="31"/>
    </row>
    <row r="658" spans="1:6" x14ac:dyDescent="0.25">
      <c r="B658" s="15" t="s">
        <v>553</v>
      </c>
      <c r="C658" s="15" t="s">
        <v>331</v>
      </c>
      <c r="D658" s="15" t="s">
        <v>332</v>
      </c>
      <c r="E658" s="15" t="s">
        <v>328</v>
      </c>
    </row>
    <row r="659" spans="1:6" x14ac:dyDescent="0.25">
      <c r="A659" s="4" t="s">
        <v>215</v>
      </c>
      <c r="B659" s="39">
        <f>SUM(Input!$B336:$D336)</f>
        <v>1.0000000000000004</v>
      </c>
      <c r="C659" s="39">
        <f>IF($B659,Input!B336/$B659,C$646/Input!$F$58/24)</f>
        <v>2.9452054794520486E-2</v>
      </c>
      <c r="D659" s="39">
        <f>IF($B659,Input!C336/$B659,D$646/Input!$F$58/24)</f>
        <v>0.34880136986301385</v>
      </c>
      <c r="E659" s="39">
        <f>IF($B659,Input!D336/$B659,E$646/Input!$F$58/24)</f>
        <v>0.6217465753424658</v>
      </c>
      <c r="F659" s="17"/>
    </row>
    <row r="660" spans="1:6" x14ac:dyDescent="0.25">
      <c r="A660" s="4" t="s">
        <v>216</v>
      </c>
      <c r="B660" s="39">
        <f>SUM(Input!$B337:$D337)</f>
        <v>0.99999999999999867</v>
      </c>
      <c r="C660" s="39">
        <f>IF($B660,Input!B337/$B660,C$646/Input!$F$58/24)</f>
        <v>5.0057870607719268E-2</v>
      </c>
      <c r="D660" s="39">
        <f>IF($B660,Input!C337/$B660,D$646/Input!$F$58/24)</f>
        <v>8.3818049231440608E-2</v>
      </c>
      <c r="E660" s="39">
        <f>IF($B660,Input!D337/$B660,E$646/Input!$F$58/24)</f>
        <v>0.86612408016084008</v>
      </c>
      <c r="F660" s="17"/>
    </row>
    <row r="661" spans="1:6" x14ac:dyDescent="0.25">
      <c r="A661" s="4" t="s">
        <v>217</v>
      </c>
      <c r="B661" s="39">
        <f>SUM(Input!$B338:$D338)</f>
        <v>0.999999999999999</v>
      </c>
      <c r="C661" s="39">
        <f>IF($B661,Input!B338/$B661,C$646/Input!$F$58/24)</f>
        <v>9.5878636666534095E-2</v>
      </c>
      <c r="D661" s="39">
        <f>IF($B661,Input!C338/$B661,D$646/Input!$F$58/24)</f>
        <v>0.16459011566293616</v>
      </c>
      <c r="E661" s="39">
        <f>IF($B661,Input!D338/$B661,E$646/Input!$F$58/24)</f>
        <v>0.7395312476705298</v>
      </c>
      <c r="F661" s="17"/>
    </row>
    <row r="662" spans="1:6" x14ac:dyDescent="0.25">
      <c r="A662" s="4" t="s">
        <v>218</v>
      </c>
      <c r="B662" s="39">
        <f>SUM(Input!$B339:$D339)</f>
        <v>1.0000000000000004</v>
      </c>
      <c r="C662" s="39">
        <f>IF($B662,Input!B339/$B662,C$646/Input!$F$58/24)</f>
        <v>1.6712476111251495E-2</v>
      </c>
      <c r="D662" s="39">
        <f>IF($B662,Input!C339/$B662,D$646/Input!$F$58/24)</f>
        <v>0.56747668517515581</v>
      </c>
      <c r="E662" s="39">
        <f>IF($B662,Input!D339/$B662,E$646/Input!$F$58/24)</f>
        <v>0.41581083871359281</v>
      </c>
      <c r="F662" s="17"/>
    </row>
    <row r="664" spans="1:6" ht="21" customHeight="1" x14ac:dyDescent="0.3">
      <c r="A664" s="1" t="s">
        <v>717</v>
      </c>
    </row>
    <row r="665" spans="1:6" x14ac:dyDescent="0.25">
      <c r="A665" s="2" t="s">
        <v>350</v>
      </c>
    </row>
    <row r="666" spans="1:6" x14ac:dyDescent="0.25">
      <c r="A666" s="32" t="s">
        <v>718</v>
      </c>
    </row>
    <row r="667" spans="1:6" x14ac:dyDescent="0.25">
      <c r="A667" s="2" t="s">
        <v>719</v>
      </c>
    </row>
    <row r="668" spans="1:6" x14ac:dyDescent="0.25">
      <c r="A668" s="2" t="s">
        <v>368</v>
      </c>
    </row>
    <row r="670" spans="1:6" x14ac:dyDescent="0.25">
      <c r="B670" s="15" t="s">
        <v>331</v>
      </c>
      <c r="C670" s="15" t="s">
        <v>332</v>
      </c>
      <c r="D670" s="15" t="s">
        <v>328</v>
      </c>
    </row>
    <row r="671" spans="1:6" x14ac:dyDescent="0.25">
      <c r="A671" s="4" t="s">
        <v>215</v>
      </c>
      <c r="B671" s="41">
        <f>C$659</f>
        <v>2.9452054794520486E-2</v>
      </c>
      <c r="C671" s="41">
        <f>D$659</f>
        <v>0.34880136986301385</v>
      </c>
      <c r="D671" s="41">
        <f>E$659</f>
        <v>0.6217465753424658</v>
      </c>
      <c r="E671" s="17"/>
    </row>
    <row r="672" spans="1:6" x14ac:dyDescent="0.25">
      <c r="A672" s="4" t="s">
        <v>216</v>
      </c>
      <c r="B672" s="41">
        <f>C$660</f>
        <v>5.0057870607719268E-2</v>
      </c>
      <c r="C672" s="41">
        <f>D$660</f>
        <v>8.3818049231440608E-2</v>
      </c>
      <c r="D672" s="41">
        <f>E$660</f>
        <v>0.86612408016084008</v>
      </c>
      <c r="E672" s="17"/>
    </row>
    <row r="673" spans="1:5" x14ac:dyDescent="0.25">
      <c r="A673" s="4" t="s">
        <v>217</v>
      </c>
      <c r="B673" s="41">
        <f>C$661</f>
        <v>9.5878636666534095E-2</v>
      </c>
      <c r="C673" s="41">
        <f>D$661</f>
        <v>0.16459011566293616</v>
      </c>
      <c r="D673" s="41">
        <f>E$661</f>
        <v>0.7395312476705298</v>
      </c>
      <c r="E673" s="17"/>
    </row>
    <row r="674" spans="1:5" x14ac:dyDescent="0.25">
      <c r="A674" s="4" t="s">
        <v>218</v>
      </c>
      <c r="B674" s="41">
        <f>C$662</f>
        <v>1.6712476111251495E-2</v>
      </c>
      <c r="C674" s="41">
        <f>D$662</f>
        <v>0.56747668517515581</v>
      </c>
      <c r="D674" s="41">
        <f>E$662</f>
        <v>0.41581083871359281</v>
      </c>
      <c r="E674" s="17"/>
    </row>
    <row r="675" spans="1:5" x14ac:dyDescent="0.25">
      <c r="A675" s="4" t="s">
        <v>219</v>
      </c>
      <c r="B675" s="40">
        <v>1</v>
      </c>
      <c r="C675" s="40">
        <v>0</v>
      </c>
      <c r="D675" s="40">
        <v>0</v>
      </c>
      <c r="E675" s="17"/>
    </row>
    <row r="677" spans="1:5" ht="21" customHeight="1" x14ac:dyDescent="0.3">
      <c r="A677" s="1" t="s">
        <v>720</v>
      </c>
    </row>
    <row r="679" spans="1:5" x14ac:dyDescent="0.25">
      <c r="B679" s="15" t="s">
        <v>331</v>
      </c>
      <c r="C679" s="15" t="s">
        <v>332</v>
      </c>
      <c r="D679" s="15" t="s">
        <v>328</v>
      </c>
    </row>
    <row r="680" spans="1:5" x14ac:dyDescent="0.25">
      <c r="A680" s="4" t="s">
        <v>219</v>
      </c>
      <c r="B680" s="40">
        <v>0</v>
      </c>
      <c r="C680" s="40">
        <v>1</v>
      </c>
      <c r="D680" s="40">
        <v>0</v>
      </c>
      <c r="E680" s="17"/>
    </row>
    <row r="682" spans="1:5" ht="21" customHeight="1" x14ac:dyDescent="0.3">
      <c r="A682" s="1" t="s">
        <v>721</v>
      </c>
    </row>
    <row r="684" spans="1:5" x14ac:dyDescent="0.25">
      <c r="B684" s="15" t="s">
        <v>331</v>
      </c>
      <c r="C684" s="15" t="s">
        <v>332</v>
      </c>
      <c r="D684" s="15" t="s">
        <v>328</v>
      </c>
    </row>
    <row r="685" spans="1:5" x14ac:dyDescent="0.25">
      <c r="A685" s="4" t="s">
        <v>219</v>
      </c>
      <c r="B685" s="40">
        <v>0</v>
      </c>
      <c r="C685" s="40">
        <v>0</v>
      </c>
      <c r="D685" s="40">
        <v>1</v>
      </c>
      <c r="E685" s="17"/>
    </row>
    <row r="687" spans="1:5" ht="21" customHeight="1" x14ac:dyDescent="0.3">
      <c r="A687" s="1" t="s">
        <v>722</v>
      </c>
    </row>
    <row r="688" spans="1:5" x14ac:dyDescent="0.25">
      <c r="A688" s="2" t="s">
        <v>350</v>
      </c>
    </row>
    <row r="689" spans="1:6" x14ac:dyDescent="0.25">
      <c r="A689" s="32" t="s">
        <v>573</v>
      </c>
    </row>
    <row r="690" spans="1:6" x14ac:dyDescent="0.25">
      <c r="A690" s="32" t="s">
        <v>574</v>
      </c>
    </row>
    <row r="691" spans="1:6" x14ac:dyDescent="0.25">
      <c r="A691" s="32" t="s">
        <v>723</v>
      </c>
    </row>
    <row r="692" spans="1:6" x14ac:dyDescent="0.25">
      <c r="A692" s="32" t="s">
        <v>724</v>
      </c>
    </row>
    <row r="693" spans="1:6" x14ac:dyDescent="0.25">
      <c r="A693" s="32" t="s">
        <v>725</v>
      </c>
    </row>
    <row r="694" spans="1:6" x14ac:dyDescent="0.25">
      <c r="A694" s="32" t="s">
        <v>578</v>
      </c>
    </row>
    <row r="695" spans="1:6" x14ac:dyDescent="0.25">
      <c r="A695" s="33" t="s">
        <v>353</v>
      </c>
      <c r="B695" s="33" t="s">
        <v>483</v>
      </c>
      <c r="C695" s="33"/>
      <c r="D695" s="33"/>
      <c r="E695" s="33" t="s">
        <v>483</v>
      </c>
    </row>
    <row r="696" spans="1:6" ht="30" x14ac:dyDescent="0.25">
      <c r="A696" s="33" t="s">
        <v>356</v>
      </c>
      <c r="B696" s="33" t="s">
        <v>579</v>
      </c>
      <c r="C696" s="33"/>
      <c r="D696" s="33"/>
      <c r="E696" s="33" t="s">
        <v>580</v>
      </c>
    </row>
    <row r="698" spans="1:6" ht="30" x14ac:dyDescent="0.25">
      <c r="B698" s="31" t="s">
        <v>726</v>
      </c>
      <c r="C698" s="31"/>
      <c r="D698" s="31"/>
    </row>
    <row r="699" spans="1:6" ht="60" x14ac:dyDescent="0.25">
      <c r="B699" s="15" t="s">
        <v>331</v>
      </c>
      <c r="C699" s="15" t="s">
        <v>332</v>
      </c>
      <c r="D699" s="15" t="s">
        <v>328</v>
      </c>
      <c r="E699" s="15" t="s">
        <v>727</v>
      </c>
    </row>
    <row r="700" spans="1:6" x14ac:dyDescent="0.25">
      <c r="A700" s="4" t="s">
        <v>215</v>
      </c>
      <c r="B700" s="39">
        <f>IF($B$133&gt;0,(Loads!$B$316*B$671)/$B$133,0)</f>
        <v>2.9452054794520482E-2</v>
      </c>
      <c r="C700" s="39">
        <f>IF($B$133&gt;0,(Loads!$B$316*C$671)/$B$133,0)</f>
        <v>0.34880136986301385</v>
      </c>
      <c r="D700" s="39">
        <f>IF($B$133&gt;0,(Loads!$B$316*D$671)/$B$133,0)</f>
        <v>0.6217465753424658</v>
      </c>
      <c r="E700" s="37">
        <f>IF($C$646&gt;0,$B700*Input!$F$58*24/$C$646,0)</f>
        <v>0.99999999999999778</v>
      </c>
      <c r="F700" s="17"/>
    </row>
    <row r="701" spans="1:6" x14ac:dyDescent="0.25">
      <c r="A701" s="4" t="s">
        <v>216</v>
      </c>
      <c r="B701" s="39">
        <f>IF($B$134&gt;0,(Loads!$B$317*B$672)/$B$134,0)</f>
        <v>5.0057870607719268E-2</v>
      </c>
      <c r="C701" s="39">
        <f>IF($B$134&gt;0,(Loads!$B$317*C$672)/$B$134,0)</f>
        <v>8.3818049231440608E-2</v>
      </c>
      <c r="D701" s="39">
        <f>IF($B$134&gt;0,(Loads!$B$317*D$672)/$B$134,0)</f>
        <v>0.86612408016084008</v>
      </c>
      <c r="E701" s="37">
        <f>IF($C$646&gt;0,$B701*Input!$F$58*24/$C$646,0)</f>
        <v>1.6996393276109336</v>
      </c>
      <c r="F701" s="17"/>
    </row>
    <row r="702" spans="1:6" x14ac:dyDescent="0.25">
      <c r="A702" s="4" t="s">
        <v>217</v>
      </c>
      <c r="B702" s="39">
        <f>IF($B$135&gt;0,(Loads!$B$318*B$673)/$B$135,0)</f>
        <v>9.5878636666534095E-2</v>
      </c>
      <c r="C702" s="39">
        <f>IF($B$135&gt;0,(Loads!$B$318*C$673)/$B$135,0)</f>
        <v>0.16459011566293616</v>
      </c>
      <c r="D702" s="39">
        <f>IF($B$135&gt;0,(Loads!$B$318*D$673)/$B$135,0)</f>
        <v>0.7395312476705298</v>
      </c>
      <c r="E702" s="37">
        <f>IF($C$646&gt;0,$B702*Input!$F$58*24/$C$646,0)</f>
        <v>3.2554141751892973</v>
      </c>
      <c r="F702" s="17"/>
    </row>
    <row r="703" spans="1:6" x14ac:dyDescent="0.25">
      <c r="A703" s="4" t="s">
        <v>218</v>
      </c>
      <c r="B703" s="39">
        <f>IF($B$136&gt;0,(Loads!$B$319*B$674)/$B$136,0)</f>
        <v>1.6712476111251495E-2</v>
      </c>
      <c r="C703" s="39">
        <f>IF($B$136&gt;0,(Loads!$B$319*C$674)/$B$136,0)</f>
        <v>0.56747668517515581</v>
      </c>
      <c r="D703" s="39">
        <f>IF($B$136&gt;0,(Loads!$B$319*D$674)/$B$136,0)</f>
        <v>0.41581083871359281</v>
      </c>
      <c r="E703" s="37">
        <f>IF($C$646&gt;0,$B703*Input!$F$58*24/$C$646,0)</f>
        <v>0.56744686331226002</v>
      </c>
      <c r="F703" s="17"/>
    </row>
    <row r="705" spans="1:5" ht="21" customHeight="1" x14ac:dyDescent="0.3">
      <c r="A705" s="1" t="s">
        <v>728</v>
      </c>
    </row>
    <row r="706" spans="1:5" x14ac:dyDescent="0.25">
      <c r="A706" s="2" t="s">
        <v>350</v>
      </c>
    </row>
    <row r="707" spans="1:5" x14ac:dyDescent="0.25">
      <c r="A707" s="32" t="s">
        <v>573</v>
      </c>
    </row>
    <row r="708" spans="1:5" x14ac:dyDescent="0.25">
      <c r="A708" s="32" t="s">
        <v>574</v>
      </c>
    </row>
    <row r="709" spans="1:5" x14ac:dyDescent="0.25">
      <c r="A709" s="32" t="s">
        <v>723</v>
      </c>
    </row>
    <row r="710" spans="1:5" x14ac:dyDescent="0.25">
      <c r="A710" s="32" t="s">
        <v>584</v>
      </c>
    </row>
    <row r="711" spans="1:5" x14ac:dyDescent="0.25">
      <c r="A711" s="32" t="s">
        <v>729</v>
      </c>
    </row>
    <row r="712" spans="1:5" x14ac:dyDescent="0.25">
      <c r="A712" s="32" t="s">
        <v>594</v>
      </c>
    </row>
    <row r="713" spans="1:5" x14ac:dyDescent="0.25">
      <c r="A713" s="32" t="s">
        <v>730</v>
      </c>
    </row>
    <row r="714" spans="1:5" x14ac:dyDescent="0.25">
      <c r="A714" s="32" t="s">
        <v>731</v>
      </c>
    </row>
    <row r="715" spans="1:5" x14ac:dyDescent="0.25">
      <c r="A715" s="32" t="s">
        <v>732</v>
      </c>
    </row>
    <row r="716" spans="1:5" x14ac:dyDescent="0.25">
      <c r="A716" s="32" t="s">
        <v>598</v>
      </c>
    </row>
    <row r="717" spans="1:5" x14ac:dyDescent="0.25">
      <c r="A717" s="33" t="s">
        <v>353</v>
      </c>
      <c r="B717" s="33" t="s">
        <v>483</v>
      </c>
      <c r="C717" s="33"/>
      <c r="D717" s="33"/>
      <c r="E717" s="33" t="s">
        <v>483</v>
      </c>
    </row>
    <row r="718" spans="1:5" ht="30" x14ac:dyDescent="0.25">
      <c r="A718" s="33" t="s">
        <v>356</v>
      </c>
      <c r="B718" s="33" t="s">
        <v>599</v>
      </c>
      <c r="C718" s="33"/>
      <c r="D718" s="33"/>
      <c r="E718" s="33" t="s">
        <v>600</v>
      </c>
    </row>
    <row r="720" spans="1:5" ht="30" x14ac:dyDescent="0.25">
      <c r="B720" s="31" t="s">
        <v>733</v>
      </c>
      <c r="C720" s="31"/>
      <c r="D720" s="31"/>
    </row>
    <row r="721" spans="1:6" ht="60" x14ac:dyDescent="0.25">
      <c r="B721" s="15" t="s">
        <v>331</v>
      </c>
      <c r="C721" s="15" t="s">
        <v>332</v>
      </c>
      <c r="D721" s="15" t="s">
        <v>328</v>
      </c>
      <c r="E721" s="15" t="s">
        <v>734</v>
      </c>
    </row>
    <row r="722" spans="1:6" x14ac:dyDescent="0.25">
      <c r="A722" s="4" t="s">
        <v>219</v>
      </c>
      <c r="B722" s="39">
        <f>IF($B$137&gt;0,(Loads!$B$320*B$675+Loads!$C$320*B$680+Loads!$D$320*B$685)/$B$137,0)</f>
        <v>5.4840647954485434E-2</v>
      </c>
      <c r="C722" s="39">
        <f>IF($B$137&gt;0,(Loads!$B$320*C$675+Loads!$C$320*C$680+Loads!$D$320*C$685)/$B$137,0)</f>
        <v>0.12638562681509338</v>
      </c>
      <c r="D722" s="39">
        <f>IF($B$137&gt;0,(Loads!$B$320*D$675+Loads!$C$320*D$680+Loads!$D$320*D$685)/$B$137,0)</f>
        <v>0.81877372523042125</v>
      </c>
      <c r="E722" s="37">
        <f>IF($C$646&gt;0,$B722*Input!$F$58*24/$C$646,0)</f>
        <v>1.8620313026406681</v>
      </c>
      <c r="F722" s="17"/>
    </row>
    <row r="724" spans="1:6" ht="21" customHeight="1" x14ac:dyDescent="0.3">
      <c r="A724" s="1" t="s">
        <v>735</v>
      </c>
    </row>
    <row r="725" spans="1:6" x14ac:dyDescent="0.25">
      <c r="A725" s="2" t="s">
        <v>350</v>
      </c>
    </row>
    <row r="726" spans="1:6" x14ac:dyDescent="0.25">
      <c r="A726" s="32" t="s">
        <v>736</v>
      </c>
    </row>
    <row r="727" spans="1:6" x14ac:dyDescent="0.25">
      <c r="A727" s="32" t="s">
        <v>737</v>
      </c>
    </row>
    <row r="728" spans="1:6" x14ac:dyDescent="0.25">
      <c r="A728" s="32" t="s">
        <v>738</v>
      </c>
    </row>
    <row r="729" spans="1:6" x14ac:dyDescent="0.25">
      <c r="A729" s="32" t="s">
        <v>739</v>
      </c>
    </row>
    <row r="730" spans="1:6" x14ac:dyDescent="0.25">
      <c r="A730" s="32" t="s">
        <v>740</v>
      </c>
    </row>
    <row r="731" spans="1:6" x14ac:dyDescent="0.25">
      <c r="A731" s="32" t="s">
        <v>741</v>
      </c>
    </row>
    <row r="732" spans="1:6" x14ac:dyDescent="0.25">
      <c r="A732" s="33" t="s">
        <v>353</v>
      </c>
      <c r="B732" s="33" t="s">
        <v>517</v>
      </c>
      <c r="C732" s="33" t="s">
        <v>483</v>
      </c>
      <c r="D732" s="33" t="s">
        <v>483</v>
      </c>
    </row>
    <row r="733" spans="1:6" ht="30" x14ac:dyDescent="0.25">
      <c r="A733" s="33" t="s">
        <v>356</v>
      </c>
      <c r="B733" s="33" t="s">
        <v>742</v>
      </c>
      <c r="C733" s="33" t="s">
        <v>743</v>
      </c>
      <c r="D733" s="33" t="s">
        <v>744</v>
      </c>
    </row>
    <row r="735" spans="1:6" ht="45" x14ac:dyDescent="0.25">
      <c r="B735" s="15" t="s">
        <v>745</v>
      </c>
      <c r="C735" s="15" t="s">
        <v>746</v>
      </c>
      <c r="D735" s="15" t="s">
        <v>747</v>
      </c>
    </row>
    <row r="736" spans="1:6" x14ac:dyDescent="0.25">
      <c r="A736" s="4" t="s">
        <v>215</v>
      </c>
      <c r="B736" s="38">
        <f>E$700</f>
        <v>0.99999999999999778</v>
      </c>
      <c r="C736" s="21">
        <f>B736*$B$133/24/Input!$F$58*1000</f>
        <v>4186.2137797095011</v>
      </c>
      <c r="D736" s="21">
        <f>Loads!B$60*B$133/24/Input!F$58*1000</f>
        <v>4186.2137797095093</v>
      </c>
      <c r="E736" s="17"/>
    </row>
    <row r="737" spans="1:5" x14ac:dyDescent="0.25">
      <c r="A737" s="4" t="s">
        <v>216</v>
      </c>
      <c r="B737" s="38">
        <f>E$701</f>
        <v>1.6996393276109336</v>
      </c>
      <c r="C737" s="21">
        <f>B737*$B$134/24/Input!$F$58*1000</f>
        <v>1969.1510546919208</v>
      </c>
      <c r="D737" s="21">
        <f>Loads!B$61*B$134/24/Input!F$58*1000</f>
        <v>2445.6743094331009</v>
      </c>
      <c r="E737" s="17"/>
    </row>
    <row r="738" spans="1:5" x14ac:dyDescent="0.25">
      <c r="A738" s="4" t="s">
        <v>217</v>
      </c>
      <c r="B738" s="38">
        <f>E$702</f>
        <v>3.2554141751892973</v>
      </c>
      <c r="C738" s="21">
        <f>B738*$B$135/24/Input!$F$58*1000</f>
        <v>98.780335740724098</v>
      </c>
      <c r="D738" s="21">
        <f>Loads!B$62*B$135/24/Input!F$58*1000</f>
        <v>117.60385386454459</v>
      </c>
      <c r="E738" s="17"/>
    </row>
    <row r="739" spans="1:5" x14ac:dyDescent="0.25">
      <c r="A739" s="4" t="s">
        <v>218</v>
      </c>
      <c r="B739" s="38">
        <f>E$703</f>
        <v>0.56744686331226002</v>
      </c>
      <c r="C739" s="21">
        <f>B739*$B$136/24/Input!$F$58*1000</f>
        <v>5.0939287205056727E-3</v>
      </c>
      <c r="D739" s="21">
        <f>Loads!B$63*B$136/24/Input!F$58*1000</f>
        <v>0</v>
      </c>
      <c r="E739" s="17"/>
    </row>
    <row r="740" spans="1:5" x14ac:dyDescent="0.25">
      <c r="A740" s="4" t="s">
        <v>219</v>
      </c>
      <c r="B740" s="38">
        <f>E$722</f>
        <v>1.8620313026406681</v>
      </c>
      <c r="C740" s="21">
        <f>B740*$B$137/24/Input!$F$58*1000</f>
        <v>55404.864232103093</v>
      </c>
      <c r="D740" s="21">
        <f>Loads!B$64*B$137/24/Input!F$58*1000</f>
        <v>61006.734559372308</v>
      </c>
      <c r="E740" s="17"/>
    </row>
    <row r="742" spans="1:5" ht="21" customHeight="1" x14ac:dyDescent="0.3">
      <c r="A742" s="1" t="s">
        <v>748</v>
      </c>
    </row>
    <row r="743" spans="1:5" x14ac:dyDescent="0.25">
      <c r="A743" s="2" t="s">
        <v>350</v>
      </c>
    </row>
    <row r="744" spans="1:5" x14ac:dyDescent="0.25">
      <c r="A744" s="32" t="s">
        <v>749</v>
      </c>
    </row>
    <row r="745" spans="1:5" x14ac:dyDescent="0.25">
      <c r="A745" s="32" t="s">
        <v>750</v>
      </c>
    </row>
    <row r="746" spans="1:5" x14ac:dyDescent="0.25">
      <c r="A746" s="2" t="s">
        <v>751</v>
      </c>
    </row>
    <row r="748" spans="1:5" ht="45" x14ac:dyDescent="0.25">
      <c r="B748" s="15" t="s">
        <v>752</v>
      </c>
    </row>
    <row r="749" spans="1:5" x14ac:dyDescent="0.25">
      <c r="A749" s="4" t="s">
        <v>752</v>
      </c>
      <c r="B749" s="37">
        <f>IF(SUM($C$736:$C$740),SUM($D$736:$D$740)/SUM($C$736:$C$740),0)</f>
        <v>1.0988859788958165</v>
      </c>
      <c r="C749" s="17"/>
    </row>
    <row r="751" spans="1:5" ht="21" customHeight="1" x14ac:dyDescent="0.3">
      <c r="A751" s="1" t="s">
        <v>753</v>
      </c>
    </row>
    <row r="752" spans="1:5" x14ac:dyDescent="0.25">
      <c r="A752" s="2" t="s">
        <v>350</v>
      </c>
    </row>
    <row r="753" spans="1:8" x14ac:dyDescent="0.25">
      <c r="A753" s="32" t="s">
        <v>622</v>
      </c>
    </row>
    <row r="754" spans="1:8" x14ac:dyDescent="0.25">
      <c r="A754" s="32" t="s">
        <v>754</v>
      </c>
    </row>
    <row r="755" spans="1:8" x14ac:dyDescent="0.25">
      <c r="A755" s="32" t="s">
        <v>403</v>
      </c>
    </row>
    <row r="756" spans="1:8" x14ac:dyDescent="0.25">
      <c r="A756" s="32" t="s">
        <v>576</v>
      </c>
    </row>
    <row r="757" spans="1:8" x14ac:dyDescent="0.25">
      <c r="A757" s="32" t="s">
        <v>755</v>
      </c>
    </row>
    <row r="758" spans="1:8" x14ac:dyDescent="0.25">
      <c r="A758" s="32" t="s">
        <v>756</v>
      </c>
    </row>
    <row r="759" spans="1:8" x14ac:dyDescent="0.25">
      <c r="A759" s="32" t="s">
        <v>757</v>
      </c>
    </row>
    <row r="760" spans="1:8" x14ac:dyDescent="0.25">
      <c r="A760" s="32" t="s">
        <v>731</v>
      </c>
    </row>
    <row r="761" spans="1:8" x14ac:dyDescent="0.25">
      <c r="A761" s="32" t="s">
        <v>758</v>
      </c>
    </row>
    <row r="762" spans="1:8" x14ac:dyDescent="0.25">
      <c r="A762" s="32" t="s">
        <v>759</v>
      </c>
    </row>
    <row r="763" spans="1:8" x14ac:dyDescent="0.25">
      <c r="A763" s="33" t="s">
        <v>353</v>
      </c>
      <c r="B763" s="33" t="s">
        <v>412</v>
      </c>
      <c r="C763" s="33" t="s">
        <v>412</v>
      </c>
      <c r="D763" s="33" t="s">
        <v>412</v>
      </c>
      <c r="E763" s="33" t="s">
        <v>483</v>
      </c>
      <c r="F763" s="33" t="s">
        <v>483</v>
      </c>
      <c r="G763" s="33" t="s">
        <v>483</v>
      </c>
    </row>
    <row r="764" spans="1:8" ht="45" x14ac:dyDescent="0.25">
      <c r="A764" s="33" t="s">
        <v>356</v>
      </c>
      <c r="B764" s="33" t="s">
        <v>414</v>
      </c>
      <c r="C764" s="33" t="s">
        <v>414</v>
      </c>
      <c r="D764" s="33" t="s">
        <v>414</v>
      </c>
      <c r="E764" s="33" t="s">
        <v>760</v>
      </c>
      <c r="F764" s="33" t="s">
        <v>761</v>
      </c>
      <c r="G764" s="33" t="s">
        <v>762</v>
      </c>
    </row>
    <row r="766" spans="1:8" ht="30" x14ac:dyDescent="0.25">
      <c r="B766" s="15" t="s">
        <v>763</v>
      </c>
      <c r="C766" s="15" t="s">
        <v>764</v>
      </c>
      <c r="D766" s="15" t="s">
        <v>765</v>
      </c>
      <c r="E766" s="15" t="s">
        <v>766</v>
      </c>
      <c r="F766" s="15" t="s">
        <v>767</v>
      </c>
      <c r="G766" s="15" t="s">
        <v>341</v>
      </c>
    </row>
    <row r="767" spans="1:8" x14ac:dyDescent="0.25">
      <c r="A767" s="4" t="s">
        <v>139</v>
      </c>
      <c r="B767" s="41">
        <f t="shared" ref="B767:B775" si="70">$C247</f>
        <v>0.89060887512899911</v>
      </c>
      <c r="C767" s="41">
        <f t="shared" ref="C767:C775" si="71">$D247</f>
        <v>9.1847265221878208E-2</v>
      </c>
      <c r="D767" s="41">
        <f t="shared" ref="D767:D775" si="72">$E247</f>
        <v>1.7543859649122803E-2</v>
      </c>
      <c r="E767" s="37">
        <f>C767*24*Input!$F$58/$D$13</f>
        <v>0.3186463537994666</v>
      </c>
      <c r="F767" s="39">
        <f>IF(Input!$E360,MAX(0,$C767+$B767-Input!$E360),$E767*$D$646/Input!$F$58/24)</f>
        <v>9.1671826625387309E-2</v>
      </c>
      <c r="G767" s="39">
        <f t="shared" ref="G767:G775" si="73">1-$F767-$D767</f>
        <v>0.89078431372548994</v>
      </c>
      <c r="H767" s="17"/>
    </row>
    <row r="768" spans="1:8" x14ac:dyDescent="0.25">
      <c r="A768" s="4" t="s">
        <v>140</v>
      </c>
      <c r="B768" s="41">
        <f t="shared" si="70"/>
        <v>0.7061666804479847</v>
      </c>
      <c r="C768" s="41">
        <f t="shared" si="71"/>
        <v>0.22848047187232989</v>
      </c>
      <c r="D768" s="41">
        <f t="shared" si="72"/>
        <v>6.5352847679685369E-2</v>
      </c>
      <c r="E768" s="37">
        <f>C768*24*Input!$F$58/$D$13</f>
        <v>0.79266888459469698</v>
      </c>
      <c r="F768" s="39">
        <f>IF(Input!$E361,MAX(0,$C768+$B768-Input!$E361),$E768*$D$646/Input!$F$58/24)</f>
        <v>0.27067794897237263</v>
      </c>
      <c r="G768" s="39">
        <f t="shared" si="73"/>
        <v>0.66396920334794196</v>
      </c>
      <c r="H768" s="17"/>
    </row>
    <row r="769" spans="1:8" x14ac:dyDescent="0.25">
      <c r="A769" s="4" t="s">
        <v>141</v>
      </c>
      <c r="B769" s="41">
        <f t="shared" si="70"/>
        <v>0.7061666804479847</v>
      </c>
      <c r="C769" s="41">
        <f t="shared" si="71"/>
        <v>0.22848047187232989</v>
      </c>
      <c r="D769" s="41">
        <f t="shared" si="72"/>
        <v>6.5352847679685369E-2</v>
      </c>
      <c r="E769" s="37">
        <f>C769*24*Input!$F$58/$D$13</f>
        <v>0.79266888459469698</v>
      </c>
      <c r="F769" s="39">
        <f>IF(Input!$E362,MAX(0,$C769+$B769-Input!$E362),$E769*$D$646/Input!$F$58/24)</f>
        <v>0.27067794897237263</v>
      </c>
      <c r="G769" s="39">
        <f t="shared" si="73"/>
        <v>0.66396920334794196</v>
      </c>
      <c r="H769" s="17"/>
    </row>
    <row r="770" spans="1:8" x14ac:dyDescent="0.25">
      <c r="A770" s="4" t="s">
        <v>142</v>
      </c>
      <c r="B770" s="41">
        <f t="shared" si="70"/>
        <v>0.59583098975643844</v>
      </c>
      <c r="C770" s="41">
        <f t="shared" si="71"/>
        <v>0.31325770580257473</v>
      </c>
      <c r="D770" s="41">
        <f t="shared" si="72"/>
        <v>9.0911304440986815E-2</v>
      </c>
      <c r="E770" s="37">
        <f>C770*24*Input!$F$58/$D$13</f>
        <v>1.0867871298338831</v>
      </c>
      <c r="F770" s="39">
        <f>IF(Input!$E363,MAX(0,$C770+$B770-Input!$E363),$E770*$D$646/Input!$F$58/24)</f>
        <v>0.36634550532387622</v>
      </c>
      <c r="G770" s="39">
        <f t="shared" si="73"/>
        <v>0.54274319023513695</v>
      </c>
      <c r="H770" s="17"/>
    </row>
    <row r="771" spans="1:8" x14ac:dyDescent="0.25">
      <c r="A771" s="4" t="s">
        <v>143</v>
      </c>
      <c r="B771" s="41">
        <f t="shared" si="70"/>
        <v>0.59583098975643844</v>
      </c>
      <c r="C771" s="41">
        <f t="shared" si="71"/>
        <v>0.31325770580257473</v>
      </c>
      <c r="D771" s="41">
        <f t="shared" si="72"/>
        <v>9.0911304440986815E-2</v>
      </c>
      <c r="E771" s="37">
        <f>C771*24*Input!$F$58/$D$13</f>
        <v>1.0867871298338831</v>
      </c>
      <c r="F771" s="39">
        <f>IF(Input!$E364,MAX(0,$C771+$B771-Input!$E364),$E771*$D$646/Input!$F$58/24)</f>
        <v>0.36634550532387622</v>
      </c>
      <c r="G771" s="39">
        <f t="shared" si="73"/>
        <v>0.54274319023513695</v>
      </c>
      <c r="H771" s="17"/>
    </row>
    <row r="772" spans="1:8" x14ac:dyDescent="0.25">
      <c r="A772" s="4" t="s">
        <v>148</v>
      </c>
      <c r="B772" s="41">
        <f t="shared" si="70"/>
        <v>8.9041095890410954E-2</v>
      </c>
      <c r="C772" s="41">
        <f t="shared" si="71"/>
        <v>0.2882420091324201</v>
      </c>
      <c r="D772" s="41">
        <f t="shared" si="72"/>
        <v>0.62271689497716898</v>
      </c>
      <c r="E772" s="37">
        <f>C772*24*Input!$F$58/$D$13</f>
        <v>1</v>
      </c>
      <c r="F772" s="39">
        <f>IF(Input!$E365,MAX(0,$C772+$B772-Input!$E365),$E772*$D$646/Input!$F$58/24)</f>
        <v>0.34783105022831046</v>
      </c>
      <c r="G772" s="39">
        <f t="shared" si="73"/>
        <v>2.9452054794520621E-2</v>
      </c>
      <c r="H772" s="17"/>
    </row>
    <row r="773" spans="1:8" x14ac:dyDescent="0.25">
      <c r="A773" s="4" t="s">
        <v>144</v>
      </c>
      <c r="B773" s="41">
        <f t="shared" si="70"/>
        <v>0.59583098975643844</v>
      </c>
      <c r="C773" s="41">
        <f t="shared" si="71"/>
        <v>0.31325770580257473</v>
      </c>
      <c r="D773" s="41">
        <f t="shared" si="72"/>
        <v>9.0911304440986815E-2</v>
      </c>
      <c r="E773" s="37">
        <f>C773*24*Input!$F$58/$D$13</f>
        <v>1.0867871298338831</v>
      </c>
      <c r="F773" s="39">
        <f>IF(Input!$E366,MAX(0,$C773+$B773-Input!$E366),$E773*$D$646/Input!$F$58/24)</f>
        <v>0.36634550532387622</v>
      </c>
      <c r="G773" s="39">
        <f t="shared" si="73"/>
        <v>0.54274319023513695</v>
      </c>
      <c r="H773" s="17"/>
    </row>
    <row r="774" spans="1:8" x14ac:dyDescent="0.25">
      <c r="A774" s="4" t="s">
        <v>145</v>
      </c>
      <c r="B774" s="41">
        <f t="shared" si="70"/>
        <v>0.59583098975643844</v>
      </c>
      <c r="C774" s="41">
        <f t="shared" si="71"/>
        <v>0.31325770580257473</v>
      </c>
      <c r="D774" s="41">
        <f t="shared" si="72"/>
        <v>9.0911304440986815E-2</v>
      </c>
      <c r="E774" s="37">
        <f>C774*24*Input!$F$58/$D$13</f>
        <v>1.0867871298338831</v>
      </c>
      <c r="F774" s="39">
        <f>IF(Input!$E367,MAX(0,$C774+$B774-Input!$E367),$E774*$D$646/Input!$F$58/24)</f>
        <v>0.36634550532387622</v>
      </c>
      <c r="G774" s="39">
        <f t="shared" si="73"/>
        <v>0.54274319023513695</v>
      </c>
      <c r="H774" s="17"/>
    </row>
    <row r="775" spans="1:8" x14ac:dyDescent="0.25">
      <c r="A775" s="4" t="s">
        <v>146</v>
      </c>
      <c r="B775" s="41">
        <f t="shared" si="70"/>
        <v>0.59583098975643844</v>
      </c>
      <c r="C775" s="41">
        <f t="shared" si="71"/>
        <v>0.31325770580257473</v>
      </c>
      <c r="D775" s="41">
        <f t="shared" si="72"/>
        <v>9.0911304440986815E-2</v>
      </c>
      <c r="E775" s="37">
        <f>C775*24*Input!$F$58/$D$13</f>
        <v>1.0867871298338831</v>
      </c>
      <c r="F775" s="39">
        <f>IF(Input!$E368,MAX(0,$C775+$B775-Input!$E368),$E775*$D$646/Input!$F$58/24)</f>
        <v>0.36634550532387622</v>
      </c>
      <c r="G775" s="39">
        <f t="shared" si="73"/>
        <v>0.54274319023513695</v>
      </c>
      <c r="H775" s="17"/>
    </row>
    <row r="777" spans="1:8" ht="21" customHeight="1" x14ac:dyDescent="0.3">
      <c r="A777" s="1" t="s">
        <v>768</v>
      </c>
    </row>
    <row r="778" spans="1:8" x14ac:dyDescent="0.25">
      <c r="A778" s="2" t="s">
        <v>350</v>
      </c>
    </row>
    <row r="779" spans="1:8" x14ac:dyDescent="0.25">
      <c r="A779" s="32" t="s">
        <v>769</v>
      </c>
    </row>
    <row r="780" spans="1:8" x14ac:dyDescent="0.25">
      <c r="A780" s="32" t="s">
        <v>770</v>
      </c>
    </row>
    <row r="781" spans="1:8" x14ac:dyDescent="0.25">
      <c r="A781" s="32" t="s">
        <v>771</v>
      </c>
    </row>
    <row r="782" spans="1:8" x14ac:dyDescent="0.25">
      <c r="A782" s="2" t="s">
        <v>393</v>
      </c>
    </row>
    <row r="784" spans="1:8" x14ac:dyDescent="0.25">
      <c r="B784" s="15" t="s">
        <v>331</v>
      </c>
      <c r="C784" s="15" t="s">
        <v>332</v>
      </c>
      <c r="D784" s="15" t="s">
        <v>328</v>
      </c>
    </row>
    <row r="785" spans="1:37" x14ac:dyDescent="0.25">
      <c r="A785" s="4" t="s">
        <v>139</v>
      </c>
      <c r="B785" s="41">
        <f>$G$767</f>
        <v>0.89078431372548994</v>
      </c>
      <c r="C785" s="41">
        <f>$F$767</f>
        <v>9.1671826625387309E-2</v>
      </c>
      <c r="D785" s="41">
        <f>$D$767</f>
        <v>1.7543859649122803E-2</v>
      </c>
      <c r="E785" s="17"/>
    </row>
    <row r="786" spans="1:37" x14ac:dyDescent="0.25">
      <c r="A786" s="4" t="s">
        <v>140</v>
      </c>
      <c r="B786" s="41">
        <f>$G$768</f>
        <v>0.66396920334794196</v>
      </c>
      <c r="C786" s="41">
        <f>$F$768</f>
        <v>0.27067794897237263</v>
      </c>
      <c r="D786" s="41">
        <f>$D$768</f>
        <v>6.5352847679685369E-2</v>
      </c>
      <c r="E786" s="17"/>
    </row>
    <row r="787" spans="1:37" x14ac:dyDescent="0.25">
      <c r="A787" s="4" t="s">
        <v>141</v>
      </c>
      <c r="B787" s="41">
        <f>$G$769</f>
        <v>0.66396920334794196</v>
      </c>
      <c r="C787" s="41">
        <f>$F$769</f>
        <v>0.27067794897237263</v>
      </c>
      <c r="D787" s="41">
        <f>$D$769</f>
        <v>6.5352847679685369E-2</v>
      </c>
      <c r="E787" s="17"/>
    </row>
    <row r="788" spans="1:37" x14ac:dyDescent="0.25">
      <c r="A788" s="4" t="s">
        <v>142</v>
      </c>
      <c r="B788" s="41">
        <f>$G$770</f>
        <v>0.54274319023513695</v>
      </c>
      <c r="C788" s="41">
        <f>$F$770</f>
        <v>0.36634550532387622</v>
      </c>
      <c r="D788" s="41">
        <f>$D$770</f>
        <v>9.0911304440986815E-2</v>
      </c>
      <c r="E788" s="17"/>
    </row>
    <row r="789" spans="1:37" x14ac:dyDescent="0.25">
      <c r="A789" s="4" t="s">
        <v>143</v>
      </c>
      <c r="B789" s="41">
        <f>$G$771</f>
        <v>0.54274319023513695</v>
      </c>
      <c r="C789" s="41">
        <f>$F$771</f>
        <v>0.36634550532387622</v>
      </c>
      <c r="D789" s="41">
        <f>$D$771</f>
        <v>9.0911304440986815E-2</v>
      </c>
      <c r="E789" s="17"/>
    </row>
    <row r="790" spans="1:37" x14ac:dyDescent="0.25">
      <c r="A790" s="4" t="s">
        <v>148</v>
      </c>
      <c r="B790" s="41">
        <f>$G$772</f>
        <v>2.9452054794520621E-2</v>
      </c>
      <c r="C790" s="41">
        <f>$F$772</f>
        <v>0.34783105022831046</v>
      </c>
      <c r="D790" s="41">
        <f>$D$772</f>
        <v>0.62271689497716898</v>
      </c>
      <c r="E790" s="17"/>
    </row>
    <row r="791" spans="1:37" x14ac:dyDescent="0.25">
      <c r="A791" s="4" t="s">
        <v>144</v>
      </c>
      <c r="B791" s="41">
        <f>$G$773</f>
        <v>0.54274319023513695</v>
      </c>
      <c r="C791" s="41">
        <f>$F$773</f>
        <v>0.36634550532387622</v>
      </c>
      <c r="D791" s="41">
        <f>$D$773</f>
        <v>9.0911304440986815E-2</v>
      </c>
      <c r="E791" s="17"/>
    </row>
    <row r="792" spans="1:37" x14ac:dyDescent="0.25">
      <c r="A792" s="4" t="s">
        <v>145</v>
      </c>
      <c r="B792" s="41">
        <f>$G$774</f>
        <v>0.54274319023513695</v>
      </c>
      <c r="C792" s="41">
        <f>$F$774</f>
        <v>0.36634550532387622</v>
      </c>
      <c r="D792" s="41">
        <f>$D$774</f>
        <v>9.0911304440986815E-2</v>
      </c>
      <c r="E792" s="17"/>
    </row>
    <row r="793" spans="1:37" x14ac:dyDescent="0.25">
      <c r="A793" s="4" t="s">
        <v>146</v>
      </c>
      <c r="B793" s="41">
        <f>$G$775</f>
        <v>0.54274319023513695</v>
      </c>
      <c r="C793" s="41">
        <f>$F$775</f>
        <v>0.36634550532387622</v>
      </c>
      <c r="D793" s="41">
        <f>$D$775</f>
        <v>9.0911304440986815E-2</v>
      </c>
      <c r="E793" s="17"/>
    </row>
    <row r="795" spans="1:37" ht="21" customHeight="1" x14ac:dyDescent="0.3">
      <c r="A795" s="1" t="s">
        <v>772</v>
      </c>
    </row>
    <row r="796" spans="1:37" x14ac:dyDescent="0.25">
      <c r="A796" s="2" t="s">
        <v>350</v>
      </c>
    </row>
    <row r="797" spans="1:37" x14ac:dyDescent="0.25">
      <c r="A797" s="32" t="s">
        <v>773</v>
      </c>
    </row>
    <row r="798" spans="1:37" x14ac:dyDescent="0.25">
      <c r="A798" s="2" t="s">
        <v>623</v>
      </c>
    </row>
    <row r="800" spans="1:37" x14ac:dyDescent="0.25">
      <c r="B800" s="29" t="s">
        <v>139</v>
      </c>
      <c r="C800" s="15" t="s">
        <v>331</v>
      </c>
      <c r="D800" s="15" t="s">
        <v>332</v>
      </c>
      <c r="E800" s="15" t="s">
        <v>328</v>
      </c>
      <c r="F800" s="29" t="s">
        <v>140</v>
      </c>
      <c r="G800" s="15" t="s">
        <v>331</v>
      </c>
      <c r="H800" s="15" t="s">
        <v>332</v>
      </c>
      <c r="I800" s="15" t="s">
        <v>328</v>
      </c>
      <c r="J800" s="29" t="s">
        <v>141</v>
      </c>
      <c r="K800" s="15" t="s">
        <v>331</v>
      </c>
      <c r="L800" s="15" t="s">
        <v>332</v>
      </c>
      <c r="M800" s="15" t="s">
        <v>328</v>
      </c>
      <c r="N800" s="29" t="s">
        <v>142</v>
      </c>
      <c r="O800" s="15" t="s">
        <v>331</v>
      </c>
      <c r="P800" s="15" t="s">
        <v>332</v>
      </c>
      <c r="Q800" s="15" t="s">
        <v>328</v>
      </c>
      <c r="R800" s="29" t="s">
        <v>143</v>
      </c>
      <c r="S800" s="15" t="s">
        <v>331</v>
      </c>
      <c r="T800" s="15" t="s">
        <v>332</v>
      </c>
      <c r="U800" s="15" t="s">
        <v>328</v>
      </c>
      <c r="V800" s="29" t="s">
        <v>148</v>
      </c>
      <c r="W800" s="15" t="s">
        <v>331</v>
      </c>
      <c r="X800" s="15" t="s">
        <v>332</v>
      </c>
      <c r="Y800" s="15" t="s">
        <v>328</v>
      </c>
      <c r="Z800" s="29" t="s">
        <v>144</v>
      </c>
      <c r="AA800" s="15" t="s">
        <v>331</v>
      </c>
      <c r="AB800" s="15" t="s">
        <v>332</v>
      </c>
      <c r="AC800" s="15" t="s">
        <v>328</v>
      </c>
      <c r="AD800" s="29" t="s">
        <v>145</v>
      </c>
      <c r="AE800" s="15" t="s">
        <v>331</v>
      </c>
      <c r="AF800" s="15" t="s">
        <v>332</v>
      </c>
      <c r="AG800" s="15" t="s">
        <v>328</v>
      </c>
      <c r="AH800" s="29" t="s">
        <v>146</v>
      </c>
      <c r="AI800" s="15" t="s">
        <v>331</v>
      </c>
      <c r="AJ800" s="15" t="s">
        <v>332</v>
      </c>
      <c r="AK800" s="15" t="s">
        <v>328</v>
      </c>
    </row>
    <row r="801" spans="1:38" x14ac:dyDescent="0.25">
      <c r="A801" s="4" t="s">
        <v>624</v>
      </c>
      <c r="C801" s="41">
        <f>B$785</f>
        <v>0.89078431372548994</v>
      </c>
      <c r="D801" s="41">
        <f>C$785</f>
        <v>9.1671826625387309E-2</v>
      </c>
      <c r="E801" s="41">
        <f>D$785</f>
        <v>1.7543859649122803E-2</v>
      </c>
      <c r="G801" s="41">
        <f>B$786</f>
        <v>0.66396920334794196</v>
      </c>
      <c r="H801" s="41">
        <f>C$786</f>
        <v>0.27067794897237263</v>
      </c>
      <c r="I801" s="41">
        <f>D$786</f>
        <v>6.5352847679685369E-2</v>
      </c>
      <c r="K801" s="41">
        <f>B$787</f>
        <v>0.66396920334794196</v>
      </c>
      <c r="L801" s="41">
        <f>C$787</f>
        <v>0.27067794897237263</v>
      </c>
      <c r="M801" s="41">
        <f>D$787</f>
        <v>6.5352847679685369E-2</v>
      </c>
      <c r="O801" s="41">
        <f>B$788</f>
        <v>0.54274319023513695</v>
      </c>
      <c r="P801" s="41">
        <f>C$788</f>
        <v>0.36634550532387622</v>
      </c>
      <c r="Q801" s="41">
        <f>D$788</f>
        <v>9.0911304440986815E-2</v>
      </c>
      <c r="S801" s="41">
        <f>B$789</f>
        <v>0.54274319023513695</v>
      </c>
      <c r="T801" s="41">
        <f>C$789</f>
        <v>0.36634550532387622</v>
      </c>
      <c r="U801" s="41">
        <f>D$789</f>
        <v>9.0911304440986815E-2</v>
      </c>
      <c r="W801" s="41">
        <f>B$790</f>
        <v>2.9452054794520621E-2</v>
      </c>
      <c r="X801" s="41">
        <f>C$790</f>
        <v>0.34783105022831046</v>
      </c>
      <c r="Y801" s="41">
        <f>D$790</f>
        <v>0.62271689497716898</v>
      </c>
      <c r="AA801" s="41">
        <f>B$791</f>
        <v>0.54274319023513695</v>
      </c>
      <c r="AB801" s="41">
        <f>C$791</f>
        <v>0.36634550532387622</v>
      </c>
      <c r="AC801" s="41">
        <f>D$791</f>
        <v>9.0911304440986815E-2</v>
      </c>
      <c r="AE801" s="41">
        <f>B$792</f>
        <v>0.54274319023513695</v>
      </c>
      <c r="AF801" s="41">
        <f>C$792</f>
        <v>0.36634550532387622</v>
      </c>
      <c r="AG801" s="41">
        <f>D$792</f>
        <v>9.0911304440986815E-2</v>
      </c>
      <c r="AI801" s="41">
        <f>B$793</f>
        <v>0.54274319023513695</v>
      </c>
      <c r="AJ801" s="41">
        <f>C$793</f>
        <v>0.36634550532387622</v>
      </c>
      <c r="AK801" s="41">
        <f>D$793</f>
        <v>9.0911304440986815E-2</v>
      </c>
      <c r="AL801" s="17"/>
    </row>
    <row r="803" spans="1:38" ht="21" customHeight="1" x14ac:dyDescent="0.3">
      <c r="A803" s="1" t="s">
        <v>774</v>
      </c>
    </row>
    <row r="804" spans="1:38" x14ac:dyDescent="0.25">
      <c r="A804" s="2" t="s">
        <v>350</v>
      </c>
    </row>
    <row r="805" spans="1:38" x14ac:dyDescent="0.25">
      <c r="A805" s="32" t="s">
        <v>775</v>
      </c>
    </row>
    <row r="806" spans="1:38" x14ac:dyDescent="0.25">
      <c r="A806" s="32" t="s">
        <v>776</v>
      </c>
    </row>
    <row r="807" spans="1:38" x14ac:dyDescent="0.25">
      <c r="A807" s="32" t="s">
        <v>777</v>
      </c>
    </row>
    <row r="808" spans="1:38" x14ac:dyDescent="0.25">
      <c r="A808" s="32" t="s">
        <v>551</v>
      </c>
    </row>
    <row r="809" spans="1:38" x14ac:dyDescent="0.25">
      <c r="A809" s="2" t="s">
        <v>629</v>
      </c>
    </row>
    <row r="811" spans="1:38" x14ac:dyDescent="0.25">
      <c r="B811" s="29" t="s">
        <v>139</v>
      </c>
      <c r="C811" s="15" t="s">
        <v>331</v>
      </c>
      <c r="D811" s="15" t="s">
        <v>332</v>
      </c>
      <c r="E811" s="15" t="s">
        <v>328</v>
      </c>
      <c r="F811" s="29" t="s">
        <v>140</v>
      </c>
      <c r="G811" s="15" t="s">
        <v>331</v>
      </c>
      <c r="H811" s="15" t="s">
        <v>332</v>
      </c>
      <c r="I811" s="15" t="s">
        <v>328</v>
      </c>
      <c r="J811" s="29" t="s">
        <v>141</v>
      </c>
      <c r="K811" s="15" t="s">
        <v>331</v>
      </c>
      <c r="L811" s="15" t="s">
        <v>332</v>
      </c>
      <c r="M811" s="15" t="s">
        <v>328</v>
      </c>
      <c r="N811" s="29" t="s">
        <v>142</v>
      </c>
      <c r="O811" s="15" t="s">
        <v>331</v>
      </c>
      <c r="P811" s="15" t="s">
        <v>332</v>
      </c>
      <c r="Q811" s="15" t="s">
        <v>328</v>
      </c>
      <c r="R811" s="29" t="s">
        <v>143</v>
      </c>
      <c r="S811" s="15" t="s">
        <v>331</v>
      </c>
      <c r="T811" s="15" t="s">
        <v>332</v>
      </c>
      <c r="U811" s="15" t="s">
        <v>328</v>
      </c>
      <c r="V811" s="29" t="s">
        <v>148</v>
      </c>
      <c r="W811" s="15" t="s">
        <v>331</v>
      </c>
      <c r="X811" s="15" t="s">
        <v>332</v>
      </c>
      <c r="Y811" s="15" t="s">
        <v>328</v>
      </c>
      <c r="Z811" s="29" t="s">
        <v>144</v>
      </c>
      <c r="AA811" s="15" t="s">
        <v>331</v>
      </c>
      <c r="AB811" s="15" t="s">
        <v>332</v>
      </c>
      <c r="AC811" s="15" t="s">
        <v>328</v>
      </c>
      <c r="AD811" s="29" t="s">
        <v>145</v>
      </c>
      <c r="AE811" s="15" t="s">
        <v>331</v>
      </c>
      <c r="AF811" s="15" t="s">
        <v>332</v>
      </c>
      <c r="AG811" s="15" t="s">
        <v>328</v>
      </c>
      <c r="AH811" s="29" t="s">
        <v>146</v>
      </c>
      <c r="AI811" s="15" t="s">
        <v>331</v>
      </c>
      <c r="AJ811" s="15" t="s">
        <v>332</v>
      </c>
      <c r="AK811" s="15" t="s">
        <v>328</v>
      </c>
    </row>
    <row r="812" spans="1:38" ht="30" x14ac:dyDescent="0.25">
      <c r="A812" s="4" t="s">
        <v>778</v>
      </c>
      <c r="C812" s="37">
        <f>IF(C646&gt;0,$B749*C801*24*Input!$F58/C646,0)</f>
        <v>33.236064492022763</v>
      </c>
      <c r="D812" s="37">
        <f>IF(D646&gt;0,$B749*D801*24*Input!$F58/D646,0)</f>
        <v>0.28961441157218221</v>
      </c>
      <c r="E812" s="37">
        <f>IF(E646&gt;0,$B749*E801*24*Input!$F58/E646,0)</f>
        <v>3.0959014505048805E-2</v>
      </c>
      <c r="G812" s="37">
        <f>IF(C646&gt;0,$B749*G801*24*Input!$F58/C646,0)</f>
        <v>24.773363117381649</v>
      </c>
      <c r="H812" s="37">
        <f>IF(D646&gt;0,$B749*H801*24*Input!$F58/D646,0)</f>
        <v>0.85513988106231498</v>
      </c>
      <c r="I812" s="37">
        <f>IF(E646&gt;0,$B749*I801*24*Input!$F58/E646,0)</f>
        <v>0.11532580627791263</v>
      </c>
      <c r="K812" s="37">
        <f>IF(C646&gt;0,$B749*K801*24*Input!$F58/C646,0)</f>
        <v>24.773363117381649</v>
      </c>
      <c r="L812" s="37">
        <f>IF(D646&gt;0,$B749*L801*24*Input!$F58/D646,0)</f>
        <v>0.85513988106231498</v>
      </c>
      <c r="M812" s="37">
        <f>IF(E646&gt;0,$B749*M801*24*Input!$F58/E646,0)</f>
        <v>0.11532580627791263</v>
      </c>
      <c r="O812" s="37">
        <f>IF(C646&gt;0,$B749*O801*24*Input!$F58/C646,0)</f>
        <v>20.250297850238191</v>
      </c>
      <c r="P812" s="37">
        <f>IF(D646&gt;0,$B749*P801*24*Input!$F58/D646,0)</f>
        <v>1.1573778101974184</v>
      </c>
      <c r="Q812" s="37">
        <f>IF(E646&gt;0,$B749*Q801*24*Input!$F58/E646,0)</f>
        <v>0.1604278903931009</v>
      </c>
      <c r="S812" s="37">
        <f>IF(C646&gt;0,$B749*S801*24*Input!$F58/C646,0)</f>
        <v>20.250297850238191</v>
      </c>
      <c r="T812" s="37">
        <f>IF(D646&gt;0,$B749*T801*24*Input!$F58/D646,0)</f>
        <v>1.1573778101974184</v>
      </c>
      <c r="U812" s="37">
        <f>IF(E646&gt;0,$B749*U801*24*Input!$F58/E646,0)</f>
        <v>0.1604278903931009</v>
      </c>
      <c r="W812" s="37">
        <f>IF(C646&gt;0,$B749*W801*24*Input!$F58/C646,0)</f>
        <v>1.0988859788958192</v>
      </c>
      <c r="X812" s="37">
        <f>IF(D646&gt;0,$B749*X801*24*Input!$F58/D646,0)</f>
        <v>1.0988859788958163</v>
      </c>
      <c r="Y812" s="37">
        <f>IF(E646&gt;0,$B749*Y801*24*Input!$F58/E646,0)</f>
        <v>1.0988859788958165</v>
      </c>
      <c r="AA812" s="37">
        <f>IF(C646&gt;0,$B749*AA801*24*Input!$F58/C646,0)</f>
        <v>20.250297850238191</v>
      </c>
      <c r="AB812" s="37">
        <f>IF(D646&gt;0,$B749*AB801*24*Input!$F58/D646,0)</f>
        <v>1.1573778101974184</v>
      </c>
      <c r="AC812" s="37">
        <f>IF(E646&gt;0,$B749*AC801*24*Input!$F58/E646,0)</f>
        <v>0.1604278903931009</v>
      </c>
      <c r="AE812" s="37">
        <f>IF(C646&gt;0,$B749*AE801*24*Input!$F58/C646,0)</f>
        <v>20.250297850238191</v>
      </c>
      <c r="AF812" s="37">
        <f>IF(D646&gt;0,$B749*AF801*24*Input!$F58/D646,0)</f>
        <v>1.1573778101974184</v>
      </c>
      <c r="AG812" s="37">
        <f>IF(E646&gt;0,$B749*AG801*24*Input!$F58/E646,0)</f>
        <v>0.1604278903931009</v>
      </c>
      <c r="AI812" s="37">
        <f>IF(C646&gt;0,$B749*AI801*24*Input!$F58/C646,0)</f>
        <v>20.250297850238191</v>
      </c>
      <c r="AJ812" s="37">
        <f>IF(D646&gt;0,$B749*AJ801*24*Input!$F58/D646,0)</f>
        <v>1.1573778101974184</v>
      </c>
      <c r="AK812" s="37">
        <f>IF(E646&gt;0,$B749*AK801*24*Input!$F58/E646,0)</f>
        <v>0.1604278903931009</v>
      </c>
      <c r="AL812" s="17"/>
    </row>
    <row r="814" spans="1:38" ht="21" customHeight="1" x14ac:dyDescent="0.3">
      <c r="A814" s="1" t="s">
        <v>779</v>
      </c>
    </row>
    <row r="815" spans="1:38" x14ac:dyDescent="0.25">
      <c r="A815" s="2" t="s">
        <v>350</v>
      </c>
    </row>
    <row r="816" spans="1:38" x14ac:dyDescent="0.25">
      <c r="A816" s="32" t="s">
        <v>780</v>
      </c>
    </row>
    <row r="817" spans="1:11" x14ac:dyDescent="0.25">
      <c r="A817" s="32" t="s">
        <v>781</v>
      </c>
    </row>
    <row r="818" spans="1:11" x14ac:dyDescent="0.25">
      <c r="A818" s="2" t="s">
        <v>363</v>
      </c>
    </row>
    <row r="820" spans="1:11" x14ac:dyDescent="0.25">
      <c r="B820" s="15" t="s">
        <v>139</v>
      </c>
      <c r="C820" s="15" t="s">
        <v>140</v>
      </c>
      <c r="D820" s="15" t="s">
        <v>141</v>
      </c>
      <c r="E820" s="15" t="s">
        <v>142</v>
      </c>
      <c r="F820" s="15" t="s">
        <v>143</v>
      </c>
      <c r="G820" s="15" t="s">
        <v>148</v>
      </c>
      <c r="H820" s="15" t="s">
        <v>144</v>
      </c>
      <c r="I820" s="15" t="s">
        <v>145</v>
      </c>
      <c r="J820" s="15" t="s">
        <v>146</v>
      </c>
    </row>
    <row r="821" spans="1:11" x14ac:dyDescent="0.25">
      <c r="A821" s="4" t="s">
        <v>215</v>
      </c>
      <c r="B821" s="37">
        <f>SUMPRODUCT($C$812:$E$812,$B671:$D671)</f>
        <v>1.0991369573062106</v>
      </c>
      <c r="C821" s="37">
        <f>SUMPRODUCT($G$812:$I$812,$B671:$D671)</f>
        <v>1.0996038350186084</v>
      </c>
      <c r="D821" s="37">
        <f>SUMPRODUCT($K$812:$M$812,$B671:$D671)</f>
        <v>1.0996038350186084</v>
      </c>
      <c r="E821" s="37">
        <f>SUMPRODUCT($O$812:$Q$812,$B671:$D671)</f>
        <v>1.0998533389778173</v>
      </c>
      <c r="F821" s="37">
        <f>SUMPRODUCT($S$812:$U$812,$B671:$D671)</f>
        <v>1.0998533389778173</v>
      </c>
      <c r="G821" s="37">
        <f>SUMPRODUCT($W$812:$Y$812,$B671:$D671)</f>
        <v>1.0988859788958167</v>
      </c>
      <c r="H821" s="37">
        <f>SUMPRODUCT($AA$812:$AC$812,$B671:$D671)</f>
        <v>1.0998533389778173</v>
      </c>
      <c r="I821" s="37">
        <f>SUMPRODUCT($AE$812:$AG$812,$B671:$D671)</f>
        <v>1.0998533389778173</v>
      </c>
      <c r="J821" s="37">
        <f>SUMPRODUCT($AI$812:$AK$812,$B671:$D671)</f>
        <v>1.0998533389778173</v>
      </c>
      <c r="K821" s="17"/>
    </row>
    <row r="822" spans="1:11" x14ac:dyDescent="0.25">
      <c r="A822" s="4" t="s">
        <v>216</v>
      </c>
      <c r="B822" s="37">
        <f>SUMPRODUCT($C$812:$E$812,$B672:$D672)</f>
        <v>1.7148158788196517</v>
      </c>
      <c r="C822" s="37">
        <f>SUMPRODUCT($G$812:$I$812,$B672:$D672)</f>
        <v>1.4116644199798491</v>
      </c>
      <c r="D822" s="37">
        <f>SUMPRODUCT($K$812:$M$812,$B672:$D672)</f>
        <v>1.4116644199798491</v>
      </c>
      <c r="E822" s="37">
        <f>SUMPRODUCT($O$812:$Q$812,$B672:$D672)</f>
        <v>1.2496463988283717</v>
      </c>
      <c r="F822" s="37">
        <f>SUMPRODUCT($S$812:$U$812,$B672:$D672)</f>
        <v>1.2496463988283717</v>
      </c>
      <c r="G822" s="37">
        <f>SUMPRODUCT($W$812:$Y$812,$B672:$D672)</f>
        <v>1.0988859788958165</v>
      </c>
      <c r="H822" s="37">
        <f>SUMPRODUCT($AA$812:$AC$812,$B672:$D672)</f>
        <v>1.2496463988283717</v>
      </c>
      <c r="I822" s="37">
        <f>SUMPRODUCT($AE$812:$AG$812,$B672:$D672)</f>
        <v>1.2496463988283717</v>
      </c>
      <c r="J822" s="37">
        <f>SUMPRODUCT($AI$812:$AK$812,$B672:$D672)</f>
        <v>1.2496463988283717</v>
      </c>
      <c r="K822" s="17"/>
    </row>
    <row r="823" spans="1:11" x14ac:dyDescent="0.25">
      <c r="A823" s="4" t="s">
        <v>217</v>
      </c>
      <c r="B823" s="37">
        <f>SUMPRODUCT($C$812:$E$812,$B673:$D673)</f>
        <v>3.2571913797780327</v>
      </c>
      <c r="C823" s="37">
        <f>SUMPRODUCT($G$812:$I$812,$B673:$D673)</f>
        <v>2.601270890676902</v>
      </c>
      <c r="D823" s="37">
        <f>SUMPRODUCT($K$812:$M$812,$B673:$D673)</f>
        <v>2.601270890676902</v>
      </c>
      <c r="E823" s="37">
        <f>SUMPRODUCT($O$812:$Q$812,$B673:$D673)</f>
        <v>2.2507053355617535</v>
      </c>
      <c r="F823" s="37">
        <f>SUMPRODUCT($S$812:$U$812,$B673:$D673)</f>
        <v>2.2507053355617535</v>
      </c>
      <c r="G823" s="37">
        <f>SUMPRODUCT($W$812:$Y$812,$B673:$D673)</f>
        <v>1.0988859788958167</v>
      </c>
      <c r="H823" s="37">
        <f>SUMPRODUCT($AA$812:$AC$812,$B673:$D673)</f>
        <v>2.2507053355617535</v>
      </c>
      <c r="I823" s="37">
        <f>SUMPRODUCT($AE$812:$AG$812,$B673:$D673)</f>
        <v>2.2507053355617535</v>
      </c>
      <c r="J823" s="37">
        <f>SUMPRODUCT($AI$812:$AK$812,$B673:$D673)</f>
        <v>2.2507053355617535</v>
      </c>
      <c r="K823" s="17"/>
    </row>
    <row r="824" spans="1:11" x14ac:dyDescent="0.25">
      <c r="A824" s="4" t="s">
        <v>218</v>
      </c>
      <c r="B824" s="37">
        <f>SUMPRODUCT($C$812:$E$812,$B674:$D674)</f>
        <v>0.73267945389997036</v>
      </c>
      <c r="C824" s="37">
        <f>SUMPRODUCT($G$812:$I$812,$B674:$D674)</f>
        <v>0.9472499045946593</v>
      </c>
      <c r="D824" s="37">
        <f>SUMPRODUCT($K$812:$M$812,$B674:$D674)</f>
        <v>0.9472499045946593</v>
      </c>
      <c r="E824" s="37">
        <f>SUMPRODUCT($O$812:$Q$812,$B674:$D674)</f>
        <v>1.0619251979513524</v>
      </c>
      <c r="F824" s="37">
        <f>SUMPRODUCT($S$812:$U$812,$B674:$D674)</f>
        <v>1.0619251979513524</v>
      </c>
      <c r="G824" s="37">
        <f>SUMPRODUCT($W$812:$Y$812,$B674:$D674)</f>
        <v>1.0988859788958165</v>
      </c>
      <c r="H824" s="37">
        <f>SUMPRODUCT($AA$812:$AC$812,$B674:$D674)</f>
        <v>1.0619251979513524</v>
      </c>
      <c r="I824" s="37">
        <f>SUMPRODUCT($AE$812:$AG$812,$B674:$D674)</f>
        <v>1.0619251979513524</v>
      </c>
      <c r="J824" s="37">
        <f>SUMPRODUCT($AI$812:$AK$812,$B674:$D674)</f>
        <v>1.0619251979513524</v>
      </c>
      <c r="K824" s="17"/>
    </row>
    <row r="825" spans="1:11" x14ac:dyDescent="0.25">
      <c r="A825" s="4" t="s">
        <v>219</v>
      </c>
      <c r="B825" s="37">
        <f>SUMPRODUCT($C$812:$E$812,$B675:$D675)</f>
        <v>33.236064492022763</v>
      </c>
      <c r="C825" s="37">
        <f>SUMPRODUCT($G$812:$I$812,$B675:$D675)</f>
        <v>24.773363117381649</v>
      </c>
      <c r="D825" s="37">
        <f>SUMPRODUCT($K$812:$M$812,$B675:$D675)</f>
        <v>24.773363117381649</v>
      </c>
      <c r="E825" s="37">
        <f>SUMPRODUCT($O$812:$Q$812,$B675:$D675)</f>
        <v>20.250297850238191</v>
      </c>
      <c r="F825" s="37">
        <f>SUMPRODUCT($S$812:$U$812,$B675:$D675)</f>
        <v>20.250297850238191</v>
      </c>
      <c r="G825" s="37">
        <f>SUMPRODUCT($W$812:$Y$812,$B675:$D675)</f>
        <v>1.0988859788958192</v>
      </c>
      <c r="H825" s="37">
        <f>SUMPRODUCT($AA$812:$AC$812,$B675:$D675)</f>
        <v>20.250297850238191</v>
      </c>
      <c r="I825" s="37">
        <f>SUMPRODUCT($AE$812:$AG$812,$B675:$D675)</f>
        <v>20.250297850238191</v>
      </c>
      <c r="J825" s="37">
        <f>SUMPRODUCT($AI$812:$AK$812,$B675:$D675)</f>
        <v>20.250297850238191</v>
      </c>
      <c r="K825" s="17"/>
    </row>
    <row r="827" spans="1:11" ht="21" customHeight="1" x14ac:dyDescent="0.3">
      <c r="A827" s="1" t="s">
        <v>782</v>
      </c>
    </row>
    <row r="828" spans="1:11" x14ac:dyDescent="0.25">
      <c r="A828" s="2" t="s">
        <v>350</v>
      </c>
    </row>
    <row r="829" spans="1:11" x14ac:dyDescent="0.25">
      <c r="A829" s="32" t="s">
        <v>780</v>
      </c>
    </row>
    <row r="830" spans="1:11" x14ac:dyDescent="0.25">
      <c r="A830" s="32" t="s">
        <v>783</v>
      </c>
    </row>
    <row r="831" spans="1:11" x14ac:dyDescent="0.25">
      <c r="A831" s="2" t="s">
        <v>363</v>
      </c>
    </row>
    <row r="833" spans="1:11" x14ac:dyDescent="0.25">
      <c r="B833" s="15" t="s">
        <v>139</v>
      </c>
      <c r="C833" s="15" t="s">
        <v>140</v>
      </c>
      <c r="D833" s="15" t="s">
        <v>141</v>
      </c>
      <c r="E833" s="15" t="s">
        <v>142</v>
      </c>
      <c r="F833" s="15" t="s">
        <v>143</v>
      </c>
      <c r="G833" s="15" t="s">
        <v>148</v>
      </c>
      <c r="H833" s="15" t="s">
        <v>144</v>
      </c>
      <c r="I833" s="15" t="s">
        <v>145</v>
      </c>
      <c r="J833" s="15" t="s">
        <v>146</v>
      </c>
    </row>
    <row r="834" spans="1:11" x14ac:dyDescent="0.25">
      <c r="A834" s="4" t="s">
        <v>219</v>
      </c>
      <c r="B834" s="37">
        <f>SUMPRODUCT($C$812:$E$812,$B680:$D680)</f>
        <v>0.28961441157218221</v>
      </c>
      <c r="C834" s="37">
        <f>SUMPRODUCT($G$812:$I$812,$B680:$D680)</f>
        <v>0.85513988106231498</v>
      </c>
      <c r="D834" s="37">
        <f>SUMPRODUCT($K$812:$M$812,$B680:$D680)</f>
        <v>0.85513988106231498</v>
      </c>
      <c r="E834" s="37">
        <f>SUMPRODUCT($O$812:$Q$812,$B680:$D680)</f>
        <v>1.1573778101974184</v>
      </c>
      <c r="F834" s="37">
        <f>SUMPRODUCT($S$812:$U$812,$B680:$D680)</f>
        <v>1.1573778101974184</v>
      </c>
      <c r="G834" s="37">
        <f>SUMPRODUCT($W$812:$Y$812,$B680:$D680)</f>
        <v>1.0988859788958163</v>
      </c>
      <c r="H834" s="37">
        <f>SUMPRODUCT($AA$812:$AC$812,$B680:$D680)</f>
        <v>1.1573778101974184</v>
      </c>
      <c r="I834" s="37">
        <f>SUMPRODUCT($AE$812:$AG$812,$B680:$D680)</f>
        <v>1.1573778101974184</v>
      </c>
      <c r="J834" s="37">
        <f>SUMPRODUCT($AI$812:$AK$812,$B680:$D680)</f>
        <v>1.1573778101974184</v>
      </c>
      <c r="K834" s="17"/>
    </row>
    <row r="836" spans="1:11" ht="21" customHeight="1" x14ac:dyDescent="0.3">
      <c r="A836" s="1" t="s">
        <v>784</v>
      </c>
    </row>
    <row r="837" spans="1:11" x14ac:dyDescent="0.25">
      <c r="A837" s="2" t="s">
        <v>350</v>
      </c>
    </row>
    <row r="838" spans="1:11" x14ac:dyDescent="0.25">
      <c r="A838" s="32" t="s">
        <v>780</v>
      </c>
    </row>
    <row r="839" spans="1:11" x14ac:dyDescent="0.25">
      <c r="A839" s="32" t="s">
        <v>785</v>
      </c>
    </row>
    <row r="840" spans="1:11" x14ac:dyDescent="0.25">
      <c r="A840" s="2" t="s">
        <v>363</v>
      </c>
    </row>
    <row r="842" spans="1:11" x14ac:dyDescent="0.25">
      <c r="B842" s="15" t="s">
        <v>139</v>
      </c>
      <c r="C842" s="15" t="s">
        <v>140</v>
      </c>
      <c r="D842" s="15" t="s">
        <v>141</v>
      </c>
      <c r="E842" s="15" t="s">
        <v>142</v>
      </c>
      <c r="F842" s="15" t="s">
        <v>143</v>
      </c>
      <c r="G842" s="15" t="s">
        <v>148</v>
      </c>
      <c r="H842" s="15" t="s">
        <v>144</v>
      </c>
      <c r="I842" s="15" t="s">
        <v>145</v>
      </c>
      <c r="J842" s="15" t="s">
        <v>146</v>
      </c>
    </row>
    <row r="843" spans="1:11" x14ac:dyDescent="0.25">
      <c r="A843" s="4" t="s">
        <v>219</v>
      </c>
      <c r="B843" s="37">
        <f>SUMPRODUCT($C$812:$E$812,$B685:$D685)</f>
        <v>3.0959014505048805E-2</v>
      </c>
      <c r="C843" s="37">
        <f>SUMPRODUCT($G$812:$I$812,$B685:$D685)</f>
        <v>0.11532580627791263</v>
      </c>
      <c r="D843" s="37">
        <f>SUMPRODUCT($K$812:$M$812,$B685:$D685)</f>
        <v>0.11532580627791263</v>
      </c>
      <c r="E843" s="37">
        <f>SUMPRODUCT($O$812:$Q$812,$B685:$D685)</f>
        <v>0.1604278903931009</v>
      </c>
      <c r="F843" s="37">
        <f>SUMPRODUCT($S$812:$U$812,$B685:$D685)</f>
        <v>0.1604278903931009</v>
      </c>
      <c r="G843" s="37">
        <f>SUMPRODUCT($W$812:$Y$812,$B685:$D685)</f>
        <v>1.0988859788958165</v>
      </c>
      <c r="H843" s="37">
        <f>SUMPRODUCT($AA$812:$AC$812,$B685:$D685)</f>
        <v>0.1604278903931009</v>
      </c>
      <c r="I843" s="37">
        <f>SUMPRODUCT($AE$812:$AG$812,$B685:$D685)</f>
        <v>0.1604278903931009</v>
      </c>
      <c r="J843" s="37">
        <f>SUMPRODUCT($AI$812:$AK$812,$B685:$D685)</f>
        <v>0.1604278903931009</v>
      </c>
      <c r="K843" s="17"/>
    </row>
    <row r="845" spans="1:11" ht="21" customHeight="1" x14ac:dyDescent="0.3">
      <c r="A845" s="1" t="s">
        <v>786</v>
      </c>
    </row>
    <row r="846" spans="1:11" x14ac:dyDescent="0.25">
      <c r="A846" s="2" t="s">
        <v>350</v>
      </c>
    </row>
    <row r="847" spans="1:11" x14ac:dyDescent="0.25">
      <c r="A847" s="32" t="s">
        <v>787</v>
      </c>
    </row>
    <row r="848" spans="1:11" x14ac:dyDescent="0.25">
      <c r="A848" s="32" t="s">
        <v>788</v>
      </c>
    </row>
    <row r="849" spans="1:11" x14ac:dyDescent="0.25">
      <c r="A849" s="2" t="s">
        <v>368</v>
      </c>
    </row>
    <row r="851" spans="1:11" x14ac:dyDescent="0.25">
      <c r="B851" s="15" t="s">
        <v>139</v>
      </c>
      <c r="C851" s="15" t="s">
        <v>140</v>
      </c>
      <c r="D851" s="15" t="s">
        <v>141</v>
      </c>
      <c r="E851" s="15" t="s">
        <v>142</v>
      </c>
      <c r="F851" s="15" t="s">
        <v>143</v>
      </c>
      <c r="G851" s="15" t="s">
        <v>148</v>
      </c>
      <c r="H851" s="15" t="s">
        <v>144</v>
      </c>
      <c r="I851" s="15" t="s">
        <v>145</v>
      </c>
      <c r="J851" s="15" t="s">
        <v>146</v>
      </c>
    </row>
    <row r="852" spans="1:11" x14ac:dyDescent="0.25">
      <c r="A852" s="4" t="s">
        <v>171</v>
      </c>
      <c r="B852" s="38">
        <f>$B$581</f>
        <v>1.9487074219888729</v>
      </c>
      <c r="C852" s="38">
        <f>$C$581</f>
        <v>1.8594141272502376</v>
      </c>
      <c r="D852" s="38">
        <f>$D$581</f>
        <v>1.8594141272502376</v>
      </c>
      <c r="E852" s="38">
        <f>$E$581</f>
        <v>1.8071999457957999</v>
      </c>
      <c r="F852" s="38">
        <f>$F$581</f>
        <v>1.8071999457957999</v>
      </c>
      <c r="G852" s="38">
        <f>$G$581</f>
        <v>1.4035668034517015</v>
      </c>
      <c r="H852" s="38">
        <f>$H$581</f>
        <v>1.8071999457957999</v>
      </c>
      <c r="I852" s="38">
        <f>$I$581</f>
        <v>1.8071999457957999</v>
      </c>
      <c r="J852" s="38">
        <f>$J$581</f>
        <v>1.8071999457957999</v>
      </c>
      <c r="K852" s="17"/>
    </row>
    <row r="853" spans="1:11" x14ac:dyDescent="0.25">
      <c r="A853" s="4" t="s">
        <v>172</v>
      </c>
      <c r="B853" s="38">
        <f>$B$582</f>
        <v>2.3318317398497319</v>
      </c>
      <c r="C853" s="38">
        <f>$C$582</f>
        <v>2.2125134785870282</v>
      </c>
      <c r="D853" s="38">
        <f>$D$582</f>
        <v>2.2125134785870282</v>
      </c>
      <c r="E853" s="38">
        <f>$E$582</f>
        <v>2.1429559386130168</v>
      </c>
      <c r="F853" s="38">
        <f>$F$582</f>
        <v>2.1429559386130168</v>
      </c>
      <c r="G853" s="38">
        <f>$G$582</f>
        <v>1.5754629644109666</v>
      </c>
      <c r="H853" s="38">
        <f>$H$582</f>
        <v>2.1429559386130168</v>
      </c>
      <c r="I853" s="38">
        <f>$I$582</f>
        <v>2.1429559386130168</v>
      </c>
      <c r="J853" s="38">
        <f>$J$582</f>
        <v>2.1429559386130168</v>
      </c>
      <c r="K853" s="17"/>
    </row>
    <row r="854" spans="1:11" x14ac:dyDescent="0.25">
      <c r="A854" s="4" t="s">
        <v>213</v>
      </c>
      <c r="B854" s="38">
        <f>$B$583</f>
        <v>0.10834068722323729</v>
      </c>
      <c r="C854" s="38">
        <f>$C$583</f>
        <v>0.21113641484422974</v>
      </c>
      <c r="D854" s="38">
        <f>$D$583</f>
        <v>0.21113641484422974</v>
      </c>
      <c r="E854" s="38">
        <f>$E$583</f>
        <v>0.26922495763584919</v>
      </c>
      <c r="F854" s="38">
        <f>$F$583</f>
        <v>0.26922495763584919</v>
      </c>
      <c r="G854" s="38">
        <f>$G$583</f>
        <v>1.0000000000000002</v>
      </c>
      <c r="H854" s="38">
        <f>$H$583</f>
        <v>0.26922495763584919</v>
      </c>
      <c r="I854" s="38">
        <f>$I$583</f>
        <v>0.26922495763584919</v>
      </c>
      <c r="J854" s="38">
        <f>$J$583</f>
        <v>0.26922495763584919</v>
      </c>
      <c r="K854" s="17"/>
    </row>
    <row r="855" spans="1:11" x14ac:dyDescent="0.25">
      <c r="A855" s="4" t="s">
        <v>173</v>
      </c>
      <c r="B855" s="38">
        <f>$B$584</f>
        <v>1.7481537090362345</v>
      </c>
      <c r="C855" s="38">
        <f>$C$584</f>
        <v>1.776040266154169</v>
      </c>
      <c r="D855" s="38">
        <f>$D$584</f>
        <v>1.776040266154169</v>
      </c>
      <c r="E855" s="38">
        <f>$E$584</f>
        <v>1.7963005577990407</v>
      </c>
      <c r="F855" s="38">
        <f>$F$584</f>
        <v>1.7963005577990407</v>
      </c>
      <c r="G855" s="38">
        <f>$G$584</f>
        <v>1.4015395093646101</v>
      </c>
      <c r="H855" s="38">
        <f>$H$584</f>
        <v>1.7963005577990407</v>
      </c>
      <c r="I855" s="38">
        <f>$I$584</f>
        <v>1.7963005577990407</v>
      </c>
      <c r="J855" s="38">
        <f>$J$584</f>
        <v>1.7963005577990407</v>
      </c>
      <c r="K855" s="17"/>
    </row>
    <row r="856" spans="1:11" x14ac:dyDescent="0.25">
      <c r="A856" s="4" t="s">
        <v>174</v>
      </c>
      <c r="B856" s="38">
        <f>$B$585</f>
        <v>1.827380153356015</v>
      </c>
      <c r="C856" s="38">
        <f>$C$585</f>
        <v>1.8232440005138071</v>
      </c>
      <c r="D856" s="38">
        <f>$D$585</f>
        <v>1.8232440005138071</v>
      </c>
      <c r="E856" s="38">
        <f>$E$585</f>
        <v>1.8244963374026348</v>
      </c>
      <c r="F856" s="38">
        <f>$F$585</f>
        <v>1.8244963374026348</v>
      </c>
      <c r="G856" s="38">
        <f>$G$585</f>
        <v>1.322192263929832</v>
      </c>
      <c r="H856" s="38">
        <f>$H$585</f>
        <v>1.8244963374026348</v>
      </c>
      <c r="I856" s="38">
        <f>$I$585</f>
        <v>1.8244963374026348</v>
      </c>
      <c r="J856" s="38">
        <f>$J$585</f>
        <v>1.8244963374026348</v>
      </c>
      <c r="K856" s="17"/>
    </row>
    <row r="857" spans="1:11" x14ac:dyDescent="0.25">
      <c r="A857" s="4" t="s">
        <v>214</v>
      </c>
      <c r="B857" s="38">
        <f>$B$586</f>
        <v>5.8824140854667917E-2</v>
      </c>
      <c r="C857" s="38">
        <f>$C$586</f>
        <v>0.15268129572454373</v>
      </c>
      <c r="D857" s="38">
        <f>$D$586</f>
        <v>0.15268129572454373</v>
      </c>
      <c r="E857" s="38">
        <f>$E$586</f>
        <v>0.20471973430890536</v>
      </c>
      <c r="F857" s="38">
        <f>$F$586</f>
        <v>0.20471973430890536</v>
      </c>
      <c r="G857" s="38">
        <f>$G$586</f>
        <v>1.0038653301410945</v>
      </c>
      <c r="H857" s="38">
        <f>$H$586</f>
        <v>0.20471973430890536</v>
      </c>
      <c r="I857" s="38">
        <f>$I$586</f>
        <v>0.20471973430890536</v>
      </c>
      <c r="J857" s="38">
        <f>$J$586</f>
        <v>0.20471973430890536</v>
      </c>
      <c r="K857" s="17"/>
    </row>
    <row r="858" spans="1:11" x14ac:dyDescent="0.25">
      <c r="A858" s="4" t="s">
        <v>175</v>
      </c>
      <c r="B858" s="38">
        <f>$B$587</f>
        <v>1.525436064727081</v>
      </c>
      <c r="C858" s="38">
        <f>$C$587</f>
        <v>1.5027409590062473</v>
      </c>
      <c r="D858" s="38">
        <f>$D$587</f>
        <v>1.5027409590062473</v>
      </c>
      <c r="E858" s="38">
        <f>$E$587</f>
        <v>1.4924310039944173</v>
      </c>
      <c r="F858" s="38">
        <f>$F$587</f>
        <v>1.4924310039944173</v>
      </c>
      <c r="G858" s="38">
        <f>$G$587</f>
        <v>1</v>
      </c>
      <c r="H858" s="38">
        <f>$H$587</f>
        <v>1.4924310039944173</v>
      </c>
      <c r="I858" s="38">
        <f>$I$587</f>
        <v>1.4924310039944173</v>
      </c>
      <c r="J858" s="38">
        <f>$J$587</f>
        <v>1.4924310039944173</v>
      </c>
      <c r="K858" s="17"/>
    </row>
    <row r="859" spans="1:11" x14ac:dyDescent="0.25">
      <c r="A859" s="4" t="s">
        <v>176</v>
      </c>
      <c r="B859" s="38">
        <f>$B$588</f>
        <v>1.5021202663753193</v>
      </c>
      <c r="C859" s="38">
        <f>$C$588</f>
        <v>1.4828057543107875</v>
      </c>
      <c r="D859" s="38">
        <f>$D$588</f>
        <v>1.4828057543107875</v>
      </c>
      <c r="E859" s="38">
        <f>$E$588</f>
        <v>1.4744521096736229</v>
      </c>
      <c r="F859" s="38">
        <f>$F$588</f>
        <v>1.4744521096736229</v>
      </c>
      <c r="G859" s="38">
        <f>$G$588</f>
        <v>1.0000000000000002</v>
      </c>
      <c r="H859" s="38">
        <f>$H$588</f>
        <v>1.4744521096736229</v>
      </c>
      <c r="I859" s="38">
        <f>$I$588</f>
        <v>1.4744521096736229</v>
      </c>
      <c r="J859" s="38">
        <f>$J$588</f>
        <v>1.4744521096736229</v>
      </c>
      <c r="K859" s="17"/>
    </row>
    <row r="860" spans="1:11" x14ac:dyDescent="0.25">
      <c r="A860" s="4" t="s">
        <v>192</v>
      </c>
      <c r="B860" s="38">
        <f>$B$589</f>
        <v>1.8655243103520625</v>
      </c>
      <c r="C860" s="38">
        <f>$C$589</f>
        <v>1.8526876364482214</v>
      </c>
      <c r="D860" s="38">
        <f>$D$589</f>
        <v>1.8526876364482214</v>
      </c>
      <c r="E860" s="38">
        <f>$E$589</f>
        <v>1.8491893075934436</v>
      </c>
      <c r="F860" s="38">
        <f>$F$589</f>
        <v>1.8491893075934436</v>
      </c>
      <c r="G860" s="38">
        <f>$G$589</f>
        <v>1.2634850782759686</v>
      </c>
      <c r="H860" s="38">
        <f>$H$589</f>
        <v>1.8491893075934436</v>
      </c>
      <c r="I860" s="38">
        <f>$I$589</f>
        <v>1.8491893075934436</v>
      </c>
      <c r="J860" s="38">
        <f>$J$589</f>
        <v>1.8491893075934436</v>
      </c>
      <c r="K860" s="17"/>
    </row>
    <row r="861" spans="1:11" x14ac:dyDescent="0.25">
      <c r="A861" s="4" t="s">
        <v>177</v>
      </c>
      <c r="B861" s="38">
        <f>$B$590</f>
        <v>14.161929623100782</v>
      </c>
      <c r="C861" s="38">
        <f>$C$590</f>
        <v>11.232864305679023</v>
      </c>
      <c r="D861" s="38">
        <f>$D$590</f>
        <v>11.232864305679023</v>
      </c>
      <c r="E861" s="38">
        <f>$E$590</f>
        <v>9.4796041260624424</v>
      </c>
      <c r="F861" s="38">
        <f>$F$590</f>
        <v>9.4796041260624424</v>
      </c>
      <c r="G861" s="38">
        <f>$G$590</f>
        <v>1.4241711693616392</v>
      </c>
      <c r="H861" s="38">
        <f>$H$590</f>
        <v>9.4796041260624424</v>
      </c>
      <c r="I861" s="38">
        <f>$I$590</f>
        <v>9.4796041260624424</v>
      </c>
      <c r="J861" s="38">
        <f>$J$590</f>
        <v>9.4796041260624424</v>
      </c>
      <c r="K861" s="17"/>
    </row>
    <row r="862" spans="1:11" x14ac:dyDescent="0.25">
      <c r="A862" s="4" t="s">
        <v>178</v>
      </c>
      <c r="B862" s="38">
        <f>$B$591</f>
        <v>13.779574972307019</v>
      </c>
      <c r="C862" s="38">
        <f>$C$591</f>
        <v>10.923497537500932</v>
      </c>
      <c r="D862" s="38">
        <f>$D$591</f>
        <v>10.923497537500932</v>
      </c>
      <c r="E862" s="38">
        <f>$E$591</f>
        <v>9.2157463778736339</v>
      </c>
      <c r="F862" s="38">
        <f>$F$591</f>
        <v>9.2157463778736339</v>
      </c>
      <c r="G862" s="38">
        <f>$G$591</f>
        <v>1.3721769453068922</v>
      </c>
      <c r="H862" s="38">
        <f>$H$591</f>
        <v>9.2157463778736339</v>
      </c>
      <c r="I862" s="38">
        <f>$I$591</f>
        <v>9.2157463778736339</v>
      </c>
      <c r="J862" s="38">
        <f>$J$591</f>
        <v>9.2157463778736339</v>
      </c>
      <c r="K862" s="17"/>
    </row>
    <row r="863" spans="1:11" x14ac:dyDescent="0.25">
      <c r="A863" s="4" t="s">
        <v>179</v>
      </c>
      <c r="B863" s="38">
        <f>$B$592</f>
        <v>11.988870026892526</v>
      </c>
      <c r="C863" s="38">
        <f>$C$592</f>
        <v>9.506014127679526</v>
      </c>
      <c r="D863" s="38">
        <f>$D$592</f>
        <v>9.506014127679526</v>
      </c>
      <c r="E863" s="38">
        <f>$E$592</f>
        <v>8.0207378274217209</v>
      </c>
      <c r="F863" s="38">
        <f>$F$592</f>
        <v>8.0207378274217209</v>
      </c>
      <c r="G863" s="38">
        <f>$G$592</f>
        <v>1.198620579126376</v>
      </c>
      <c r="H863" s="38">
        <f>$H$592</f>
        <v>8.0207378274217209</v>
      </c>
      <c r="I863" s="38">
        <f>$I$592</f>
        <v>8.0207378274217209</v>
      </c>
      <c r="J863" s="38">
        <f>$J$592</f>
        <v>8.0207378274217209</v>
      </c>
      <c r="K863" s="17"/>
    </row>
    <row r="864" spans="1:11" x14ac:dyDescent="0.25">
      <c r="A864" s="4" t="s">
        <v>180</v>
      </c>
      <c r="B864" s="38">
        <f>$B$593</f>
        <v>11.891377701675799</v>
      </c>
      <c r="C864" s="38">
        <f>$C$593</f>
        <v>9.4287121451931295</v>
      </c>
      <c r="D864" s="38">
        <f>$D$593</f>
        <v>9.4287121451931295</v>
      </c>
      <c r="E864" s="38">
        <f>$E$593</f>
        <v>7.9555139673752748</v>
      </c>
      <c r="F864" s="38">
        <f>$F$593</f>
        <v>7.9555139673752748</v>
      </c>
      <c r="G864" s="38">
        <f>$G$593</f>
        <v>1.1888735131352084</v>
      </c>
      <c r="H864" s="38">
        <f>$H$593</f>
        <v>7.9555139673752748</v>
      </c>
      <c r="I864" s="38">
        <f>$I$593</f>
        <v>7.9555139673752748</v>
      </c>
      <c r="J864" s="38">
        <f>$J$593</f>
        <v>7.9555139673752748</v>
      </c>
      <c r="K864" s="17"/>
    </row>
    <row r="865" spans="1:11" x14ac:dyDescent="0.25">
      <c r="A865" s="4" t="s">
        <v>193</v>
      </c>
      <c r="B865" s="38">
        <f>$B$594</f>
        <v>10.746510103096467</v>
      </c>
      <c r="C865" s="38">
        <f>$C$594</f>
        <v>8.5209428940455698</v>
      </c>
      <c r="D865" s="38">
        <f>$D$594</f>
        <v>8.5209428940455698</v>
      </c>
      <c r="E865" s="38">
        <f>$E$594</f>
        <v>7.1895799940552854</v>
      </c>
      <c r="F865" s="38">
        <f>$F$594</f>
        <v>7.1895799940552854</v>
      </c>
      <c r="G865" s="38">
        <f>$G$594</f>
        <v>1.0744121951833057</v>
      </c>
      <c r="H865" s="38">
        <f>$H$594</f>
        <v>7.1895799940552854</v>
      </c>
      <c r="I865" s="38">
        <f>$I$594</f>
        <v>7.1895799940552854</v>
      </c>
      <c r="J865" s="38">
        <f>$J$594</f>
        <v>7.1895799940552854</v>
      </c>
      <c r="K865" s="17"/>
    </row>
    <row r="866" spans="1:11" x14ac:dyDescent="0.25">
      <c r="A866" s="4" t="s">
        <v>215</v>
      </c>
      <c r="B866" s="38">
        <f>$B$821</f>
        <v>1.0991369573062106</v>
      </c>
      <c r="C866" s="38">
        <f>$C$821</f>
        <v>1.0996038350186084</v>
      </c>
      <c r="D866" s="38">
        <f>$D$821</f>
        <v>1.0996038350186084</v>
      </c>
      <c r="E866" s="38">
        <f>$E$821</f>
        <v>1.0998533389778173</v>
      </c>
      <c r="F866" s="38">
        <f>$F$821</f>
        <v>1.0998533389778173</v>
      </c>
      <c r="G866" s="38">
        <f>$G$821</f>
        <v>1.0988859788958167</v>
      </c>
      <c r="H866" s="38">
        <f>$H$821</f>
        <v>1.0998533389778173</v>
      </c>
      <c r="I866" s="38">
        <f>$I$821</f>
        <v>1.0998533389778173</v>
      </c>
      <c r="J866" s="38">
        <f>$J$821</f>
        <v>1.0998533389778173</v>
      </c>
      <c r="K866" s="17"/>
    </row>
    <row r="867" spans="1:11" x14ac:dyDescent="0.25">
      <c r="A867" s="4" t="s">
        <v>216</v>
      </c>
      <c r="B867" s="38">
        <f>$B$822</f>
        <v>1.7148158788196517</v>
      </c>
      <c r="C867" s="38">
        <f>$C$822</f>
        <v>1.4116644199798491</v>
      </c>
      <c r="D867" s="38">
        <f>$D$822</f>
        <v>1.4116644199798491</v>
      </c>
      <c r="E867" s="38">
        <f>$E$822</f>
        <v>1.2496463988283717</v>
      </c>
      <c r="F867" s="38">
        <f>$F$822</f>
        <v>1.2496463988283717</v>
      </c>
      <c r="G867" s="38">
        <f>$G$822</f>
        <v>1.0988859788958165</v>
      </c>
      <c r="H867" s="38">
        <f>$H$822</f>
        <v>1.2496463988283717</v>
      </c>
      <c r="I867" s="38">
        <f>$I$822</f>
        <v>1.2496463988283717</v>
      </c>
      <c r="J867" s="38">
        <f>$J$822</f>
        <v>1.2496463988283717</v>
      </c>
      <c r="K867" s="17"/>
    </row>
    <row r="868" spans="1:11" x14ac:dyDescent="0.25">
      <c r="A868" s="4" t="s">
        <v>217</v>
      </c>
      <c r="B868" s="38">
        <f>$B$823</f>
        <v>3.2571913797780327</v>
      </c>
      <c r="C868" s="38">
        <f>$C$823</f>
        <v>2.601270890676902</v>
      </c>
      <c r="D868" s="38">
        <f>$D$823</f>
        <v>2.601270890676902</v>
      </c>
      <c r="E868" s="38">
        <f>$E$823</f>
        <v>2.2507053355617535</v>
      </c>
      <c r="F868" s="38">
        <f>$F$823</f>
        <v>2.2507053355617535</v>
      </c>
      <c r="G868" s="38">
        <f>$G$823</f>
        <v>1.0988859788958167</v>
      </c>
      <c r="H868" s="38">
        <f>$H$823</f>
        <v>2.2507053355617535</v>
      </c>
      <c r="I868" s="38">
        <f>$I$823</f>
        <v>2.2507053355617535</v>
      </c>
      <c r="J868" s="38">
        <f>$J$823</f>
        <v>2.2507053355617535</v>
      </c>
      <c r="K868" s="17"/>
    </row>
    <row r="869" spans="1:11" x14ac:dyDescent="0.25">
      <c r="A869" s="4" t="s">
        <v>218</v>
      </c>
      <c r="B869" s="38">
        <f>$B$824</f>
        <v>0.73267945389997036</v>
      </c>
      <c r="C869" s="38">
        <f>$C$824</f>
        <v>0.9472499045946593</v>
      </c>
      <c r="D869" s="38">
        <f>$D$824</f>
        <v>0.9472499045946593</v>
      </c>
      <c r="E869" s="38">
        <f>$E$824</f>
        <v>1.0619251979513524</v>
      </c>
      <c r="F869" s="38">
        <f>$F$824</f>
        <v>1.0619251979513524</v>
      </c>
      <c r="G869" s="38">
        <f>$G$824</f>
        <v>1.0988859788958165</v>
      </c>
      <c r="H869" s="38">
        <f>$H$824</f>
        <v>1.0619251979513524</v>
      </c>
      <c r="I869" s="38">
        <f>$I$824</f>
        <v>1.0619251979513524</v>
      </c>
      <c r="J869" s="38">
        <f>$J$824</f>
        <v>1.0619251979513524</v>
      </c>
      <c r="K869" s="17"/>
    </row>
    <row r="870" spans="1:11" x14ac:dyDescent="0.25">
      <c r="A870" s="4" t="s">
        <v>219</v>
      </c>
      <c r="B870" s="38">
        <f>$B$825</f>
        <v>33.236064492022763</v>
      </c>
      <c r="C870" s="38">
        <f>$C$825</f>
        <v>24.773363117381649</v>
      </c>
      <c r="D870" s="38">
        <f>$D$825</f>
        <v>24.773363117381649</v>
      </c>
      <c r="E870" s="38">
        <f>$E$825</f>
        <v>20.250297850238191</v>
      </c>
      <c r="F870" s="38">
        <f>$F$825</f>
        <v>20.250297850238191</v>
      </c>
      <c r="G870" s="38">
        <f>$G$825</f>
        <v>1.0988859788958192</v>
      </c>
      <c r="H870" s="38">
        <f>$H$825</f>
        <v>20.250297850238191</v>
      </c>
      <c r="I870" s="38">
        <f>$I$825</f>
        <v>20.250297850238191</v>
      </c>
      <c r="J870" s="38">
        <f>$J$825</f>
        <v>20.250297850238191</v>
      </c>
      <c r="K870" s="17"/>
    </row>
    <row r="871" spans="1:11" x14ac:dyDescent="0.25">
      <c r="A871" s="4" t="s">
        <v>184</v>
      </c>
      <c r="B871" s="38">
        <f>$B$595</f>
        <v>-10.002222751448761</v>
      </c>
      <c r="C871" s="38">
        <f>$C$595</f>
        <v>-7.9307950265696743</v>
      </c>
      <c r="D871" s="38">
        <f>$D$595</f>
        <v>-7.9307950265696743</v>
      </c>
      <c r="E871" s="38">
        <f>$E$595</f>
        <v>-6.6916403464953857</v>
      </c>
      <c r="F871" s="38">
        <f>$F$595</f>
        <v>-6.6916403464953857</v>
      </c>
      <c r="G871" s="38">
        <f>$G$595</f>
        <v>-0.99999999999999989</v>
      </c>
      <c r="H871" s="38">
        <f>$H$595</f>
        <v>-6.6916403464953857</v>
      </c>
      <c r="I871" s="38">
        <f>$I$595</f>
        <v>-6.6916403464953857</v>
      </c>
      <c r="J871" s="38">
        <f>$J$595</f>
        <v>-6.6916403464953857</v>
      </c>
      <c r="K871" s="17"/>
    </row>
    <row r="872" spans="1:11" x14ac:dyDescent="0.25">
      <c r="A872" s="4" t="s">
        <v>186</v>
      </c>
      <c r="B872" s="38">
        <f>$B$596</f>
        <v>-10.002222751448761</v>
      </c>
      <c r="C872" s="38">
        <f>$C$596</f>
        <v>-7.9307950265696743</v>
      </c>
      <c r="D872" s="38">
        <f>$D$596</f>
        <v>-7.9307950265696743</v>
      </c>
      <c r="E872" s="38">
        <f>$E$596</f>
        <v>-6.6916403464953857</v>
      </c>
      <c r="F872" s="38">
        <f>$F$596</f>
        <v>-6.6916403464953857</v>
      </c>
      <c r="G872" s="38">
        <f>$G$596</f>
        <v>-0.99999999999999989</v>
      </c>
      <c r="H872" s="38">
        <f>$H$596</f>
        <v>-6.6916403464953857</v>
      </c>
      <c r="I872" s="38">
        <f>$I$596</f>
        <v>-6.6916403464953857</v>
      </c>
      <c r="J872" s="38">
        <f>$J$596</f>
        <v>-6.6916403464953857</v>
      </c>
      <c r="K872" s="17"/>
    </row>
    <row r="873" spans="1:11" x14ac:dyDescent="0.25">
      <c r="A873" s="4" t="s">
        <v>195</v>
      </c>
      <c r="B873" s="38">
        <f>$B$597</f>
        <v>-10.002222751448761</v>
      </c>
      <c r="C873" s="38">
        <f>$C$597</f>
        <v>-7.9307950265696743</v>
      </c>
      <c r="D873" s="38">
        <f>$D$597</f>
        <v>-7.9307950265696743</v>
      </c>
      <c r="E873" s="38">
        <f>$E$597</f>
        <v>-6.6916403464953857</v>
      </c>
      <c r="F873" s="38">
        <f>$F$597</f>
        <v>-6.6916403464953857</v>
      </c>
      <c r="G873" s="38">
        <f>$G$597</f>
        <v>-0.99999999999999989</v>
      </c>
      <c r="H873" s="38">
        <f>$H$597</f>
        <v>-6.6916403464953857</v>
      </c>
      <c r="I873" s="38">
        <f>$I$597</f>
        <v>-6.6916403464953857</v>
      </c>
      <c r="J873" s="38">
        <f>$J$597</f>
        <v>-6.6916403464953857</v>
      </c>
      <c r="K873" s="17"/>
    </row>
    <row r="875" spans="1:11" ht="21" customHeight="1" x14ac:dyDescent="0.3">
      <c r="A875" s="1" t="s">
        <v>789</v>
      </c>
    </row>
    <row r="876" spans="1:11" x14ac:dyDescent="0.25">
      <c r="A876" s="2" t="s">
        <v>350</v>
      </c>
    </row>
    <row r="877" spans="1:11" x14ac:dyDescent="0.25">
      <c r="A877" s="32" t="s">
        <v>790</v>
      </c>
    </row>
    <row r="878" spans="1:11" x14ac:dyDescent="0.25">
      <c r="A878" s="32" t="s">
        <v>791</v>
      </c>
    </row>
    <row r="879" spans="1:11" x14ac:dyDescent="0.25">
      <c r="A879" s="2" t="s">
        <v>368</v>
      </c>
    </row>
    <row r="881" spans="1:11" x14ac:dyDescent="0.25">
      <c r="B881" s="15" t="s">
        <v>139</v>
      </c>
      <c r="C881" s="15" t="s">
        <v>140</v>
      </c>
      <c r="D881" s="15" t="s">
        <v>141</v>
      </c>
      <c r="E881" s="15" t="s">
        <v>142</v>
      </c>
      <c r="F881" s="15" t="s">
        <v>143</v>
      </c>
      <c r="G881" s="15" t="s">
        <v>148</v>
      </c>
      <c r="H881" s="15" t="s">
        <v>144</v>
      </c>
      <c r="I881" s="15" t="s">
        <v>145</v>
      </c>
      <c r="J881" s="15" t="s">
        <v>146</v>
      </c>
    </row>
    <row r="882" spans="1:11" x14ac:dyDescent="0.25">
      <c r="A882" s="4" t="s">
        <v>172</v>
      </c>
      <c r="B882" s="38">
        <f>$B$606</f>
        <v>4.4385661209706412E-2</v>
      </c>
      <c r="C882" s="38">
        <f>$C$606</f>
        <v>0.16534157330340357</v>
      </c>
      <c r="D882" s="38">
        <f>$D$606</f>
        <v>0.16534157330340357</v>
      </c>
      <c r="E882" s="38">
        <f>$E$606</f>
        <v>0.2300040264658568</v>
      </c>
      <c r="F882" s="38">
        <f>$F$606</f>
        <v>0.2300040264658568</v>
      </c>
      <c r="G882" s="38">
        <f>$G$606</f>
        <v>1.5754629644109663</v>
      </c>
      <c r="H882" s="38">
        <f>$H$606</f>
        <v>0.2300040264658568</v>
      </c>
      <c r="I882" s="38">
        <f>$I$606</f>
        <v>0.2300040264658568</v>
      </c>
      <c r="J882" s="38">
        <f>$J$606</f>
        <v>0.2300040264658568</v>
      </c>
      <c r="K882" s="17"/>
    </row>
    <row r="883" spans="1:11" x14ac:dyDescent="0.25">
      <c r="A883" s="4" t="s">
        <v>174</v>
      </c>
      <c r="B883" s="38">
        <f>$B$607</f>
        <v>3.722478809816096E-2</v>
      </c>
      <c r="C883" s="38">
        <f>$C$607</f>
        <v>0.13866440036145516</v>
      </c>
      <c r="D883" s="38">
        <f>$D$607</f>
        <v>0.13866440036145516</v>
      </c>
      <c r="E883" s="38">
        <f>$E$607</f>
        <v>0.19289101316713675</v>
      </c>
      <c r="F883" s="38">
        <f>$F$607</f>
        <v>0.19289101316713675</v>
      </c>
      <c r="G883" s="38">
        <f>$G$607</f>
        <v>1.3221922639298322</v>
      </c>
      <c r="H883" s="38">
        <f>$H$607</f>
        <v>0.19289101316713675</v>
      </c>
      <c r="I883" s="38">
        <f>$I$607</f>
        <v>0.19289101316713675</v>
      </c>
      <c r="J883" s="38">
        <f>$J$607</f>
        <v>0.19289101316713675</v>
      </c>
      <c r="K883" s="17"/>
    </row>
    <row r="884" spans="1:11" x14ac:dyDescent="0.25">
      <c r="A884" s="4" t="s">
        <v>175</v>
      </c>
      <c r="B884" s="38">
        <f>$B$608</f>
        <v>2.8173090838921312E-2</v>
      </c>
      <c r="C884" s="38">
        <f>$C$608</f>
        <v>0.10494792771293197</v>
      </c>
      <c r="D884" s="38">
        <f>$D$608</f>
        <v>0.10494792771293197</v>
      </c>
      <c r="E884" s="38">
        <f>$E$608</f>
        <v>0.14599138898314287</v>
      </c>
      <c r="F884" s="38">
        <f>$F$608</f>
        <v>0.14599138898314287</v>
      </c>
      <c r="G884" s="38">
        <f>$G$608</f>
        <v>1.0000000000000002</v>
      </c>
      <c r="H884" s="38">
        <f>$H$608</f>
        <v>0.14599138898314287</v>
      </c>
      <c r="I884" s="38">
        <f>$I$608</f>
        <v>0.14599138898314287</v>
      </c>
      <c r="J884" s="38">
        <f>$J$608</f>
        <v>0.14599138898314287</v>
      </c>
      <c r="K884" s="17"/>
    </row>
    <row r="885" spans="1:11" x14ac:dyDescent="0.25">
      <c r="A885" s="4" t="s">
        <v>176</v>
      </c>
      <c r="B885" s="38">
        <f>$B$609</f>
        <v>2.8173090838921312E-2</v>
      </c>
      <c r="C885" s="38">
        <f>$C$609</f>
        <v>0.10494792771293197</v>
      </c>
      <c r="D885" s="38">
        <f>$D$609</f>
        <v>0.10494792771293197</v>
      </c>
      <c r="E885" s="38">
        <f>$E$609</f>
        <v>0.14599138898314287</v>
      </c>
      <c r="F885" s="38">
        <f>$F$609</f>
        <v>0.14599138898314287</v>
      </c>
      <c r="G885" s="38">
        <f>$G$609</f>
        <v>1.0000000000000002</v>
      </c>
      <c r="H885" s="38">
        <f>$H$609</f>
        <v>0.14599138898314287</v>
      </c>
      <c r="I885" s="38">
        <f>$I$609</f>
        <v>0.14599138898314287</v>
      </c>
      <c r="J885" s="38">
        <f>$J$609</f>
        <v>0.14599138898314287</v>
      </c>
      <c r="K885" s="17"/>
    </row>
    <row r="886" spans="1:11" x14ac:dyDescent="0.25">
      <c r="A886" s="4" t="s">
        <v>192</v>
      </c>
      <c r="B886" s="38">
        <f>$B$610</f>
        <v>3.5596279883890462E-2</v>
      </c>
      <c r="C886" s="38">
        <f>$C$610</f>
        <v>0.13260014066127451</v>
      </c>
      <c r="D886" s="38">
        <f>$D$610</f>
        <v>0.13260014066127451</v>
      </c>
      <c r="E886" s="38">
        <f>$E$610</f>
        <v>0.18445794153698364</v>
      </c>
      <c r="F886" s="38">
        <f>$F$610</f>
        <v>0.18445794153698364</v>
      </c>
      <c r="G886" s="38">
        <f>$G$610</f>
        <v>1.2634850782759688</v>
      </c>
      <c r="H886" s="38">
        <f>$H$610</f>
        <v>0.18445794153698364</v>
      </c>
      <c r="I886" s="38">
        <f>$I$610</f>
        <v>0.18445794153698364</v>
      </c>
      <c r="J886" s="38">
        <f>$J$610</f>
        <v>0.18445794153698364</v>
      </c>
      <c r="K886" s="17"/>
    </row>
    <row r="887" spans="1:11" x14ac:dyDescent="0.25">
      <c r="A887" s="4" t="s">
        <v>177</v>
      </c>
      <c r="B887" s="38">
        <f>$B$611</f>
        <v>0.45116444107506892</v>
      </c>
      <c r="C887" s="38">
        <f>$C$611</f>
        <v>1.1227048473899872</v>
      </c>
      <c r="D887" s="38">
        <f>$D$611</f>
        <v>1.1227048473899872</v>
      </c>
      <c r="E887" s="38">
        <f>$E$611</f>
        <v>1.5395794194947239</v>
      </c>
      <c r="F887" s="38">
        <f>$F$611</f>
        <v>1.5395794194947239</v>
      </c>
      <c r="G887" s="38">
        <f>$G$611</f>
        <v>1.4241711693616395</v>
      </c>
      <c r="H887" s="38">
        <f>$H$611</f>
        <v>1.5395794194947239</v>
      </c>
      <c r="I887" s="38">
        <f>$I$611</f>
        <v>1.5395794194947239</v>
      </c>
      <c r="J887" s="38">
        <f>$J$611</f>
        <v>1.5395794194947239</v>
      </c>
      <c r="K887" s="17"/>
    </row>
    <row r="888" spans="1:11" x14ac:dyDescent="0.25">
      <c r="A888" s="4" t="s">
        <v>178</v>
      </c>
      <c r="B888" s="38">
        <f>$B$612</f>
        <v>0.43898355704946063</v>
      </c>
      <c r="C888" s="38">
        <f>$C$612</f>
        <v>1.0917841880814509</v>
      </c>
      <c r="D888" s="38">
        <f>$D$612</f>
        <v>1.0917841880814509</v>
      </c>
      <c r="E888" s="38">
        <f>$E$612</f>
        <v>1.4967263685251317</v>
      </c>
      <c r="F888" s="38">
        <f>$F$612</f>
        <v>1.4967263685251317</v>
      </c>
      <c r="G888" s="38">
        <f>$G$612</f>
        <v>1.3721769453068928</v>
      </c>
      <c r="H888" s="38">
        <f>$H$612</f>
        <v>1.4967263685251317</v>
      </c>
      <c r="I888" s="38">
        <f>$I$612</f>
        <v>1.4967263685251317</v>
      </c>
      <c r="J888" s="38">
        <f>$J$612</f>
        <v>1.4967263685251317</v>
      </c>
      <c r="K888" s="17"/>
    </row>
    <row r="889" spans="1:11" x14ac:dyDescent="0.25">
      <c r="A889" s="4" t="s">
        <v>179</v>
      </c>
      <c r="B889" s="38">
        <f>$B$613</f>
        <v>0.38193607712762467</v>
      </c>
      <c r="C889" s="38">
        <f>$C$613</f>
        <v>0.95010923750835408</v>
      </c>
      <c r="D889" s="38">
        <f>$D$613</f>
        <v>0.95010923750835408</v>
      </c>
      <c r="E889" s="38">
        <f>$E$613</f>
        <v>1.3026454189485808</v>
      </c>
      <c r="F889" s="38">
        <f>$F$613</f>
        <v>1.3026454189485808</v>
      </c>
      <c r="G889" s="38">
        <f>$G$613</f>
        <v>1.1986205791263762</v>
      </c>
      <c r="H889" s="38">
        <f>$H$613</f>
        <v>1.3026454189485808</v>
      </c>
      <c r="I889" s="38">
        <f>$I$613</f>
        <v>1.3026454189485808</v>
      </c>
      <c r="J889" s="38">
        <f>$J$613</f>
        <v>1.3026454189485808</v>
      </c>
      <c r="K889" s="17"/>
    </row>
    <row r="890" spans="1:11" x14ac:dyDescent="0.25">
      <c r="A890" s="4" t="s">
        <v>180</v>
      </c>
      <c r="B890" s="38">
        <f>$B$614</f>
        <v>0.37883021008929646</v>
      </c>
      <c r="C890" s="38">
        <f>$C$614</f>
        <v>0.94238304158106467</v>
      </c>
      <c r="D890" s="38">
        <f>$D$614</f>
        <v>0.94238304158106467</v>
      </c>
      <c r="E890" s="38">
        <f>$E$614</f>
        <v>1.2920524330757386</v>
      </c>
      <c r="F890" s="38">
        <f>$F$614</f>
        <v>1.2920524330757386</v>
      </c>
      <c r="G890" s="38">
        <f>$G$614</f>
        <v>1.1888735131352086</v>
      </c>
      <c r="H890" s="38">
        <f>$H$614</f>
        <v>1.2920524330757386</v>
      </c>
      <c r="I890" s="38">
        <f>$I$614</f>
        <v>1.2920524330757386</v>
      </c>
      <c r="J890" s="38">
        <f>$J$614</f>
        <v>1.2920524330757386</v>
      </c>
      <c r="K890" s="17"/>
    </row>
    <row r="891" spans="1:11" x14ac:dyDescent="0.25">
      <c r="A891" s="4" t="s">
        <v>193</v>
      </c>
      <c r="B891" s="38">
        <f>$B$615</f>
        <v>0.34235752847284123</v>
      </c>
      <c r="C891" s="38">
        <f>$C$615</f>
        <v>0.85165311635089103</v>
      </c>
      <c r="D891" s="38">
        <f>$D$615</f>
        <v>0.85165311635089103</v>
      </c>
      <c r="E891" s="38">
        <f>$E$615</f>
        <v>1.1676573458617867</v>
      </c>
      <c r="F891" s="38">
        <f>$F$615</f>
        <v>1.1676573458617867</v>
      </c>
      <c r="G891" s="38">
        <f>$G$615</f>
        <v>1.0744121951833059</v>
      </c>
      <c r="H891" s="38">
        <f>$H$615</f>
        <v>1.1676573458617867</v>
      </c>
      <c r="I891" s="38">
        <f>$I$615</f>
        <v>1.1676573458617867</v>
      </c>
      <c r="J891" s="38">
        <f>$J$615</f>
        <v>1.1676573458617867</v>
      </c>
      <c r="K891" s="17"/>
    </row>
    <row r="892" spans="1:11" x14ac:dyDescent="0.25">
      <c r="A892" s="4" t="s">
        <v>219</v>
      </c>
      <c r="B892" s="38">
        <f>$B$834</f>
        <v>0.28961441157218221</v>
      </c>
      <c r="C892" s="38">
        <f>$C$834</f>
        <v>0.85513988106231498</v>
      </c>
      <c r="D892" s="38">
        <f>$D$834</f>
        <v>0.85513988106231498</v>
      </c>
      <c r="E892" s="38">
        <f>$E$834</f>
        <v>1.1573778101974184</v>
      </c>
      <c r="F892" s="38">
        <f>$F$834</f>
        <v>1.1573778101974184</v>
      </c>
      <c r="G892" s="38">
        <f>$G$834</f>
        <v>1.0988859788958163</v>
      </c>
      <c r="H892" s="38">
        <f>$H$834</f>
        <v>1.1573778101974184</v>
      </c>
      <c r="I892" s="38">
        <f>$I$834</f>
        <v>1.1573778101974184</v>
      </c>
      <c r="J892" s="38">
        <f>$J$834</f>
        <v>1.1573778101974184</v>
      </c>
      <c r="K892" s="17"/>
    </row>
    <row r="893" spans="1:11" x14ac:dyDescent="0.25">
      <c r="A893" s="4" t="s">
        <v>184</v>
      </c>
      <c r="B893" s="38">
        <f>$B$616</f>
        <v>-0.3186463537994666</v>
      </c>
      <c r="C893" s="38">
        <f>$C$616</f>
        <v>-0.79266888459469698</v>
      </c>
      <c r="D893" s="38">
        <f>$D$616</f>
        <v>-0.79266888459469698</v>
      </c>
      <c r="E893" s="38">
        <f>$E$616</f>
        <v>-1.0867871298338831</v>
      </c>
      <c r="F893" s="38">
        <f>$F$616</f>
        <v>-1.0867871298338831</v>
      </c>
      <c r="G893" s="38">
        <f>$G$616</f>
        <v>-1</v>
      </c>
      <c r="H893" s="38">
        <f>$H$616</f>
        <v>-1.0867871298338831</v>
      </c>
      <c r="I893" s="38">
        <f>$I$616</f>
        <v>-1.0867871298338831</v>
      </c>
      <c r="J893" s="38">
        <f>$J$616</f>
        <v>-1.0867871298338831</v>
      </c>
      <c r="K893" s="17"/>
    </row>
    <row r="894" spans="1:11" x14ac:dyDescent="0.25">
      <c r="A894" s="4" t="s">
        <v>186</v>
      </c>
      <c r="B894" s="38">
        <f>$B$617</f>
        <v>-0.3186463537994666</v>
      </c>
      <c r="C894" s="38">
        <f>$C$617</f>
        <v>-0.79266888459469698</v>
      </c>
      <c r="D894" s="38">
        <f>$D$617</f>
        <v>-0.79266888459469698</v>
      </c>
      <c r="E894" s="38">
        <f>$E$617</f>
        <v>-1.0867871298338831</v>
      </c>
      <c r="F894" s="38">
        <f>$F$617</f>
        <v>-1.0867871298338831</v>
      </c>
      <c r="G894" s="38">
        <f>$G$617</f>
        <v>-1</v>
      </c>
      <c r="H894" s="38">
        <f>$H$617</f>
        <v>-1.0867871298338831</v>
      </c>
      <c r="I894" s="38">
        <f>$I$617</f>
        <v>-1.0867871298338831</v>
      </c>
      <c r="J894" s="38">
        <f>$J$617</f>
        <v>-1.0867871298338831</v>
      </c>
      <c r="K894" s="17"/>
    </row>
    <row r="895" spans="1:11" x14ac:dyDescent="0.25">
      <c r="A895" s="4" t="s">
        <v>195</v>
      </c>
      <c r="B895" s="38">
        <f>$B$618</f>
        <v>-0.3186463537994666</v>
      </c>
      <c r="C895" s="38">
        <f>$C$618</f>
        <v>-0.79266888459469698</v>
      </c>
      <c r="D895" s="38">
        <f>$D$618</f>
        <v>-0.79266888459469698</v>
      </c>
      <c r="E895" s="38">
        <f>$E$618</f>
        <v>-1.0867871298338831</v>
      </c>
      <c r="F895" s="38">
        <f>$F$618</f>
        <v>-1.0867871298338831</v>
      </c>
      <c r="G895" s="38">
        <f>$G$618</f>
        <v>-1</v>
      </c>
      <c r="H895" s="38">
        <f>$H$618</f>
        <v>-1.0867871298338831</v>
      </c>
      <c r="I895" s="38">
        <f>$I$618</f>
        <v>-1.0867871298338831</v>
      </c>
      <c r="J895" s="38">
        <f>$J$618</f>
        <v>-1.0867871298338831</v>
      </c>
      <c r="K895" s="17"/>
    </row>
    <row r="897" spans="1:11" ht="21" customHeight="1" x14ac:dyDescent="0.3">
      <c r="A897" s="1" t="s">
        <v>792</v>
      </c>
    </row>
    <row r="898" spans="1:11" x14ac:dyDescent="0.25">
      <c r="A898" s="2" t="s">
        <v>350</v>
      </c>
    </row>
    <row r="899" spans="1:11" x14ac:dyDescent="0.25">
      <c r="A899" s="32" t="s">
        <v>793</v>
      </c>
    </row>
    <row r="900" spans="1:11" x14ac:dyDescent="0.25">
      <c r="A900" s="32" t="s">
        <v>794</v>
      </c>
    </row>
    <row r="901" spans="1:11" x14ac:dyDescent="0.25">
      <c r="A901" s="2" t="s">
        <v>368</v>
      </c>
    </row>
    <row r="903" spans="1:11" x14ac:dyDescent="0.25">
      <c r="B903" s="15" t="s">
        <v>139</v>
      </c>
      <c r="C903" s="15" t="s">
        <v>140</v>
      </c>
      <c r="D903" s="15" t="s">
        <v>141</v>
      </c>
      <c r="E903" s="15" t="s">
        <v>142</v>
      </c>
      <c r="F903" s="15" t="s">
        <v>143</v>
      </c>
      <c r="G903" s="15" t="s">
        <v>148</v>
      </c>
      <c r="H903" s="15" t="s">
        <v>144</v>
      </c>
      <c r="I903" s="15" t="s">
        <v>145</v>
      </c>
      <c r="J903" s="15" t="s">
        <v>146</v>
      </c>
    </row>
    <row r="904" spans="1:11" x14ac:dyDescent="0.25">
      <c r="A904" s="4" t="s">
        <v>177</v>
      </c>
      <c r="B904" s="38">
        <f>$B$627</f>
        <v>3.9889666491204505E-2</v>
      </c>
      <c r="C904" s="38">
        <f>$C$627</f>
        <v>0.14864409270598355</v>
      </c>
      <c r="D904" s="38">
        <f>$D$627</f>
        <v>0.14864409270598355</v>
      </c>
      <c r="E904" s="38">
        <f>$E$627</f>
        <v>0.20681634124269691</v>
      </c>
      <c r="F904" s="38">
        <f>$F$627</f>
        <v>0.20681634124269691</v>
      </c>
      <c r="G904" s="38">
        <f>$G$627</f>
        <v>1.4241711693616397</v>
      </c>
      <c r="H904" s="38">
        <f>$H$627</f>
        <v>0.20681634124269691</v>
      </c>
      <c r="I904" s="38">
        <f>$I$627</f>
        <v>0.20681634124269691</v>
      </c>
      <c r="J904" s="38">
        <f>$J$627</f>
        <v>0.20681634124269691</v>
      </c>
      <c r="K904" s="17"/>
    </row>
    <row r="905" spans="1:11" x14ac:dyDescent="0.25">
      <c r="A905" s="4" t="s">
        <v>178</v>
      </c>
      <c r="B905" s="38">
        <f>$B$628</f>
        <v>3.8812694644328148E-2</v>
      </c>
      <c r="C905" s="38">
        <f>$C$628</f>
        <v>0.14455025329710136</v>
      </c>
      <c r="D905" s="38">
        <f>$D$628</f>
        <v>0.14455025329710136</v>
      </c>
      <c r="E905" s="38">
        <f>$E$628</f>
        <v>0.20105976181561774</v>
      </c>
      <c r="F905" s="38">
        <f>$F$628</f>
        <v>0.20105976181561774</v>
      </c>
      <c r="G905" s="38">
        <f>$G$628</f>
        <v>1.3721769453068928</v>
      </c>
      <c r="H905" s="38">
        <f>$H$628</f>
        <v>0.20105976181561774</v>
      </c>
      <c r="I905" s="38">
        <f>$I$628</f>
        <v>0.20105976181561774</v>
      </c>
      <c r="J905" s="38">
        <f>$J$628</f>
        <v>0.20105976181561774</v>
      </c>
      <c r="K905" s="17"/>
    </row>
    <row r="906" spans="1:11" x14ac:dyDescent="0.25">
      <c r="A906" s="4" t="s">
        <v>179</v>
      </c>
      <c r="B906" s="38">
        <f>$B$629</f>
        <v>3.3768846457127862E-2</v>
      </c>
      <c r="C906" s="38">
        <f>$C$629</f>
        <v>0.12579274589338754</v>
      </c>
      <c r="D906" s="38">
        <f>$D$629</f>
        <v>0.12579274589338754</v>
      </c>
      <c r="E906" s="38">
        <f>$E$629</f>
        <v>0.17498828321043877</v>
      </c>
      <c r="F906" s="38">
        <f>$F$629</f>
        <v>0.17498828321043877</v>
      </c>
      <c r="G906" s="38">
        <f>$G$629</f>
        <v>1.1986205791263762</v>
      </c>
      <c r="H906" s="38">
        <f>$H$629</f>
        <v>0.17498828321043877</v>
      </c>
      <c r="I906" s="38">
        <f>$I$629</f>
        <v>0.17498828321043877</v>
      </c>
      <c r="J906" s="38">
        <f>$J$629</f>
        <v>0.17498828321043877</v>
      </c>
      <c r="K906" s="17"/>
    </row>
    <row r="907" spans="1:11" x14ac:dyDescent="0.25">
      <c r="A907" s="4" t="s">
        <v>180</v>
      </c>
      <c r="B907" s="38">
        <f>$B$630</f>
        <v>3.3494241481545742E-2</v>
      </c>
      <c r="C907" s="38">
        <f>$C$630</f>
        <v>0.12476981151633335</v>
      </c>
      <c r="D907" s="38">
        <f>$D$630</f>
        <v>0.12476981151633335</v>
      </c>
      <c r="E907" s="38">
        <f>$E$630</f>
        <v>0.17356529550787789</v>
      </c>
      <c r="F907" s="38">
        <f>$F$630</f>
        <v>0.17356529550787789</v>
      </c>
      <c r="G907" s="38">
        <f>$G$630</f>
        <v>1.1888735131352086</v>
      </c>
      <c r="H907" s="38">
        <f>$H$630</f>
        <v>0.17356529550787789</v>
      </c>
      <c r="I907" s="38">
        <f>$I$630</f>
        <v>0.17356529550787789</v>
      </c>
      <c r="J907" s="38">
        <f>$J$630</f>
        <v>0.17356529550787789</v>
      </c>
      <c r="K907" s="17"/>
    </row>
    <row r="908" spans="1:11" x14ac:dyDescent="0.25">
      <c r="A908" s="4" t="s">
        <v>193</v>
      </c>
      <c r="B908" s="38">
        <f>$B$631</f>
        <v>3.0269512373344132E-2</v>
      </c>
      <c r="C908" s="38">
        <f>$C$631</f>
        <v>0.11275733339399012</v>
      </c>
      <c r="D908" s="38">
        <f>$D$631</f>
        <v>0.11275733339399012</v>
      </c>
      <c r="E908" s="38">
        <f>$E$631</f>
        <v>0.15685492871523846</v>
      </c>
      <c r="F908" s="38">
        <f>$F$631</f>
        <v>0.15685492871523846</v>
      </c>
      <c r="G908" s="38">
        <f>$G$631</f>
        <v>1.0744121951833061</v>
      </c>
      <c r="H908" s="38">
        <f>$H$631</f>
        <v>0.15685492871523846</v>
      </c>
      <c r="I908" s="38">
        <f>$I$631</f>
        <v>0.15685492871523846</v>
      </c>
      <c r="J908" s="38">
        <f>$J$631</f>
        <v>0.15685492871523846</v>
      </c>
      <c r="K908" s="17"/>
    </row>
    <row r="909" spans="1:11" x14ac:dyDescent="0.25">
      <c r="A909" s="4" t="s">
        <v>219</v>
      </c>
      <c r="B909" s="38">
        <f>$B$843</f>
        <v>3.0959014505048805E-2</v>
      </c>
      <c r="C909" s="38">
        <f>$C$843</f>
        <v>0.11532580627791263</v>
      </c>
      <c r="D909" s="38">
        <f>$D$843</f>
        <v>0.11532580627791263</v>
      </c>
      <c r="E909" s="38">
        <f>$E$843</f>
        <v>0.1604278903931009</v>
      </c>
      <c r="F909" s="38">
        <f>$F$843</f>
        <v>0.1604278903931009</v>
      </c>
      <c r="G909" s="38">
        <f>$G$843</f>
        <v>1.0988859788958165</v>
      </c>
      <c r="H909" s="38">
        <f>$H$843</f>
        <v>0.1604278903931009</v>
      </c>
      <c r="I909" s="38">
        <f>$I$843</f>
        <v>0.1604278903931009</v>
      </c>
      <c r="J909" s="38">
        <f>$J$843</f>
        <v>0.1604278903931009</v>
      </c>
      <c r="K909" s="17"/>
    </row>
    <row r="910" spans="1:11" x14ac:dyDescent="0.25">
      <c r="A910" s="4" t="s">
        <v>184</v>
      </c>
      <c r="B910" s="38">
        <f>$B$632</f>
        <v>-2.8173090838921312E-2</v>
      </c>
      <c r="C910" s="38">
        <f>$C$632</f>
        <v>-0.10494792771293197</v>
      </c>
      <c r="D910" s="38">
        <f>$D$632</f>
        <v>-0.10494792771293197</v>
      </c>
      <c r="E910" s="38">
        <f>$E$632</f>
        <v>-0.14599138898314287</v>
      </c>
      <c r="F910" s="38">
        <f>$F$632</f>
        <v>-0.14599138898314287</v>
      </c>
      <c r="G910" s="38">
        <f>$G$632</f>
        <v>-1.0000000000000002</v>
      </c>
      <c r="H910" s="38">
        <f>$H$632</f>
        <v>-0.14599138898314287</v>
      </c>
      <c r="I910" s="38">
        <f>$I$632</f>
        <v>-0.14599138898314287</v>
      </c>
      <c r="J910" s="38">
        <f>$J$632</f>
        <v>-0.14599138898314287</v>
      </c>
      <c r="K910" s="17"/>
    </row>
    <row r="911" spans="1:11" x14ac:dyDescent="0.25">
      <c r="A911" s="4" t="s">
        <v>186</v>
      </c>
      <c r="B911" s="38">
        <f>$B$633</f>
        <v>-2.8173090838921312E-2</v>
      </c>
      <c r="C911" s="38">
        <f>$C$633</f>
        <v>-0.10494792771293197</v>
      </c>
      <c r="D911" s="38">
        <f>$D$633</f>
        <v>-0.10494792771293197</v>
      </c>
      <c r="E911" s="38">
        <f>$E$633</f>
        <v>-0.14599138898314287</v>
      </c>
      <c r="F911" s="38">
        <f>$F$633</f>
        <v>-0.14599138898314287</v>
      </c>
      <c r="G911" s="38">
        <f>$G$633</f>
        <v>-1.0000000000000002</v>
      </c>
      <c r="H911" s="38">
        <f>$H$633</f>
        <v>-0.14599138898314287</v>
      </c>
      <c r="I911" s="38">
        <f>$I$633</f>
        <v>-0.14599138898314287</v>
      </c>
      <c r="J911" s="38">
        <f>$J$633</f>
        <v>-0.14599138898314287</v>
      </c>
      <c r="K911" s="17"/>
    </row>
    <row r="912" spans="1:11" x14ac:dyDescent="0.25">
      <c r="A912" s="4" t="s">
        <v>195</v>
      </c>
      <c r="B912" s="38">
        <f>$B$634</f>
        <v>-2.8173090838921312E-2</v>
      </c>
      <c r="C912" s="38">
        <f>$C$634</f>
        <v>-0.10494792771293197</v>
      </c>
      <c r="D912" s="38">
        <f>$D$634</f>
        <v>-0.10494792771293197</v>
      </c>
      <c r="E912" s="38">
        <f>$E$634</f>
        <v>-0.14599138898314287</v>
      </c>
      <c r="F912" s="38">
        <f>$F$634</f>
        <v>-0.14599138898314287</v>
      </c>
      <c r="G912" s="38">
        <f>$G$634</f>
        <v>-1.0000000000000002</v>
      </c>
      <c r="H912" s="38">
        <f>$H$634</f>
        <v>-0.14599138898314287</v>
      </c>
      <c r="I912" s="38">
        <f>$I$634</f>
        <v>-0.14599138898314287</v>
      </c>
      <c r="J912" s="38">
        <f>$J$634</f>
        <v>-0.14599138898314287</v>
      </c>
      <c r="K912" s="17"/>
    </row>
  </sheetData>
  <sheetProtection sheet="1" objects="1" scenarios="1"/>
  <hyperlinks>
    <hyperlink ref="A5" location="'Input'!B352" display="x1 = 1068. Typical annual hours by distribution time band"/>
    <hyperlink ref="A6" location="'Input'!F57" display="x2 = 1010. Days in the charging year (in Financial and general assumptions)"/>
    <hyperlink ref="A7" location="'Multi'!B12" display="x3 = Total hours in the year according to time band hours input data (in Adjust annual hours by distribution time band to match days in year)"/>
    <hyperlink ref="A17" location="'Input'!B313" display="x1 = 1061. Average split of rate 1 units by distribution time band"/>
    <hyperlink ref="A18" location="'Multi'!B25" display="x2 = Total split (in Normalisation of split of rate 1 units by time band)"/>
    <hyperlink ref="A19" location="'Multi'!C12" display="x3 = 2401. Annual hours by distribution time band (reconciled to days in year) (in Adjust annual hours by distribution time band to match days in year)"/>
    <hyperlink ref="A20" location="'Input'!F57" display="x4 = 1010. Days in the charging year (in Financial and general assumptions)"/>
    <hyperlink ref="A38" location="'Multi'!C25" display="x1 = 2402. Normalised split of rate 1 units by distribution time band (in Normalisation of split of rate 1 units by time band)"/>
    <hyperlink ref="A63" location="'Input'!B326" display="x1 = 1062. Average split of rate 2 units by distribution time band"/>
    <hyperlink ref="A64" location="'Multi'!B71" display="x2 = Total split (in Normalisation of split of rate 2 units by time band)"/>
    <hyperlink ref="A65" location="'Multi'!C12" display="x3 = 2401. Annual hours by distribution time band (reconciled to days in year) (in Adjust annual hours by distribution time band to match days in year)"/>
    <hyperlink ref="A66" location="'Input'!F57" display="x4 = 1010. Days in the charging year (in Financial and general assumptions)"/>
    <hyperlink ref="A80" location="'Multi'!C71" display="x1 = 2404. Normalised split of rate 2 units by distribution time band (in Normalisation of split of rate 2 units by time band)"/>
    <hyperlink ref="A113" location="'Loads'!B301" display="x1 = 2305. Rate 1 units (MWh) (in Equivalent volume for each end user)"/>
    <hyperlink ref="A114" location="'Loads'!C301" display="x2 = 2305. Rate 2 units (MWh) (in Equivalent volume for each end user)"/>
    <hyperlink ref="A115" location="'Loads'!D301" display="x3 = 2305. Rate 3 units (MWh) (in Equivalent volume for each end user)"/>
    <hyperlink ref="A149" location="'Multi'!B118" display="x1 = 2407. All units (MWh)"/>
    <hyperlink ref="A150" location="'Loads'!B301" display="x2 = 2305. Rate 1 units (MWh) (in Equivalent volume for each end user)"/>
    <hyperlink ref="A151" location="'Multi'!B42" display="x3 = 2403. Split of rate 1 units between distribution time bands"/>
    <hyperlink ref="A152" location="'Multi'!C12" display="x4 = 2401. Annual hours by distribution time band (reconciled to days in year) (in Adjust annual hours by distribution time band to match days in year)"/>
    <hyperlink ref="A153" location="'Multi'!B159" display="x5 = Use of distribution time bands by units in demand forecast for one-rate tariffs (in Calculation of implied load coefficients for one-rate users)"/>
    <hyperlink ref="A154" location="'Input'!F57" display="x6 = 1010. Days in the charging year (in Financial and general assumptions)"/>
    <hyperlink ref="A165" location="'Multi'!B118" display="x1 = 2407. All units (MWh)"/>
    <hyperlink ref="A166" location="'Loads'!B301" display="x2 = 2305. Rate 1 units (MWh) (in Equivalent volume for each end user)"/>
    <hyperlink ref="A167" location="'Multi'!B42" display="x3 = 2403. Split of rate 1 units between distribution time bands"/>
    <hyperlink ref="A168" location="'Loads'!C301" display="x4 = 2305. Rate 2 units (MWh) (in Equivalent volume for each end user)"/>
    <hyperlink ref="A169" location="'Multi'!B84" display="x5 = 2405. Split of rate 2 units between distribution time bands"/>
    <hyperlink ref="A170" location="'Multi'!C12" display="x6 = 2401. Annual hours by distribution time band (reconciled to days in year) (in Adjust annual hours by distribution time band to match days in year)"/>
    <hyperlink ref="A171" location="'Multi'!B177" display="x7 = Use of distribution time bands by units in demand forecast for two-rate tariffs (in Calculation of implied load coefficients for two-rate users)"/>
    <hyperlink ref="A172" location="'Input'!F57" display="x8 = 1010. Days in the charging year (in Financial and general assumptions)"/>
    <hyperlink ref="A186" location="'Multi'!B118" display="x1 = 2407. All units (MWh)"/>
    <hyperlink ref="A187" location="'Loads'!B301" display="x2 = 2305. Rate 1 units (MWh) (in Equivalent volume for each end user)"/>
    <hyperlink ref="A188" location="'Multi'!B42" display="x3 = 2403. Split of rate 1 units between distribution time bands"/>
    <hyperlink ref="A189" location="'Loads'!C301" display="x4 = 2305. Rate 2 units (MWh) (in Equivalent volume for each end user)"/>
    <hyperlink ref="A190" location="'Multi'!B84" display="x5 = 2405. Split of rate 2 units between distribution time bands"/>
    <hyperlink ref="A191" location="'Loads'!D301" display="x6 = 2305. Rate 3 units (MWh) (in Equivalent volume for each end user)"/>
    <hyperlink ref="A192" location="'Multi'!B101" display="x7 = 2406. Split of rate 3 units between distribution time bands (default)"/>
    <hyperlink ref="A193" location="'Multi'!C12" display="x8 = 2401. Annual hours by distribution time band (reconciled to days in year) (in Adjust annual hours by distribution time band to match days in year)"/>
    <hyperlink ref="A194" location="'Multi'!B200" display="x9 = Use of distribution time bands by units in demand forecast for three-rate tariffs (in Calculation of implied load coefficients for three-rate users)"/>
    <hyperlink ref="A195" location="'Input'!F57" display="x10 = 1010. Days in the charging year (in Financial and general assumptions)"/>
    <hyperlink ref="A209" location="'Multi'!E159" display="x1 = 2408. Peak band load coefficient for one-rate tariffs (in Calculation of implied load coefficients for one-rate users)"/>
    <hyperlink ref="A210" location="'Multi'!E177" display="x2 = 2409. Peak band load coefficient for two-rate tariffs (in Calculation of implied load coefficients for two-rate users)"/>
    <hyperlink ref="A211" location="'Multi'!E200" display="x3 = 2410. Peak band load coefficient for three-rate tariffs (in Calculation of implied load coefficients for three-rate users)"/>
    <hyperlink ref="A212" location="'Multi'!B217" display="x4 = Peak band load coefficient (in Calculation of adjusted time band load coefficients)"/>
    <hyperlink ref="A213" location="'Loads'!B45" display="x5 = 2302. Load coefficient"/>
    <hyperlink ref="A238" location="'Input'!B359" display="x1 = 1069. Red, amber and green peaking probabilities (in Peaking probabilities by network level)"/>
    <hyperlink ref="A239" location="'Multi'!B246" display="x2 = Total probability (should be 100%) (in Normalisation of peaking probabilities)"/>
    <hyperlink ref="A240" location="'Input'!B352" display="x3 = 1068. Typical annual hours by distribution time band"/>
    <hyperlink ref="A241" location="'Multi'!B12" display="x4 = 2401. Total hours in the year according to time band hours input data (in Adjust annual hours by distribution time band to match days in year)"/>
    <hyperlink ref="A259" location="'Multi'!C246" display="x1 = 2412. Normalised peaking probabilities (in Normalisation of peaking probabilities)"/>
    <hyperlink ref="A267" location="'Multi'!C12" display="x1 = 2401. Annual hours by distribution time band (reconciled to days in year) (in Adjust annual hours by distribution time band to match days in year)"/>
    <hyperlink ref="A268" location="'Multi'!C217" display="x2 = 2411. Load coefficient correction factor (kW at peak in band / band average kW) (in Calculation of adjusted time band load coefficients)"/>
    <hyperlink ref="A269" location="'Multi'!B262" display="x3 = 2413. Peaking probabilities by network level (reshaped)"/>
    <hyperlink ref="A270" location="'Input'!F57" display="x4 = 1010. Days in the charging year (in Financial and general assumptions)"/>
    <hyperlink ref="A294" location="'Multi'!B273" display="x1 = 2414. Pseudo load coefficient by time band and network level"/>
    <hyperlink ref="A303" location="'Multi'!B118" display="x1 = 2407. All units (MWh)"/>
    <hyperlink ref="A312" location="'Multi'!B42" display="x1 = 2403. Split of rate 1 units between distribution time bands"/>
    <hyperlink ref="A321" location="'Multi'!B297" display="x1 = 2415. Single rate non half hourly pseudo timeband load coefficients"/>
    <hyperlink ref="A322" location="'Multi'!B315" display="x2 = 2417. Single rate non half hourly timeband use"/>
    <hyperlink ref="A331" location="'Multi'!B118" display="x1 = 2407. All units (MWh)"/>
    <hyperlink ref="A340" location="'Multi'!B273" display="x1 = 2414. Pseudo load coefficient by time band and network level"/>
    <hyperlink ref="A349" location="'Multi'!B177" display="x1 = 2409. Use of distribution time bands by units in demand forecast for two-rate tariffs (in Calculation of implied load coefficients for two-rate users)"/>
    <hyperlink ref="A358" location="'Multi'!B343" display="x1 = 2420. Multi rate non half hourly pseudo timeband load coefficients"/>
    <hyperlink ref="A359" location="'Multi'!B352" display="x2 = 2421. Multi rate non half hourly timeband use"/>
    <hyperlink ref="A368" location="'Multi'!B118" display="x1 = 2407. All units (MWh)"/>
    <hyperlink ref="A377" location="'Multi'!B273" display="x1 = 2414. Pseudo load coefficient by time band and network level"/>
    <hyperlink ref="A386" location="'Multi'!B42" display="x1 = 2403. Split of rate 1 units between distribution time bands"/>
    <hyperlink ref="A395" location="'Multi'!B380" display="x1 = 2424. Off-peak non half hourly pseudo timeband load coefficients"/>
    <hyperlink ref="A396" location="'Multi'!B389" display="x2 = 2425. Off-peak non half hourly timeband use"/>
    <hyperlink ref="A405" location="'Multi'!B118" display="x1 = 2407. All units (MWh)"/>
    <hyperlink ref="A414" location="'Multi'!B273" display="x1 = 2414. Pseudo load coefficient by time band and network level"/>
    <hyperlink ref="A423" location="'Multi'!B200" display="x1 = 2410. Use of distribution time bands by units in demand forecast for three-rate tariffs (in Calculation of implied load coefficients for three-rate users)"/>
    <hyperlink ref="A432" location="'Multi'!B417" display="x1 = 2428. Aggregated half hourly pseudo timeband load coefficients"/>
    <hyperlink ref="A433" location="'Multi'!B426" display="x2 = 2429. Aggregated half hourly timeband use"/>
    <hyperlink ref="A442" location="'Multi'!B306" display="x1 = 2416. Single rate non half hourly units (MWh)"/>
    <hyperlink ref="A443" location="'Multi'!B325" display="x2 = 2418. Single rate non half hourly tariff pseudo load coefficient"/>
    <hyperlink ref="A444" location="'Multi'!B334" display="x3 = 2419. Multi rate non half hourly units (MWh)"/>
    <hyperlink ref="A445" location="'Multi'!B362" display="x4 = 2422. Multi rate non half hourly tariff pseudo load coefficient"/>
    <hyperlink ref="A446" location="'Multi'!B371" display="x5 = 2423. Off-peak non half hourly units (MWh)"/>
    <hyperlink ref="A447" location="'Multi'!B399" display="x6 = 2426. Off-peak non half hourly tariff pseudo load coefficient"/>
    <hyperlink ref="A456" location="'Multi'!B306" display="x1 = 2416. Single rate non half hourly units (MWh)"/>
    <hyperlink ref="A457" location="'Multi'!B315" display="x2 = 2417. Single rate non half hourly timeband use"/>
    <hyperlink ref="A458" location="'Multi'!B334" display="x3 = 2419. Multi rate non half hourly units (MWh)"/>
    <hyperlink ref="A459" location="'Multi'!B352" display="x4 = 2421. Multi rate non half hourly timeband use"/>
    <hyperlink ref="A460" location="'Multi'!B371" display="x5 = 2423. Off-peak non half hourly units (MWh)"/>
    <hyperlink ref="A461" location="'Multi'!B389" display="x6 = 2425. Off-peak non half hourly timeband use"/>
    <hyperlink ref="A470" location="'Multi'!B417" display="x1 = 2428. Aggregated half hourly pseudo timeband load coefficients"/>
    <hyperlink ref="A471" location="'Multi'!B464" display="x2 = 2432. Average non half hourly timeband use"/>
    <hyperlink ref="A480" location="'Multi'!B450" display="x1 = 2431. Average non half hourly tariff pseudo load coefficient"/>
    <hyperlink ref="A481" location="'Multi'!B474" display="x2 = 2433. Aggregated half hourly tariff pseudo load coefficient using average non half hourly unit mix"/>
    <hyperlink ref="A490" location="'Multi'!B306" display="x1 = 2416. Single rate non half hourly units (MWh)"/>
    <hyperlink ref="A491" location="'Multi'!B325" display="x2 = 2418. Single rate non half hourly tariff pseudo load coefficient"/>
    <hyperlink ref="A492" location="'Multi'!B334" display="x3 = 2419. Multi rate non half hourly units (MWh)"/>
    <hyperlink ref="A493" location="'Multi'!B362" display="x4 = 2422. Multi rate non half hourly tariff pseudo load coefficient"/>
    <hyperlink ref="A494" location="'Multi'!B371" display="x5 = 2423. Off-peak non half hourly units (MWh)"/>
    <hyperlink ref="A495" location="'Multi'!B399" display="x6 = 2426. Off-peak non half hourly tariff pseudo load coefficient"/>
    <hyperlink ref="A496" location="'Multi'!B408" display="x7 = 2427. Aggregated half hourly units (MWh)"/>
    <hyperlink ref="A497" location="'Multi'!B436" display="x8 = 2430. Aggregated half hourly tariff pseudo load coefficient"/>
    <hyperlink ref="A498" location="'Multi'!B484" display="x9 = 2434. Relative correction factor for aggregated half hourly tariff"/>
    <hyperlink ref="A507" location="'Multi'!B297" display="x1 = 2415. Single rate non half hourly pseudo timeband load coefficients"/>
    <hyperlink ref="A508" location="'Multi'!B501" display="x2 = 2435. Correction factor for non half hourly tariffs"/>
    <hyperlink ref="A517" location="'Multi'!B343" display="x1 = 2420. Multi rate non half hourly pseudo timeband load coefficients"/>
    <hyperlink ref="A518" location="'Multi'!B501" display="x2 = 2435. Correction factor for non half hourly tariffs"/>
    <hyperlink ref="A527" location="'Multi'!B380" display="x1 = 2424. Off-peak non half hourly pseudo timeband load coefficients"/>
    <hyperlink ref="A528" location="'Multi'!B501" display="x2 = 2435. Correction factor for non half hourly tariffs"/>
    <hyperlink ref="A537" location="'Multi'!B417" display="x1 = 2428. Aggregated half hourly pseudo timeband load coefficients"/>
    <hyperlink ref="A538" location="'Multi'!B501" display="x2 = 2435. Correction factor for non half hourly tariffs"/>
    <hyperlink ref="A539" location="'Multi'!B484" display="x3 = 2434. Relative correction factor for aggregated half hourly tariff"/>
    <hyperlink ref="A548" location="'Multi'!B511" display="x1 = 2436. Single rate non half hourly corrected pseudo timeband load coefficient"/>
    <hyperlink ref="A549" location="'Multi'!B521" display="x2 = 2437. Multi rate non half hourly corrected pseudo timeband load coefficient"/>
    <hyperlink ref="A550" location="'Multi'!B531" display="x3 = 2438. Off-peak non half hourly corrected pseudo timeband load coefficient"/>
    <hyperlink ref="A551" location="'Multi'!B542" display="x4 = 2439. Aggregated half hourly corrected pseudo timeband load coefficient"/>
    <hyperlink ref="A552" location="'Multi'!B273" display="x5 = 2414. Pseudo load coefficient by time band and network level"/>
    <hyperlink ref="A576" location="'Multi'!B555" display="x1 = 2440. Pseudo load coefficient by time band and network level (equalised)"/>
    <hyperlink ref="A577" location="'Multi'!B42" display="x2 = 2403. Split of rate 1 units between distribution time bands"/>
    <hyperlink ref="A601" location="'Multi'!B555" display="x1 = 2440. Pseudo load coefficient by time band and network level (equalised)"/>
    <hyperlink ref="A602" location="'Multi'!B84" display="x2 = 2405. Split of rate 2 units between distribution time bands"/>
    <hyperlink ref="A622" location="'Multi'!B555" display="x1 = 2440. Pseudo load coefficient by time band and network level (equalised)"/>
    <hyperlink ref="A623" location="'Multi'!B101" display="x2 = 2406. Split of rate 3 units between distribution time bands (default)"/>
    <hyperlink ref="A638" location="'Input'!B345" display="x1 = 1066. Typical annual hours by special distribution time band"/>
    <hyperlink ref="A639" location="'Input'!F57" display="x2 = 1010. Days in the charging year (in Financial and general assumptions)"/>
    <hyperlink ref="A640" location="'Multi'!B645" display="x3 = Total hours in the year according to special time band hours input data (in Adjust annual hours by special distribution time band to match days in year)"/>
    <hyperlink ref="A650" location="'Input'!B335" display="x1 = 1064. Average split of rate 1 units by special distribution time band"/>
    <hyperlink ref="A651" location="'Multi'!B658" display="x2 = Total split (in Normalisation of split of rate 1 units by special time band)"/>
    <hyperlink ref="A652" location="'Multi'!C645" display="x3 = 2444. Annual hours by special distribution time band (reconciled to days in year) (in Adjust annual hours by special distribution time band to match days in year)"/>
    <hyperlink ref="A653" location="'Input'!F57" display="x4 = 1010. Days in the charging year (in Financial and general assumptions)"/>
    <hyperlink ref="A666" location="'Multi'!C658" display="x1 = 2445. Normalised split of rate 1 units by special distribution time band (in Normalisation of split of rate 1 units by special time band)"/>
    <hyperlink ref="A689" location="'Multi'!B118" display="x1 = 2407. All units (MWh)"/>
    <hyperlink ref="A690" location="'Loads'!B301" display="x2 = 2305. Rate 1 units (MWh) (in Equivalent volume for each end user)"/>
    <hyperlink ref="A691" location="'Multi'!B670" display="x3 = 2446. Split of rate 1 units between special distribution time bands"/>
    <hyperlink ref="A692" location="'Multi'!C645" display="x4 = 2444. Annual hours by special distribution time band (reconciled to days in year) (in Adjust annual hours by special distribution time band to match days in year)"/>
    <hyperlink ref="A693" location="'Multi'!B699" display="x5 = Use of special distribution time bands by units in demand forecast for one-rate tariffs (in Calculation of implied special load coefficients for one-rate users)"/>
    <hyperlink ref="A694" location="'Input'!F57" display="x6 = 1010. Days in the charging year (in Financial and general assumptions)"/>
    <hyperlink ref="A707" location="'Multi'!B118" display="x1 = 2407. All units (MWh)"/>
    <hyperlink ref="A708" location="'Loads'!B301" display="x2 = 2305. Rate 1 units (MWh) (in Equivalent volume for each end user)"/>
    <hyperlink ref="A709" location="'Multi'!B670" display="x3 = 2446. Split of rate 1 units between special distribution time bands"/>
    <hyperlink ref="A710" location="'Loads'!C301" display="x4 = 2305. Rate 2 units (MWh) (in Equivalent volume for each end user)"/>
    <hyperlink ref="A711" location="'Multi'!B679" display="x5 = 2447. Split of rate 2 units between special distribution time bands (default)"/>
    <hyperlink ref="A712" location="'Loads'!D301" display="x6 = 2305. Rate 3 units (MWh) (in Equivalent volume for each end user)"/>
    <hyperlink ref="A713" location="'Multi'!B684" display="x7 = 2448. Split of rate 3 units between special distribution time bands (default)"/>
    <hyperlink ref="A714" location="'Multi'!C645" display="x8 = 2444. Annual hours by special distribution time band (reconciled to days in year) (in Adjust annual hours by special distribution time band to match days in year)"/>
    <hyperlink ref="A715" location="'Multi'!B721" display="x9 = Use of special distribution time bands by units in demand forecast for three-rate tariffs (in Calculation of implied special load coefficients for three-rate users)"/>
    <hyperlink ref="A716" location="'Input'!F57" display="x10 = 1010. Days in the charging year (in Financial and general assumptions)"/>
    <hyperlink ref="A726" location="'Multi'!E699" display="x1 = 2449. Peak band special load coefficient for one-rate tariffs (in Calculation of implied special load coefficients for one-rate users)"/>
    <hyperlink ref="A727" location="'Multi'!E721" display="x2 = 2450. Peak band special load coefficient for three-rate tariffs (in Calculation of implied special load coefficients for three-rate users)"/>
    <hyperlink ref="A728" location="'Multi'!B735" display="x3 = Peak band special load coefficient (in Estimated contributions to peak demand)"/>
    <hyperlink ref="A729" location="'Multi'!B118" display="x4 = 2407. All units (MWh)"/>
    <hyperlink ref="A730" location="'Input'!F57" display="x5 = 1010. Days in the charging year (in Financial and general assumptions)"/>
    <hyperlink ref="A731" location="'Loads'!B45" display="x6 = 2302. Load coefficient"/>
    <hyperlink ref="A744" location="'Multi'!C735" display="x1 = 2451. Contribution to peak band kW (in Estimated contributions to peak demand)"/>
    <hyperlink ref="A745" location="'Multi'!D735" display="x2 = 2451. Contribution to system-peak-time kW (in Estimated contributions to peak demand)"/>
    <hyperlink ref="A753" location="'Multi'!C246" display="x1 = 2412. Normalised peaking probabilities (in Normalisation of peaking probabilities)"/>
    <hyperlink ref="A754" location="'Multi'!C766" display="x2 = Amber peaking probabilities (in Calculation of special peaking probabilities)"/>
    <hyperlink ref="A755" location="'Input'!F57" display="x3 = 1010. Days in the charging year (in Financial and general assumptions)"/>
    <hyperlink ref="A756" location="'Multi'!C12" display="x4 = 2401. Annual hours by distribution time band (reconciled to days in year) (in Adjust annual hours by distribution time band to match days in year)"/>
    <hyperlink ref="A757" location="'Input'!E359" display="x5 = 1069. Black peaking probabilities (in Peaking probabilities by network level)"/>
    <hyperlink ref="A758" location="'Multi'!B766" display="x6 = Red peaking probabilities (in Calculation of special peaking probabilities)"/>
    <hyperlink ref="A759" location="'Multi'!E766" display="x7 = Amber peaking rates (in Calculation of special peaking probabilities)"/>
    <hyperlink ref="A760" location="'Multi'!C645" display="x8 = 2444. Annual hours by special distribution time band (reconciled to days in year) (in Adjust annual hours by special distribution time band to match days in year)"/>
    <hyperlink ref="A761" location="'Multi'!F766" display="x9 = Yellow peaking probabilities (in Calculation of special peaking probabilities)"/>
    <hyperlink ref="A762" location="'Multi'!D766" display="x10 = Green peaking probabilities (in Calculation of special peaking probabilities)"/>
    <hyperlink ref="A779" location="'Multi'!D766" display="x1 = 2453. Green peaking probabilities (in Calculation of special peaking probabilities)"/>
    <hyperlink ref="A780" location="'Multi'!F766" display="x2 = 2453. Yellow peaking probabilities (in Calculation of special peaking probabilities)"/>
    <hyperlink ref="A781" location="'Multi'!G766" display="x3 = 2453. Black peaking probabilities (in Calculation of special peaking probabilities)"/>
    <hyperlink ref="A797" location="'Multi'!B784" display="x1 = 2454. Special peaking probabilities by network level"/>
    <hyperlink ref="A805" location="'Multi'!C645" display="x1 = 2444. Annual hours by special distribution time band (reconciled to days in year) (in Adjust annual hours by special distribution time band to match days in year)"/>
    <hyperlink ref="A806" location="'Multi'!B748" display="x2 = 2452. Load coefficient correction factor for the group"/>
    <hyperlink ref="A807" location="'Multi'!B800" display="x3 = 2455. Special peaking probabilities by network level (reshaped)"/>
    <hyperlink ref="A808" location="'Input'!F57" display="x4 = 1010. Days in the charging year (in Financial and general assumptions)"/>
    <hyperlink ref="A816" location="'Multi'!B811" display="x1 = 2456. Pseudo load coefficient by special time band and network level"/>
    <hyperlink ref="A817" location="'Multi'!B670" display="x2 = 2446. Split of rate 1 units between special distribution time bands"/>
    <hyperlink ref="A829" location="'Multi'!B811" display="x1 = 2456. Pseudo load coefficient by special time band and network level"/>
    <hyperlink ref="A830" location="'Multi'!B679" display="x2 = 2447. Split of rate 2 units between special distribution time bands (default)"/>
    <hyperlink ref="A838" location="'Multi'!B811" display="x1 = 2456. Pseudo load coefficient by special time band and network level"/>
    <hyperlink ref="A839" location="'Multi'!B684" display="x2 = 2448. Split of rate 3 units between special distribution time bands (default)"/>
    <hyperlink ref="A847" location="'Multi'!B580" display="x1 = 2441. Unit rate 1 pseudo load coefficient by network level"/>
    <hyperlink ref="A848" location="'Multi'!B820" display="x2 = 2457. Unit rate 1 pseudo load coefficient by network level (special)"/>
    <hyperlink ref="A877" location="'Multi'!B605" display="x1 = 2442. Unit rate 2 pseudo load coefficient by network level"/>
    <hyperlink ref="A878" location="'Multi'!B833" display="x2 = 2458. Unit rate 2 pseudo load coefficient by network level (special)"/>
    <hyperlink ref="A899" location="'Multi'!B626" display="x1 = 2443. Unit rate 3 pseudo load coefficient by network level"/>
    <hyperlink ref="A900" location="'Multi'!B842" display="x2 = 2459. Unit rate 3 pseudo load coefficient by network level (special)"/>
  </hyperlinks>
  <pageMargins left="0.7" right="0.7" top="0.75" bottom="0.75" header="0.3" footer="0.3"/>
  <pageSetup paperSize="9" fitToHeight="0" orientation="landscape"/>
  <headerFooter>
    <oddHeader>&amp;L&amp;A&amp;C&amp;R&amp;P of &amp;N</oddHeader>
    <oddFooter>&amp;F</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41"/>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x14ac:dyDescent="0.25"/>
  <cols>
    <col min="1" max="1" width="50.7109375" customWidth="1"/>
    <col min="2" max="251" width="16.7109375" customWidth="1"/>
  </cols>
  <sheetData>
    <row r="1" spans="1:11" ht="21" customHeight="1" x14ac:dyDescent="0.3">
      <c r="A1" s="1" t="str">
        <f>"Forecast simultaneous maximum load for "&amp;Input!B7&amp;" in "&amp;Input!C7&amp;" ("&amp;Input!D7&amp;")"</f>
        <v>Forecast simultaneous maximum load for Electricity North West in 2017/2018 (December 2015)</v>
      </c>
    </row>
    <row r="3" spans="1:11" ht="21" customHeight="1" x14ac:dyDescent="0.3">
      <c r="A3" s="1" t="s">
        <v>795</v>
      </c>
    </row>
    <row r="4" spans="1:11" x14ac:dyDescent="0.25">
      <c r="A4" s="2" t="s">
        <v>350</v>
      </c>
    </row>
    <row r="5" spans="1:11" x14ac:dyDescent="0.25">
      <c r="A5" s="32" t="s">
        <v>567</v>
      </c>
    </row>
    <row r="6" spans="1:11" x14ac:dyDescent="0.25">
      <c r="A6" s="32" t="s">
        <v>796</v>
      </c>
    </row>
    <row r="7" spans="1:11" x14ac:dyDescent="0.25">
      <c r="A7" s="32" t="s">
        <v>797</v>
      </c>
    </row>
    <row r="8" spans="1:11" x14ac:dyDescent="0.25">
      <c r="A8" s="32" t="s">
        <v>551</v>
      </c>
    </row>
    <row r="9" spans="1:11" x14ac:dyDescent="0.25">
      <c r="A9" s="2" t="s">
        <v>798</v>
      </c>
    </row>
    <row r="11" spans="1:11" x14ac:dyDescent="0.25">
      <c r="B11" s="15" t="s">
        <v>139</v>
      </c>
      <c r="C11" s="15" t="s">
        <v>140</v>
      </c>
      <c r="D11" s="15" t="s">
        <v>141</v>
      </c>
      <c r="E11" s="15" t="s">
        <v>142</v>
      </c>
      <c r="F11" s="15" t="s">
        <v>143</v>
      </c>
      <c r="G11" s="15" t="s">
        <v>148</v>
      </c>
      <c r="H11" s="15" t="s">
        <v>144</v>
      </c>
      <c r="I11" s="15" t="s">
        <v>145</v>
      </c>
      <c r="J11" s="15" t="s">
        <v>146</v>
      </c>
    </row>
    <row r="12" spans="1:11" x14ac:dyDescent="0.25">
      <c r="A12" s="4" t="s">
        <v>171</v>
      </c>
      <c r="B12" s="21">
        <f>(Loads!$B$302*Multi!B$852)*LAFs!B$237/(24*Input!$F$58)*1000</f>
        <v>1633817.0374850568</v>
      </c>
      <c r="C12" s="21">
        <f>(Loads!$B$302*Multi!C$852)*LAFs!C$237/(24*Input!$F$58)*1000</f>
        <v>1543200.1375523962</v>
      </c>
      <c r="D12" s="21">
        <f>(Loads!$B$302*Multi!D$852)*LAFs!D$237/(24*Input!$F$58)*1000</f>
        <v>1535659.7753059119</v>
      </c>
      <c r="E12" s="21">
        <f>(Loads!$B$302*Multi!E$852)*LAFs!E$237/(24*Input!$F$58)*1000</f>
        <v>1483120.7945679601</v>
      </c>
      <c r="F12" s="21">
        <f>(Loads!$B$302*Multi!F$852)*LAFs!F$237/(24*Input!$F$58)*1000</f>
        <v>1475135.0163382962</v>
      </c>
      <c r="G12" s="21">
        <f>(Loads!$B$302*Multi!G$852)*LAFs!G$237/(24*Input!$F$58)*1000</f>
        <v>0</v>
      </c>
      <c r="H12" s="21">
        <f>(Loads!$B$302*Multi!H$852)*LAFs!H$237/(24*Input!$F$58)*1000</f>
        <v>1457625.3554741589</v>
      </c>
      <c r="I12" s="21">
        <f>(Loads!$B$302*Multi!I$852)*LAFs!I$237/(24*Input!$F$58)*1000</f>
        <v>1438758.7234859176</v>
      </c>
      <c r="J12" s="21">
        <f>(Loads!$B$302*Multi!J$852)*LAFs!J$237/(24*Input!$F$58)*1000</f>
        <v>1370550.7256768581</v>
      </c>
      <c r="K12" s="17"/>
    </row>
    <row r="13" spans="1:11" x14ac:dyDescent="0.25">
      <c r="A13" s="4" t="s">
        <v>213</v>
      </c>
      <c r="B13" s="21">
        <f>(Loads!$B$304*Multi!B$854)*LAFs!B$239/(24*Input!$F$58)*1000</f>
        <v>227.75990526410024</v>
      </c>
      <c r="C13" s="21">
        <f>(Loads!$B$304*Multi!C$854)*LAFs!C$239/(24*Input!$F$58)*1000</f>
        <v>439.37786680541672</v>
      </c>
      <c r="D13" s="21">
        <f>(Loads!$B$304*Multi!D$854)*LAFs!D$239/(24*Input!$F$58)*1000</f>
        <v>437.23098501207073</v>
      </c>
      <c r="E13" s="21">
        <f>(Loads!$B$304*Multi!E$854)*LAFs!E$239/(24*Input!$F$58)*1000</f>
        <v>554.00609485590053</v>
      </c>
      <c r="F13" s="21">
        <f>(Loads!$B$304*Multi!F$854)*LAFs!F$239/(24*Input!$F$58)*1000</f>
        <v>551.02308104636802</v>
      </c>
      <c r="G13" s="21">
        <f>(Loads!$B$304*Multi!G$854)*LAFs!G$239/(24*Input!$F$58)*1000</f>
        <v>0</v>
      </c>
      <c r="H13" s="21">
        <f>(Loads!$B$304*Multi!H$854)*LAFs!H$239/(24*Input!$F$58)*1000</f>
        <v>544.48250871192238</v>
      </c>
      <c r="I13" s="21">
        <f>(Loads!$B$304*Multi!I$854)*LAFs!I$239/(24*Input!$F$58)*1000</f>
        <v>537.43505232861833</v>
      </c>
      <c r="J13" s="21">
        <f>(Loads!$B$304*Multi!J$854)*LAFs!J$239/(24*Input!$F$58)*1000</f>
        <v>511.95658378948326</v>
      </c>
      <c r="K13" s="17"/>
    </row>
    <row r="14" spans="1:11" x14ac:dyDescent="0.25">
      <c r="A14" s="4" t="s">
        <v>173</v>
      </c>
      <c r="B14" s="21">
        <f>(Loads!$B$305*Multi!B$855)*LAFs!B$240/(24*Input!$F$58)*1000</f>
        <v>347685.63322733663</v>
      </c>
      <c r="C14" s="21">
        <f>(Loads!$B$305*Multi!C$855)*LAFs!C$240/(24*Input!$F$58)*1000</f>
        <v>349662.68095444172</v>
      </c>
      <c r="D14" s="21">
        <f>(Loads!$B$305*Multi!D$855)*LAFs!D$240/(24*Input!$F$58)*1000</f>
        <v>347954.16420777078</v>
      </c>
      <c r="E14" s="21">
        <f>(Loads!$B$305*Multi!E$855)*LAFs!E$240/(24*Input!$F$58)*1000</f>
        <v>349703.25296976184</v>
      </c>
      <c r="F14" s="21">
        <f>(Loads!$B$305*Multi!F$855)*LAFs!F$240/(24*Input!$F$58)*1000</f>
        <v>347820.2960085778</v>
      </c>
      <c r="G14" s="21">
        <f>(Loads!$B$305*Multi!G$855)*LAFs!G$240/(24*Input!$F$58)*1000</f>
        <v>0</v>
      </c>
      <c r="H14" s="21">
        <f>(Loads!$B$305*Multi!H$855)*LAFs!H$240/(24*Input!$F$58)*1000</f>
        <v>343691.71431448194</v>
      </c>
      <c r="I14" s="21">
        <f>(Loads!$B$305*Multi!I$855)*LAFs!I$240/(24*Input!$F$58)*1000</f>
        <v>339243.17404518224</v>
      </c>
      <c r="J14" s="21">
        <f>(Loads!$B$305*Multi!J$855)*LAFs!J$240/(24*Input!$F$58)*1000</f>
        <v>323160.49298525491</v>
      </c>
      <c r="K14" s="17"/>
    </row>
    <row r="15" spans="1:11" x14ac:dyDescent="0.25">
      <c r="A15" s="4" t="s">
        <v>214</v>
      </c>
      <c r="B15" s="21">
        <f>(Loads!$B$307*Multi!B$857)*LAFs!B$242/(24*Input!$F$58)*1000</f>
        <v>135.28966762024857</v>
      </c>
      <c r="C15" s="21">
        <f>(Loads!$B$307*Multi!C$857)*LAFs!C$242/(24*Input!$F$58)*1000</f>
        <v>347.60356314520897</v>
      </c>
      <c r="D15" s="21">
        <f>(Loads!$B$307*Multi!D$857)*LAFs!D$242/(24*Input!$F$58)*1000</f>
        <v>345.90510763026799</v>
      </c>
      <c r="E15" s="21">
        <f>(Loads!$B$307*Multi!E$857)*LAFs!E$242/(24*Input!$F$58)*1000</f>
        <v>460.87408039561348</v>
      </c>
      <c r="F15" s="21">
        <f>(Loads!$B$307*Multi!F$857)*LAFs!F$242/(24*Input!$F$58)*1000</f>
        <v>458.39253053715322</v>
      </c>
      <c r="G15" s="21">
        <f>(Loads!$B$307*Multi!G$857)*LAFs!G$242/(24*Input!$F$58)*1000</f>
        <v>0</v>
      </c>
      <c r="H15" s="21">
        <f>(Loads!$B$307*Multi!H$857)*LAFs!H$242/(24*Input!$F$58)*1000</f>
        <v>452.95147079451158</v>
      </c>
      <c r="I15" s="21">
        <f>(Loads!$B$307*Multi!I$857)*LAFs!I$242/(24*Input!$F$58)*1000</f>
        <v>447.08873749619232</v>
      </c>
      <c r="J15" s="21">
        <f>(Loads!$B$307*Multi!J$857)*LAFs!J$242/(24*Input!$F$58)*1000</f>
        <v>425.89336461691619</v>
      </c>
      <c r="K15" s="17"/>
    </row>
    <row r="16" spans="1:11" x14ac:dyDescent="0.25">
      <c r="A16" s="4" t="s">
        <v>215</v>
      </c>
      <c r="B16" s="21">
        <f>(Loads!$B$316*Multi!B$866)*LAFs!B$251/(24*Input!$F$58)*1000</f>
        <v>5086.7581084223739</v>
      </c>
      <c r="C16" s="21">
        <f>(Loads!$B$316*Multi!C$866)*LAFs!C$251/(24*Input!$F$58)*1000</f>
        <v>5037.4977689871057</v>
      </c>
      <c r="D16" s="21">
        <f>(Loads!$B$316*Multi!D$866)*LAFs!D$251/(24*Input!$F$58)*1000</f>
        <v>5012.8836200703854</v>
      </c>
      <c r="E16" s="21">
        <f>(Loads!$B$316*Multi!E$866)*LAFs!E$251/(24*Input!$F$58)*1000</f>
        <v>4982.388525616554</v>
      </c>
      <c r="F16" s="21">
        <f>(Loads!$B$316*Multi!F$866)*LAFs!F$251/(24*Input!$F$58)*1000</f>
        <v>4955.5611424625176</v>
      </c>
      <c r="G16" s="21">
        <f>(Loads!$B$316*Multi!G$866)*LAFs!G$251/(24*Input!$F$58)*1000</f>
        <v>0</v>
      </c>
      <c r="H16" s="21">
        <f>(Loads!$B$316*Multi!H$866)*LAFs!H$251/(24*Input!$F$58)*1000</f>
        <v>4896.739275965575</v>
      </c>
      <c r="I16" s="21">
        <f>(Loads!$B$316*Multi!I$866)*LAFs!I$251/(24*Input!$F$58)*1000</f>
        <v>4833.3588075104562</v>
      </c>
      <c r="J16" s="21">
        <f>(Loads!$B$316*Multi!J$866)*LAFs!J$251/(24*Input!$F$58)*1000</f>
        <v>4604.2212032884527</v>
      </c>
      <c r="K16" s="17"/>
    </row>
    <row r="17" spans="1:11" x14ac:dyDescent="0.25">
      <c r="A17" s="4" t="s">
        <v>216</v>
      </c>
      <c r="B17" s="21">
        <f>(Loads!$B$317*Multi!B$867)*LAFs!B$252/(24*Input!$F$58)*1000</f>
        <v>2196.3807536693726</v>
      </c>
      <c r="C17" s="21">
        <f>(Loads!$B$317*Multi!C$867)*LAFs!C$252/(24*Input!$F$58)*1000</f>
        <v>1789.8265564460776</v>
      </c>
      <c r="D17" s="21">
        <f>(Loads!$B$317*Multi!D$867)*LAFs!D$252/(24*Input!$F$58)*1000</f>
        <v>1781.0811317499742</v>
      </c>
      <c r="E17" s="21">
        <f>(Loads!$B$317*Multi!E$867)*LAFs!E$252/(24*Input!$F$58)*1000</f>
        <v>1566.7179276256115</v>
      </c>
      <c r="F17" s="21">
        <f>(Loads!$B$317*Multi!F$867)*LAFs!F$252/(24*Input!$F$58)*1000</f>
        <v>1558.2820254629014</v>
      </c>
      <c r="G17" s="21">
        <f>(Loads!$B$317*Multi!G$867)*LAFs!G$252/(24*Input!$F$58)*1000</f>
        <v>0</v>
      </c>
      <c r="H17" s="21">
        <f>(Loads!$B$317*Multi!H$867)*LAFs!H$252/(24*Input!$F$58)*1000</f>
        <v>1539.7854204102564</v>
      </c>
      <c r="I17" s="21">
        <f>(Loads!$B$317*Multi!I$867)*LAFs!I$252/(24*Input!$F$58)*1000</f>
        <v>1519.855357614189</v>
      </c>
      <c r="J17" s="21">
        <f>(Loads!$B$317*Multi!J$867)*LAFs!J$252/(24*Input!$F$58)*1000</f>
        <v>1447.8027686637176</v>
      </c>
      <c r="K17" s="17"/>
    </row>
    <row r="18" spans="1:11" x14ac:dyDescent="0.25">
      <c r="A18" s="4" t="s">
        <v>217</v>
      </c>
      <c r="B18" s="21">
        <f>(Loads!$B$318*Multi!B$868)*LAFs!B$253/(24*Input!$F$58)*1000</f>
        <v>109.26357265125833</v>
      </c>
      <c r="C18" s="21">
        <f>(Loads!$B$318*Multi!C$868)*LAFs!C$253/(24*Input!$F$58)*1000</f>
        <v>86.378776209982135</v>
      </c>
      <c r="D18" s="21">
        <f>(Loads!$B$318*Multi!D$868)*LAFs!D$253/(24*Input!$F$58)*1000</f>
        <v>85.95671347995652</v>
      </c>
      <c r="E18" s="21">
        <f>(Loads!$B$318*Multi!E$868)*LAFs!E$253/(24*Input!$F$58)*1000</f>
        <v>73.903379475142515</v>
      </c>
      <c r="F18" s="21">
        <f>(Loads!$B$318*Multi!F$868)*LAFs!F$253/(24*Input!$F$58)*1000</f>
        <v>73.505450998195286</v>
      </c>
      <c r="G18" s="21">
        <f>(Loads!$B$318*Multi!G$868)*LAFs!G$253/(24*Input!$F$58)*1000</f>
        <v>0</v>
      </c>
      <c r="H18" s="21">
        <f>(Loads!$B$318*Multi!H$868)*LAFs!H$253/(24*Input!$F$58)*1000</f>
        <v>72.63295085116556</v>
      </c>
      <c r="I18" s="21">
        <f>(Loads!$B$318*Multi!I$868)*LAFs!I$253/(24*Input!$F$58)*1000</f>
        <v>71.692833317683707</v>
      </c>
      <c r="J18" s="21">
        <f>(Loads!$B$318*Multi!J$868)*LAFs!J$253/(24*Input!$F$58)*1000</f>
        <v>68.294053148337468</v>
      </c>
      <c r="K18" s="17"/>
    </row>
    <row r="19" spans="1:11" x14ac:dyDescent="0.25">
      <c r="A19" s="4" t="s">
        <v>218</v>
      </c>
      <c r="B19" s="21">
        <f>(Loads!$B$319*Multi!B$869)*LAFs!B$254/(24*Input!$F$58)*1000</f>
        <v>7.2712579096211724E-3</v>
      </c>
      <c r="C19" s="21">
        <f>(Loads!$B$319*Multi!C$869)*LAFs!C$254/(24*Input!$F$58)*1000</f>
        <v>9.3057086699712063E-3</v>
      </c>
      <c r="D19" s="21">
        <f>(Loads!$B$319*Multi!D$869)*LAFs!D$254/(24*Input!$F$58)*1000</f>
        <v>9.2602392505327646E-3</v>
      </c>
      <c r="E19" s="21">
        <f>(Loads!$B$319*Multi!E$869)*LAFs!E$254/(24*Input!$F$58)*1000</f>
        <v>1.0315802057314191E-2</v>
      </c>
      <c r="F19" s="21">
        <f>(Loads!$B$319*Multi!F$869)*LAFs!F$254/(24*Input!$F$58)*1000</f>
        <v>1.0260257217141671E-2</v>
      </c>
      <c r="G19" s="21">
        <f>(Loads!$B$319*Multi!G$869)*LAFs!G$254/(24*Input!$F$58)*1000</f>
        <v>0</v>
      </c>
      <c r="H19" s="21">
        <f>(Loads!$B$319*Multi!H$869)*LAFs!H$254/(24*Input!$F$58)*1000</f>
        <v>1.0138469297892813E-2</v>
      </c>
      <c r="I19" s="21">
        <f>(Loads!$B$319*Multi!I$869)*LAFs!I$254/(24*Input!$F$58)*1000</f>
        <v>1.0007243006823523E-2</v>
      </c>
      <c r="J19" s="21">
        <f>(Loads!$B$319*Multi!J$869)*LAFs!J$254/(24*Input!$F$58)*1000</f>
        <v>9.532824330542377E-3</v>
      </c>
      <c r="K19" s="17"/>
    </row>
    <row r="21" spans="1:11" ht="21" customHeight="1" x14ac:dyDescent="0.3">
      <c r="A21" s="1" t="s">
        <v>799</v>
      </c>
    </row>
    <row r="22" spans="1:11" x14ac:dyDescent="0.25">
      <c r="A22" s="2" t="s">
        <v>350</v>
      </c>
    </row>
    <row r="23" spans="1:11" x14ac:dyDescent="0.25">
      <c r="A23" s="32" t="s">
        <v>567</v>
      </c>
    </row>
    <row r="24" spans="1:11" x14ac:dyDescent="0.25">
      <c r="A24" s="32" t="s">
        <v>796</v>
      </c>
    </row>
    <row r="25" spans="1:11" x14ac:dyDescent="0.25">
      <c r="A25" s="32" t="s">
        <v>800</v>
      </c>
    </row>
    <row r="26" spans="1:11" x14ac:dyDescent="0.25">
      <c r="A26" s="32" t="s">
        <v>801</v>
      </c>
    </row>
    <row r="27" spans="1:11" x14ac:dyDescent="0.25">
      <c r="A27" s="32" t="s">
        <v>802</v>
      </c>
    </row>
    <row r="28" spans="1:11" x14ac:dyDescent="0.25">
      <c r="A28" s="32" t="s">
        <v>578</v>
      </c>
    </row>
    <row r="29" spans="1:11" x14ac:dyDescent="0.25">
      <c r="A29" s="2" t="s">
        <v>803</v>
      </c>
    </row>
    <row r="31" spans="1:11" x14ac:dyDescent="0.25">
      <c r="B31" s="15" t="s">
        <v>139</v>
      </c>
      <c r="C31" s="15" t="s">
        <v>140</v>
      </c>
      <c r="D31" s="15" t="s">
        <v>141</v>
      </c>
      <c r="E31" s="15" t="s">
        <v>142</v>
      </c>
      <c r="F31" s="15" t="s">
        <v>143</v>
      </c>
      <c r="G31" s="15" t="s">
        <v>148</v>
      </c>
      <c r="H31" s="15" t="s">
        <v>144</v>
      </c>
      <c r="I31" s="15" t="s">
        <v>145</v>
      </c>
      <c r="J31" s="15" t="s">
        <v>146</v>
      </c>
    </row>
    <row r="32" spans="1:11" x14ac:dyDescent="0.25">
      <c r="A32" s="4" t="s">
        <v>172</v>
      </c>
      <c r="B32" s="21">
        <f>(Loads!$B$303*Multi!B$853+Loads!$C$303*Multi!B$882)*LAFs!B$238/(24*Input!$F$58)*1000</f>
        <v>142415.49207341182</v>
      </c>
      <c r="C32" s="21">
        <f>(Loads!$B$303*Multi!C$853+Loads!$C$303*Multi!C$882)*LAFs!C$238/(24*Input!$F$58)*1000</f>
        <v>141099.65292302342</v>
      </c>
      <c r="D32" s="21">
        <f>(Loads!$B$303*Multi!D$853+Loads!$C$303*Multi!D$882)*LAFs!D$238/(24*Input!$F$58)*1000</f>
        <v>140410.21383472718</v>
      </c>
      <c r="E32" s="21">
        <f>(Loads!$B$303*Multi!E$853+Loads!$C$303*Multi!E$882)*LAFs!E$238/(24*Input!$F$58)*1000</f>
        <v>139251.00659049032</v>
      </c>
      <c r="F32" s="21">
        <f>(Loads!$B$303*Multi!F$853+Loads!$C$303*Multi!F$882)*LAFs!F$238/(24*Input!$F$58)*1000</f>
        <v>138501.21759086059</v>
      </c>
      <c r="G32" s="21">
        <f>(Loads!$B$303*Multi!G$853+Loads!$C$303*Multi!G$882)*LAFs!G$238/(24*Input!$F$58)*1000</f>
        <v>0</v>
      </c>
      <c r="H32" s="21">
        <f>(Loads!$B$303*Multi!H$853+Loads!$C$303*Multi!H$882)*LAFs!H$238/(24*Input!$F$58)*1000</f>
        <v>136857.22614436518</v>
      </c>
      <c r="I32" s="21">
        <f>(Loads!$B$303*Multi!I$853+Loads!$C$303*Multi!I$882)*LAFs!I$238/(24*Input!$F$58)*1000</f>
        <v>135085.82795147534</v>
      </c>
      <c r="J32" s="21">
        <f>(Loads!$B$303*Multi!J$853+Loads!$C$303*Multi!J$882)*LAFs!J$238/(24*Input!$F$58)*1000</f>
        <v>128681.74246685354</v>
      </c>
      <c r="K32" s="17"/>
    </row>
    <row r="33" spans="1:11" x14ac:dyDescent="0.25">
      <c r="A33" s="4" t="s">
        <v>174</v>
      </c>
      <c r="B33" s="21">
        <f>(Loads!$B$306*Multi!B$856+Loads!$C$306*Multi!B$883)*LAFs!B$241/(24*Input!$F$58)*1000</f>
        <v>132260.11235060962</v>
      </c>
      <c r="C33" s="21">
        <f>(Loads!$B$306*Multi!C$856+Loads!$C$306*Multi!C$883)*LAFs!C$241/(24*Input!$F$58)*1000</f>
        <v>133449.4334571377</v>
      </c>
      <c r="D33" s="21">
        <f>(Loads!$B$306*Multi!D$856+Loads!$C$306*Multi!D$883)*LAFs!D$241/(24*Input!$F$58)*1000</f>
        <v>132797.3747608166</v>
      </c>
      <c r="E33" s="21">
        <f>(Loads!$B$306*Multi!E$856+Loads!$C$306*Multi!E$883)*LAFs!E$241/(24*Input!$F$58)*1000</f>
        <v>133538.12305513435</v>
      </c>
      <c r="F33" s="21">
        <f>(Loads!$B$306*Multi!F$856+Loads!$C$306*Multi!F$883)*LAFs!F$241/(24*Input!$F$58)*1000</f>
        <v>132819.09474683364</v>
      </c>
      <c r="G33" s="21">
        <f>(Loads!$B$306*Multi!G$856+Loads!$C$306*Multi!G$883)*LAFs!G$241/(24*Input!$F$58)*1000</f>
        <v>0</v>
      </c>
      <c r="H33" s="21">
        <f>(Loads!$B$306*Multi!H$856+Loads!$C$306*Multi!H$883)*LAFs!H$241/(24*Input!$F$58)*1000</f>
        <v>131242.54935977361</v>
      </c>
      <c r="I33" s="21">
        <f>(Loads!$B$306*Multi!I$856+Loads!$C$306*Multi!I$883)*LAFs!I$241/(24*Input!$F$58)*1000</f>
        <v>129543.82418963962</v>
      </c>
      <c r="J33" s="21">
        <f>(Loads!$B$306*Multi!J$856+Loads!$C$306*Multi!J$883)*LAFs!J$241/(24*Input!$F$58)*1000</f>
        <v>123402.47141639919</v>
      </c>
      <c r="K33" s="17"/>
    </row>
    <row r="34" spans="1:11" x14ac:dyDescent="0.25">
      <c r="A34" s="4" t="s">
        <v>175</v>
      </c>
      <c r="B34" s="21">
        <f>(Loads!$B$308*Multi!B$858+Loads!$C$308*Multi!B$884)*LAFs!B$243/(24*Input!$F$58)*1000</f>
        <v>0</v>
      </c>
      <c r="C34" s="21">
        <f>(Loads!$B$308*Multi!C$858+Loads!$C$308*Multi!C$884)*LAFs!C$243/(24*Input!$F$58)*1000</f>
        <v>0</v>
      </c>
      <c r="D34" s="21">
        <f>(Loads!$B$308*Multi!D$858+Loads!$C$308*Multi!D$884)*LAFs!D$243/(24*Input!$F$58)*1000</f>
        <v>0</v>
      </c>
      <c r="E34" s="21">
        <f>(Loads!$B$308*Multi!E$858+Loads!$C$308*Multi!E$884)*LAFs!E$243/(24*Input!$F$58)*1000</f>
        <v>0</v>
      </c>
      <c r="F34" s="21">
        <f>(Loads!$B$308*Multi!F$858+Loads!$C$308*Multi!F$884)*LAFs!F$243/(24*Input!$F$58)*1000</f>
        <v>0</v>
      </c>
      <c r="G34" s="21">
        <f>(Loads!$B$308*Multi!G$858+Loads!$C$308*Multi!G$884)*LAFs!G$243/(24*Input!$F$58)*1000</f>
        <v>0</v>
      </c>
      <c r="H34" s="21">
        <f>(Loads!$B$308*Multi!H$858+Loads!$C$308*Multi!H$884)*LAFs!H$243/(24*Input!$F$58)*1000</f>
        <v>0</v>
      </c>
      <c r="I34" s="21">
        <f>(Loads!$B$308*Multi!I$858+Loads!$C$308*Multi!I$884)*LAFs!I$243/(24*Input!$F$58)*1000</f>
        <v>0</v>
      </c>
      <c r="J34" s="21">
        <f>(Loads!$B$308*Multi!J$858+Loads!$C$308*Multi!J$884)*LAFs!J$243/(24*Input!$F$58)*1000</f>
        <v>0</v>
      </c>
      <c r="K34" s="17"/>
    </row>
    <row r="35" spans="1:11" x14ac:dyDescent="0.25">
      <c r="A35" s="4" t="s">
        <v>176</v>
      </c>
      <c r="B35" s="21">
        <f>(Loads!$B$309*Multi!B$859+Loads!$C$309*Multi!B$885)*LAFs!B$244/(24*Input!$F$58)*1000</f>
        <v>0</v>
      </c>
      <c r="C35" s="21">
        <f>(Loads!$B$309*Multi!C$859+Loads!$C$309*Multi!C$885)*LAFs!C$244/(24*Input!$F$58)*1000</f>
        <v>0</v>
      </c>
      <c r="D35" s="21">
        <f>(Loads!$B$309*Multi!D$859+Loads!$C$309*Multi!D$885)*LAFs!D$244/(24*Input!$F$58)*1000</f>
        <v>0</v>
      </c>
      <c r="E35" s="21">
        <f>(Loads!$B$309*Multi!E$859+Loads!$C$309*Multi!E$885)*LAFs!E$244/(24*Input!$F$58)*1000</f>
        <v>0</v>
      </c>
      <c r="F35" s="21">
        <f>(Loads!$B$309*Multi!F$859+Loads!$C$309*Multi!F$885)*LAFs!F$244/(24*Input!$F$58)*1000</f>
        <v>0</v>
      </c>
      <c r="G35" s="21">
        <f>(Loads!$B$309*Multi!G$859+Loads!$C$309*Multi!G$885)*LAFs!G$244/(24*Input!$F$58)*1000</f>
        <v>0</v>
      </c>
      <c r="H35" s="21">
        <f>(Loads!$B$309*Multi!H$859+Loads!$C$309*Multi!H$885)*LAFs!H$244/(24*Input!$F$58)*1000</f>
        <v>0</v>
      </c>
      <c r="I35" s="21">
        <f>(Loads!$B$309*Multi!I$859+Loads!$C$309*Multi!I$885)*LAFs!I$244/(24*Input!$F$58)*1000</f>
        <v>0</v>
      </c>
      <c r="J35" s="21">
        <f>(Loads!$B$309*Multi!J$859+Loads!$C$309*Multi!J$885)*LAFs!J$244/(24*Input!$F$58)*1000</f>
        <v>0</v>
      </c>
      <c r="K35" s="17"/>
    </row>
    <row r="36" spans="1:11" x14ac:dyDescent="0.25">
      <c r="A36" s="4" t="s">
        <v>192</v>
      </c>
      <c r="B36" s="21">
        <f>(Loads!$B$310*Multi!B$860+Loads!$C$310*Multi!B$886)*LAFs!B$245/(24*Input!$F$58)*1000</f>
        <v>1272.9483677320154</v>
      </c>
      <c r="C36" s="21">
        <f>(Loads!$B$310*Multi!C$860+Loads!$C$310*Multi!C$886)*LAFs!C$245/(24*Input!$F$58)*1000</f>
        <v>1269.3863530915933</v>
      </c>
      <c r="D36" s="21">
        <f>(Loads!$B$310*Multi!D$860+Loads!$C$310*Multi!D$886)*LAFs!D$245/(24*Input!$F$58)*1000</f>
        <v>1263.1838958080973</v>
      </c>
      <c r="E36" s="21">
        <f>(Loads!$B$310*Multi!E$860+Loads!$C$310*Multi!E$886)*LAFs!E$245/(24*Input!$F$58)*1000</f>
        <v>1262.3664099674556</v>
      </c>
      <c r="F36" s="21">
        <f>(Loads!$B$310*Multi!F$860+Loads!$C$310*Multi!F$886)*LAFs!F$245/(24*Input!$F$58)*1000</f>
        <v>1255.5692709673831</v>
      </c>
      <c r="G36" s="21">
        <f>(Loads!$B$310*Multi!G$860+Loads!$C$310*Multi!G$886)*LAFs!G$245/(24*Input!$F$58)*1000</f>
        <v>0</v>
      </c>
      <c r="H36" s="21">
        <f>(Loads!$B$310*Multi!H$860+Loads!$C$310*Multi!H$886)*LAFs!H$245/(24*Input!$F$58)*1000</f>
        <v>1240.6658269554284</v>
      </c>
      <c r="I36" s="21">
        <f>(Loads!$B$310*Multi!I$860+Loads!$C$310*Multi!I$886)*LAFs!I$245/(24*Input!$F$58)*1000</f>
        <v>0</v>
      </c>
      <c r="J36" s="21">
        <f>(Loads!$B$310*Multi!J$860+Loads!$C$310*Multi!J$886)*LAFs!J$245/(24*Input!$F$58)*1000</f>
        <v>0</v>
      </c>
      <c r="K36" s="17"/>
    </row>
    <row r="38" spans="1:11" ht="21" customHeight="1" x14ac:dyDescent="0.3">
      <c r="A38" s="1" t="s">
        <v>804</v>
      </c>
    </row>
    <row r="39" spans="1:11" x14ac:dyDescent="0.25">
      <c r="A39" s="2" t="s">
        <v>350</v>
      </c>
    </row>
    <row r="40" spans="1:11" x14ac:dyDescent="0.25">
      <c r="A40" s="32" t="s">
        <v>567</v>
      </c>
    </row>
    <row r="41" spans="1:11" x14ac:dyDescent="0.25">
      <c r="A41" s="32" t="s">
        <v>796</v>
      </c>
    </row>
    <row r="42" spans="1:11" x14ac:dyDescent="0.25">
      <c r="A42" s="32" t="s">
        <v>800</v>
      </c>
    </row>
    <row r="43" spans="1:11" x14ac:dyDescent="0.25">
      <c r="A43" s="32" t="s">
        <v>801</v>
      </c>
    </row>
    <row r="44" spans="1:11" x14ac:dyDescent="0.25">
      <c r="A44" s="32" t="s">
        <v>805</v>
      </c>
    </row>
    <row r="45" spans="1:11" x14ac:dyDescent="0.25">
      <c r="A45" s="32" t="s">
        <v>806</v>
      </c>
    </row>
    <row r="46" spans="1:11" x14ac:dyDescent="0.25">
      <c r="A46" s="32" t="s">
        <v>807</v>
      </c>
    </row>
    <row r="47" spans="1:11" x14ac:dyDescent="0.25">
      <c r="A47" s="32" t="s">
        <v>588</v>
      </c>
    </row>
    <row r="48" spans="1:11" x14ac:dyDescent="0.25">
      <c r="A48" s="2" t="s">
        <v>808</v>
      </c>
    </row>
    <row r="50" spans="1:11" x14ac:dyDescent="0.25">
      <c r="B50" s="15" t="s">
        <v>139</v>
      </c>
      <c r="C50" s="15" t="s">
        <v>140</v>
      </c>
      <c r="D50" s="15" t="s">
        <v>141</v>
      </c>
      <c r="E50" s="15" t="s">
        <v>142</v>
      </c>
      <c r="F50" s="15" t="s">
        <v>143</v>
      </c>
      <c r="G50" s="15" t="s">
        <v>148</v>
      </c>
      <c r="H50" s="15" t="s">
        <v>144</v>
      </c>
      <c r="I50" s="15" t="s">
        <v>145</v>
      </c>
      <c r="J50" s="15" t="s">
        <v>146</v>
      </c>
    </row>
    <row r="51" spans="1:11" x14ac:dyDescent="0.25">
      <c r="A51" s="4" t="s">
        <v>177</v>
      </c>
      <c r="B51" s="21">
        <f>(Loads!$B$311*Multi!B$861+Loads!$C$311*Multi!B$887+Loads!$D$311*Multi!B$904)*LAFs!B$246/(24*Input!$F$58)*1000</f>
        <v>0</v>
      </c>
      <c r="C51" s="21">
        <f>(Loads!$B$311*Multi!C$861+Loads!$C$311*Multi!C$887+Loads!$D$311*Multi!C$904)*LAFs!C$246/(24*Input!$F$58)*1000</f>
        <v>0</v>
      </c>
      <c r="D51" s="21">
        <f>(Loads!$B$311*Multi!D$861+Loads!$C$311*Multi!D$887+Loads!$D$311*Multi!D$904)*LAFs!D$246/(24*Input!$F$58)*1000</f>
        <v>0</v>
      </c>
      <c r="E51" s="21">
        <f>(Loads!$B$311*Multi!E$861+Loads!$C$311*Multi!E$887+Loads!$D$311*Multi!E$904)*LAFs!E$246/(24*Input!$F$58)*1000</f>
        <v>0</v>
      </c>
      <c r="F51" s="21">
        <f>(Loads!$B$311*Multi!F$861+Loads!$C$311*Multi!F$887+Loads!$D$311*Multi!F$904)*LAFs!F$246/(24*Input!$F$58)*1000</f>
        <v>0</v>
      </c>
      <c r="G51" s="21">
        <f>(Loads!$B$311*Multi!G$861+Loads!$C$311*Multi!G$887+Loads!$D$311*Multi!G$904)*LAFs!G$246/(24*Input!$F$58)*1000</f>
        <v>0</v>
      </c>
      <c r="H51" s="21">
        <f>(Loads!$B$311*Multi!H$861+Loads!$C$311*Multi!H$887+Loads!$D$311*Multi!H$904)*LAFs!H$246/(24*Input!$F$58)*1000</f>
        <v>0</v>
      </c>
      <c r="I51" s="21">
        <f>(Loads!$B$311*Multi!I$861+Loads!$C$311*Multi!I$887+Loads!$D$311*Multi!I$904)*LAFs!I$246/(24*Input!$F$58)*1000</f>
        <v>0</v>
      </c>
      <c r="J51" s="21">
        <f>(Loads!$B$311*Multi!J$861+Loads!$C$311*Multi!J$887+Loads!$D$311*Multi!J$904)*LAFs!J$246/(24*Input!$F$58)*1000</f>
        <v>0</v>
      </c>
      <c r="K51" s="17"/>
    </row>
    <row r="52" spans="1:11" x14ac:dyDescent="0.25">
      <c r="A52" s="4" t="s">
        <v>178</v>
      </c>
      <c r="B52" s="21">
        <f>(Loads!$B$312*Multi!B$862+Loads!$C$312*Multi!B$888+Loads!$D$312*Multi!B$905)*LAFs!B$247/(24*Input!$F$58)*1000</f>
        <v>109560.01444857928</v>
      </c>
      <c r="C52" s="21">
        <f>(Loads!$B$312*Multi!C$862+Loads!$C$312*Multi!C$888+Loads!$D$312*Multi!C$905)*LAFs!C$247/(24*Input!$F$58)*1000</f>
        <v>108087.61295744689</v>
      </c>
      <c r="D52" s="21">
        <f>(Loads!$B$312*Multi!D$862+Loads!$C$312*Multi!D$888+Loads!$D$312*Multi!D$905)*LAFs!D$247/(24*Input!$F$58)*1000</f>
        <v>107559.47682252561</v>
      </c>
      <c r="E52" s="21">
        <f>(Loads!$B$312*Multi!E$862+Loads!$C$312*Multi!E$888+Loads!$D$312*Multi!E$905)*LAFs!E$247/(24*Input!$F$58)*1000</f>
        <v>106809.43851927233</v>
      </c>
      <c r="F52" s="21">
        <f>(Loads!$B$312*Multi!F$862+Loads!$C$312*Multi!F$888+Loads!$D$312*Multi!F$905)*LAFs!F$247/(24*Input!$F$58)*1000</f>
        <v>106234.32926858026</v>
      </c>
      <c r="G52" s="21">
        <f>(Loads!$B$312*Multi!G$862+Loads!$C$312*Multi!G$888+Loads!$D$312*Multi!G$905)*LAFs!G$247/(24*Input!$F$58)*1000</f>
        <v>0</v>
      </c>
      <c r="H52" s="21">
        <f>(Loads!$B$312*Multi!H$862+Loads!$C$312*Multi!H$888+Loads!$D$312*Multi!H$905)*LAFs!H$247/(24*Input!$F$58)*1000</f>
        <v>104973.34159150692</v>
      </c>
      <c r="I52" s="21">
        <f>(Loads!$B$312*Multi!I$862+Loads!$C$312*Multi!I$888+Loads!$D$312*Multi!I$905)*LAFs!I$247/(24*Input!$F$58)*1000</f>
        <v>103614.62935660713</v>
      </c>
      <c r="J52" s="21">
        <f>(Loads!$B$312*Multi!J$862+Loads!$C$312*Multi!J$888+Loads!$D$312*Multi!J$905)*LAFs!J$247/(24*Input!$F$58)*1000</f>
        <v>98702.51567362716</v>
      </c>
      <c r="K52" s="17"/>
    </row>
    <row r="53" spans="1:11" x14ac:dyDescent="0.25">
      <c r="A53" s="4" t="s">
        <v>179</v>
      </c>
      <c r="B53" s="21">
        <f>(Loads!$B$313*Multi!B$863+Loads!$C$313*Multi!B$889+Loads!$D$313*Multi!B$906)*LAFs!B$248/(24*Input!$F$58)*1000</f>
        <v>419768.38833627856</v>
      </c>
      <c r="C53" s="21">
        <f>(Loads!$B$313*Multi!C$863+Loads!$C$313*Multi!C$889+Loads!$D$313*Multi!C$906)*LAFs!C$248/(24*Input!$F$58)*1000</f>
        <v>414369.7371426376</v>
      </c>
      <c r="D53" s="21">
        <f>(Loads!$B$313*Multi!D$863+Loads!$C$313*Multi!D$889+Loads!$D$313*Multi!D$906)*LAFs!D$248/(24*Input!$F$58)*1000</f>
        <v>412345.04971162719</v>
      </c>
      <c r="E53" s="21">
        <f>(Loads!$B$313*Multi!E$863+Loads!$C$313*Multi!E$889+Loads!$D$313*Multi!E$906)*LAFs!E$248/(24*Input!$F$58)*1000</f>
        <v>409604.84315098956</v>
      </c>
      <c r="F53" s="21">
        <f>(Loads!$B$313*Multi!F$863+Loads!$C$313*Multi!F$889+Loads!$D$313*Multi!F$906)*LAFs!F$248/(24*Input!$F$58)*1000</f>
        <v>407399.34953834501</v>
      </c>
      <c r="G53" s="21">
        <f>(Loads!$B$313*Multi!G$863+Loads!$C$313*Multi!G$889+Loads!$D$313*Multi!G$906)*LAFs!G$248/(24*Input!$F$58)*1000</f>
        <v>0</v>
      </c>
      <c r="H53" s="21">
        <f>(Loads!$B$313*Multi!H$863+Loads!$C$313*Multi!H$889+Loads!$D$313*Multi!H$906)*LAFs!H$248/(24*Input!$F$58)*1000</f>
        <v>402563.5722246223</v>
      </c>
      <c r="I53" s="21">
        <f>(Loads!$B$313*Multi!I$863+Loads!$C$313*Multi!I$889+Loads!$D$313*Multi!I$906)*LAFs!I$248/(24*Input!$F$58)*1000</f>
        <v>397353.02978961979</v>
      </c>
      <c r="J53" s="21">
        <f>(Loads!$B$313*Multi!J$863+Loads!$C$313*Multi!J$889+Loads!$D$313*Multi!J$906)*LAFs!J$248/(24*Input!$F$58)*1000</f>
        <v>378515.50398150692</v>
      </c>
      <c r="K53" s="17"/>
    </row>
    <row r="54" spans="1:11" x14ac:dyDescent="0.25">
      <c r="A54" s="4" t="s">
        <v>180</v>
      </c>
      <c r="B54" s="21">
        <f>(Loads!$B$314*Multi!B$864+Loads!$C$314*Multi!B$890+Loads!$D$314*Multi!B$907)*LAFs!B$249/(24*Input!$F$58)*1000</f>
        <v>220855.581800263</v>
      </c>
      <c r="C54" s="21">
        <f>(Loads!$B$314*Multi!C$864+Loads!$C$314*Multi!C$890+Loads!$D$314*Multi!C$907)*LAFs!C$249/(24*Input!$F$58)*1000</f>
        <v>219089.18534000372</v>
      </c>
      <c r="D54" s="21">
        <f>(Loads!$B$314*Multi!D$864+Loads!$C$314*Multi!D$890+Loads!$D$314*Multi!D$907)*LAFs!D$249/(24*Input!$F$58)*1000</f>
        <v>218018.67492366143</v>
      </c>
      <c r="E54" s="21">
        <f>(Loads!$B$314*Multi!E$864+Loads!$C$314*Multi!E$890+Loads!$D$314*Multi!E$907)*LAFs!E$249/(24*Input!$F$58)*1000</f>
        <v>217198.11241550697</v>
      </c>
      <c r="F54" s="21">
        <f>(Loads!$B$314*Multi!F$864+Loads!$C$314*Multi!F$890+Loads!$D$314*Multi!F$907)*LAFs!F$249/(24*Input!$F$58)*1000</f>
        <v>216028.62172802928</v>
      </c>
      <c r="G54" s="21">
        <f>(Loads!$B$314*Multi!G$864+Loads!$C$314*Multi!G$890+Loads!$D$314*Multi!G$907)*LAFs!G$249/(24*Input!$F$58)*1000</f>
        <v>0</v>
      </c>
      <c r="H54" s="21">
        <f>(Loads!$B$314*Multi!H$864+Loads!$C$314*Multi!H$890+Loads!$D$314*Multi!H$907)*LAFs!H$249/(24*Input!$F$58)*1000</f>
        <v>213464.39007363174</v>
      </c>
      <c r="I54" s="21">
        <f>(Loads!$B$314*Multi!I$864+Loads!$C$314*Multi!I$890+Loads!$D$314*Multi!I$907)*LAFs!I$249/(24*Input!$F$58)*1000</f>
        <v>210701.43450690206</v>
      </c>
      <c r="J54" s="21">
        <f>(Loads!$B$314*Multi!J$864+Loads!$C$314*Multi!J$890+Loads!$D$314*Multi!J$907)*LAFs!J$249/(24*Input!$F$58)*1000</f>
        <v>0</v>
      </c>
      <c r="K54" s="17"/>
    </row>
    <row r="55" spans="1:11" x14ac:dyDescent="0.25">
      <c r="A55" s="4" t="s">
        <v>193</v>
      </c>
      <c r="B55" s="21">
        <f>(Loads!$B$315*Multi!B$865+Loads!$C$315*Multi!B$891+Loads!$D$315*Multi!B$908)*LAFs!B$250/(24*Input!$F$58)*1000</f>
        <v>731795.7970131475</v>
      </c>
      <c r="C55" s="21">
        <f>(Loads!$B$315*Multi!C$865+Loads!$C$315*Multi!C$891+Loads!$D$315*Multi!C$908)*LAFs!C$250/(24*Input!$F$58)*1000</f>
        <v>722872.62055886351</v>
      </c>
      <c r="D55" s="21">
        <f>(Loads!$B$315*Multi!D$865+Loads!$C$315*Multi!D$891+Loads!$D$315*Multi!D$908)*LAFs!D$250/(24*Input!$F$58)*1000</f>
        <v>719340.53079005098</v>
      </c>
      <c r="E55" s="21">
        <f>(Loads!$B$315*Multi!E$865+Loads!$C$315*Multi!E$891+Loads!$D$315*Multi!E$908)*LAFs!E$250/(24*Input!$F$58)*1000</f>
        <v>714447.31306646392</v>
      </c>
      <c r="F55" s="21">
        <f>(Loads!$B$315*Multi!F$865+Loads!$C$315*Multi!F$891+Loads!$D$315*Multi!F$908)*LAFs!F$250/(24*Input!$F$58)*1000</f>
        <v>710600.41278711776</v>
      </c>
      <c r="G55" s="21">
        <f>(Loads!$B$315*Multi!G$865+Loads!$C$315*Multi!G$891+Loads!$D$315*Multi!G$908)*LAFs!G$250/(24*Input!$F$58)*1000</f>
        <v>0</v>
      </c>
      <c r="H55" s="21">
        <f>(Loads!$B$315*Multi!H$865+Loads!$C$315*Multi!H$891+Loads!$D$315*Multi!H$908)*LAFs!H$250/(24*Input!$F$58)*1000</f>
        <v>702165.67827128724</v>
      </c>
      <c r="I55" s="21">
        <f>(Loads!$B$315*Multi!I$865+Loads!$C$315*Multi!I$891+Loads!$D$315*Multi!I$908)*LAFs!I$250/(24*Input!$F$58)*1000</f>
        <v>0</v>
      </c>
      <c r="J55" s="21">
        <f>(Loads!$B$315*Multi!J$865+Loads!$C$315*Multi!J$891+Loads!$D$315*Multi!J$908)*LAFs!J$250/(24*Input!$F$58)*1000</f>
        <v>0</v>
      </c>
      <c r="K55" s="17"/>
    </row>
    <row r="56" spans="1:11" x14ac:dyDescent="0.25">
      <c r="A56" s="4" t="s">
        <v>219</v>
      </c>
      <c r="B56" s="21">
        <f>(Loads!$B$320*Multi!B$870+Loads!$C$320*Multi!B$892+Loads!$D$320*Multi!B$909)*LAFs!B$255/(24*Input!$F$58)*1000</f>
        <v>61995.037423918773</v>
      </c>
      <c r="C56" s="21">
        <f>(Loads!$B$320*Multi!C$870+Loads!$C$320*Multi!C$892+Loads!$D$320*Multi!C$909)*LAFs!C$255/(24*Input!$F$58)*1000</f>
        <v>50833.052852048262</v>
      </c>
      <c r="D56" s="21">
        <f>(Loads!$B$320*Multi!D$870+Loads!$C$320*Multi!D$892+Loads!$D$320*Multi!D$909)*LAFs!D$255/(24*Input!$F$58)*1000</f>
        <v>50584.673122632834</v>
      </c>
      <c r="E56" s="21">
        <f>(Loads!$B$320*Multi!E$870+Loads!$C$320*Multi!E$892+Loads!$D$320*Multi!E$909)*LAFs!E$255/(24*Input!$F$58)*1000</f>
        <v>44697.664453452846</v>
      </c>
      <c r="F56" s="21">
        <f>(Loads!$B$320*Multi!F$870+Loads!$C$320*Multi!F$892+Loads!$D$320*Multi!F$909)*LAFs!F$255/(24*Input!$F$58)*1000</f>
        <v>44456.99246165248</v>
      </c>
      <c r="G56" s="21">
        <f>(Loads!$B$320*Multi!G$870+Loads!$C$320*Multi!G$892+Loads!$D$320*Multi!G$909)*LAFs!G$255/(24*Input!$F$58)*1000</f>
        <v>0</v>
      </c>
      <c r="H56" s="21">
        <f>(Loads!$B$320*Multi!H$870+Loads!$C$320*Multi!H$892+Loads!$D$320*Multi!H$909)*LAFs!H$255/(24*Input!$F$58)*1000</f>
        <v>43929.293740910754</v>
      </c>
      <c r="I56" s="21">
        <f>(Loads!$B$320*Multi!I$870+Loads!$C$320*Multi!I$892+Loads!$D$320*Multi!I$909)*LAFs!I$255/(24*Input!$F$58)*1000</f>
        <v>43360.699200893629</v>
      </c>
      <c r="J56" s="21">
        <f>(Loads!$B$320*Multi!J$870+Loads!$C$320*Multi!J$892+Loads!$D$320*Multi!J$909)*LAFs!J$255/(24*Input!$F$58)*1000</f>
        <v>41305.075538763471</v>
      </c>
      <c r="K56" s="17"/>
    </row>
    <row r="57" spans="1:11" x14ac:dyDescent="0.25">
      <c r="A57" s="4" t="s">
        <v>184</v>
      </c>
      <c r="B57" s="21">
        <f>(Loads!$B$324*Multi!B$871+Loads!$C$324*Multi!B$893+Loads!$D$324*Multi!B$910)*LAFs!B$259/(24*Input!$F$58)*1000</f>
        <v>-274.84691995215212</v>
      </c>
      <c r="C57" s="21">
        <f>(Loads!$B$324*Multi!C$871+Loads!$C$324*Multi!C$893+Loads!$D$324*Multi!C$910)*LAFs!C$259/(24*Input!$F$58)*1000</f>
        <v>-282.73296124442226</v>
      </c>
      <c r="D57" s="21">
        <f>(Loads!$B$324*Multi!D$871+Loads!$C$324*Multi!D$893+Loads!$D$324*Multi!D$910)*LAFs!D$259/(24*Input!$F$58)*1000</f>
        <v>-281.35147552852186</v>
      </c>
      <c r="E57" s="21">
        <f>(Loads!$B$324*Multi!E$871+Loads!$C$324*Multi!E$893+Loads!$D$324*Multi!E$910)*LAFs!E$259/(24*Input!$F$58)*1000</f>
        <v>-285.89523838075047</v>
      </c>
      <c r="F57" s="21">
        <f>(Loads!$B$324*Multi!F$871+Loads!$C$324*Multi!F$893+Loads!$D$324*Multi!F$910)*LAFs!F$259/(24*Input!$F$58)*1000</f>
        <v>-284.35585198755342</v>
      </c>
      <c r="G57" s="21">
        <f>(Loads!$B$324*Multi!G$871+Loads!$C$324*Multi!G$893+Loads!$D$324*Multi!G$910)*LAFs!G$259/(24*Input!$F$58)*1000</f>
        <v>0</v>
      </c>
      <c r="H57" s="21">
        <f>(Loads!$B$324*Multi!H$871+Loads!$C$324*Multi!H$893+Loads!$D$324*Multi!H$910)*LAFs!H$259/(24*Input!$F$58)*1000</f>
        <v>-280.98058499308252</v>
      </c>
      <c r="I57" s="21">
        <f>(Loads!$B$324*Multi!I$871+Loads!$C$324*Multi!I$893+Loads!$D$324*Multi!I$910)*LAFs!I$259/(24*Input!$F$58)*1000</f>
        <v>-277.3437401255062</v>
      </c>
      <c r="J57" s="21">
        <f>(Loads!$B$324*Multi!J$871+Loads!$C$324*Multi!J$893+Loads!$D$324*Multi!J$910)*LAFs!J$259/(24*Input!$F$58)*1000</f>
        <v>0</v>
      </c>
      <c r="K57" s="17"/>
    </row>
    <row r="58" spans="1:11" x14ac:dyDescent="0.25">
      <c r="A58" s="4" t="s">
        <v>186</v>
      </c>
      <c r="B58" s="21">
        <f>(Loads!$B$326*Multi!B$872+Loads!$C$326*Multi!B$894+Loads!$D$326*Multi!B$911)*LAFs!B$261/(24*Input!$F$58)*1000</f>
        <v>-52.38682469511712</v>
      </c>
      <c r="C58" s="21">
        <f>(Loads!$B$326*Multi!C$872+Loads!$C$326*Multi!C$894+Loads!$D$326*Multi!C$911)*LAFs!C$261/(24*Input!$F$58)*1000</f>
        <v>-48.636769380414343</v>
      </c>
      <c r="D58" s="21">
        <f>(Loads!$B$326*Multi!D$872+Loads!$C$326*Multi!D$894+Loads!$D$326*Multi!D$911)*LAFs!D$261/(24*Input!$F$58)*1000</f>
        <v>-48.399121099609566</v>
      </c>
      <c r="E58" s="21">
        <f>(Loads!$B$326*Multi!E$872+Loads!$C$326*Multi!E$894+Loads!$D$326*Multi!E$911)*LAFs!E$261/(24*Input!$F$58)*1000</f>
        <v>-46.1227819962781</v>
      </c>
      <c r="F58" s="21">
        <f>(Loads!$B$326*Multi!F$872+Loads!$C$326*Multi!F$894+Loads!$D$326*Multi!F$911)*LAFs!F$261/(24*Input!$F$58)*1000</f>
        <v>-45.874436541405899</v>
      </c>
      <c r="G58" s="21">
        <f>(Loads!$B$326*Multi!G$872+Loads!$C$326*Multi!G$894+Loads!$D$326*Multi!G$911)*LAFs!G$261/(24*Input!$F$58)*1000</f>
        <v>0</v>
      </c>
      <c r="H58" s="21">
        <f>(Loads!$B$326*Multi!H$872+Loads!$C$326*Multi!H$894+Loads!$D$326*Multi!H$911)*LAFs!H$261/(24*Input!$F$58)*1000</f>
        <v>-45.329912943716984</v>
      </c>
      <c r="I58" s="21">
        <f>(Loads!$B$326*Multi!I$872+Loads!$C$326*Multi!I$894+Loads!$D$326*Multi!I$911)*LAFs!I$261/(24*Input!$F$58)*1000</f>
        <v>0</v>
      </c>
      <c r="J58" s="21">
        <f>(Loads!$B$326*Multi!J$872+Loads!$C$326*Multi!J$894+Loads!$D$326*Multi!J$911)*LAFs!J$261/(24*Input!$F$58)*1000</f>
        <v>0</v>
      </c>
      <c r="K58" s="17"/>
    </row>
    <row r="59" spans="1:11" x14ac:dyDescent="0.25">
      <c r="A59" s="4" t="s">
        <v>195</v>
      </c>
      <c r="B59" s="21">
        <f>(Loads!$B$328*Multi!B$873+Loads!$C$328*Multi!B$895+Loads!$D$328*Multi!B$912)*LAFs!B$263/(24*Input!$F$58)*1000</f>
        <v>-56877.987637738879</v>
      </c>
      <c r="C59" s="21">
        <f>(Loads!$B$328*Multi!C$873+Loads!$C$328*Multi!C$895+Loads!$D$328*Multi!C$912)*LAFs!C$263/(24*Input!$F$58)*1000</f>
        <v>-58084.181839194564</v>
      </c>
      <c r="D59" s="21">
        <f>(Loads!$B$328*Multi!D$873+Loads!$C$328*Multi!D$895+Loads!$D$328*Multi!D$912)*LAFs!D$263/(24*Input!$F$58)*1000</f>
        <v>-57800.371747942998</v>
      </c>
      <c r="E59" s="21">
        <f>(Loads!$B$328*Multi!E$873+Loads!$C$328*Multi!E$895+Loads!$D$328*Multi!E$912)*LAFs!E$263/(24*Input!$F$58)*1000</f>
        <v>-58497.39478426789</v>
      </c>
      <c r="F59" s="21">
        <f>(Loads!$B$328*Multi!F$873+Loads!$C$328*Multi!F$895+Loads!$D$328*Multi!F$912)*LAFs!F$263/(24*Input!$F$58)*1000</f>
        <v>-58182.418941793563</v>
      </c>
      <c r="G59" s="21">
        <f>(Loads!$B$328*Multi!G$873+Loads!$C$328*Multi!G$895+Loads!$D$328*Multi!G$912)*LAFs!G$263/(24*Input!$F$58)*1000</f>
        <v>0</v>
      </c>
      <c r="H59" s="21">
        <f>(Loads!$B$328*Multi!H$873+Loads!$C$328*Multi!H$895+Loads!$D$328*Multi!H$912)*LAFs!H$263/(24*Input!$F$58)*1000</f>
        <v>0</v>
      </c>
      <c r="I59" s="21">
        <f>(Loads!$B$328*Multi!I$873+Loads!$C$328*Multi!I$895+Loads!$D$328*Multi!I$912)*LAFs!I$263/(24*Input!$F$58)*1000</f>
        <v>0</v>
      </c>
      <c r="J59" s="21">
        <f>(Loads!$B$328*Multi!J$873+Loads!$C$328*Multi!J$895+Loads!$D$328*Multi!J$912)*LAFs!J$263/(24*Input!$F$58)*1000</f>
        <v>0</v>
      </c>
      <c r="K59" s="17"/>
    </row>
    <row r="61" spans="1:11" ht="21" customHeight="1" x14ac:dyDescent="0.3">
      <c r="A61" s="1" t="s">
        <v>809</v>
      </c>
    </row>
    <row r="62" spans="1:11" x14ac:dyDescent="0.25">
      <c r="A62" s="2" t="s">
        <v>350</v>
      </c>
    </row>
    <row r="63" spans="1:11" x14ac:dyDescent="0.25">
      <c r="A63" s="32" t="s">
        <v>573</v>
      </c>
    </row>
    <row r="64" spans="1:11" x14ac:dyDescent="0.25">
      <c r="A64" s="32" t="s">
        <v>810</v>
      </c>
    </row>
    <row r="65" spans="1:11" x14ac:dyDescent="0.25">
      <c r="A65" s="32" t="s">
        <v>797</v>
      </c>
    </row>
    <row r="66" spans="1:11" x14ac:dyDescent="0.25">
      <c r="A66" s="32" t="s">
        <v>551</v>
      </c>
    </row>
    <row r="67" spans="1:11" x14ac:dyDescent="0.25">
      <c r="A67" s="2" t="s">
        <v>811</v>
      </c>
    </row>
    <row r="69" spans="1:11" x14ac:dyDescent="0.25">
      <c r="B69" s="15" t="s">
        <v>139</v>
      </c>
      <c r="C69" s="15" t="s">
        <v>140</v>
      </c>
      <c r="D69" s="15" t="s">
        <v>141</v>
      </c>
      <c r="E69" s="15" t="s">
        <v>142</v>
      </c>
      <c r="F69" s="15" t="s">
        <v>143</v>
      </c>
      <c r="G69" s="15" t="s">
        <v>148</v>
      </c>
      <c r="H69" s="15" t="s">
        <v>144</v>
      </c>
      <c r="I69" s="15" t="s">
        <v>145</v>
      </c>
      <c r="J69" s="15" t="s">
        <v>146</v>
      </c>
    </row>
    <row r="70" spans="1:11" x14ac:dyDescent="0.25">
      <c r="A70" s="4" t="s">
        <v>171</v>
      </c>
      <c r="B70" s="21">
        <f>Multi!$B119*Loads!$B46*LAFs!B237/(24*Input!$F$58)*1000</f>
        <v>1674635.6730095348</v>
      </c>
      <c r="C70" s="21">
        <f>Multi!$B119*Loads!$B46*LAFs!C237/(24*Input!$F$58)*1000</f>
        <v>1657714.3006553082</v>
      </c>
      <c r="D70" s="21">
        <f>Multi!$B119*Loads!$B46*LAFs!D237/(24*Input!$F$58)*1000</f>
        <v>1649614.4009573054</v>
      </c>
      <c r="E70" s="21">
        <f>Multi!$B119*Loads!$B46*LAFs!E237/(24*Input!$F$58)*1000</f>
        <v>1639207.2875594313</v>
      </c>
      <c r="F70" s="21">
        <f>Multi!$B119*Loads!$B46*LAFs!F237/(24*Input!$F$58)*1000</f>
        <v>1630381.0706262975</v>
      </c>
      <c r="G70" s="21">
        <f>Multi!$B119*Loads!$B46*LAFs!G237/(24*Input!$F$58)*1000</f>
        <v>0</v>
      </c>
      <c r="H70" s="21">
        <f>Multi!$B119*Loads!$B46*LAFs!H237/(24*Input!$F$58)*1000</f>
        <v>1611028.6592810373</v>
      </c>
      <c r="I70" s="21">
        <f>Multi!$B119*Loads!$B46*LAFs!I237/(24*Input!$F$58)*1000</f>
        <v>1590176.4665533127</v>
      </c>
      <c r="J70" s="21">
        <f>Multi!$B119*Loads!$B46*LAFs!J237/(24*Input!$F$58)*1000</f>
        <v>1514790.1274985645</v>
      </c>
      <c r="K70" s="17"/>
    </row>
    <row r="71" spans="1:11" x14ac:dyDescent="0.25">
      <c r="A71" s="4" t="s">
        <v>172</v>
      </c>
      <c r="B71" s="21">
        <f>Multi!$B120*Loads!$B47*LAFs!B238/(24*Input!$F$58)*1000</f>
        <v>143599.09677497094</v>
      </c>
      <c r="C71" s="21">
        <f>Multi!$B120*Loads!$B47*LAFs!C238/(24*Input!$F$58)*1000</f>
        <v>142148.09831278419</v>
      </c>
      <c r="D71" s="21">
        <f>Multi!$B120*Loads!$B47*LAFs!D238/(24*Input!$F$58)*1000</f>
        <v>141453.53632575169</v>
      </c>
      <c r="E71" s="21">
        <f>Multi!$B120*Loads!$B47*LAFs!E238/(24*Input!$F$58)*1000</f>
        <v>140561.13202071039</v>
      </c>
      <c r="F71" s="21">
        <f>Multi!$B120*Loads!$B47*LAFs!F238/(24*Input!$F$58)*1000</f>
        <v>139804.28872639537</v>
      </c>
      <c r="G71" s="21">
        <f>Multi!$B120*Loads!$B47*LAFs!G238/(24*Input!$F$58)*1000</f>
        <v>0</v>
      </c>
      <c r="H71" s="21">
        <f>Multi!$B120*Loads!$B47*LAFs!H238/(24*Input!$F$58)*1000</f>
        <v>138144.82999493121</v>
      </c>
      <c r="I71" s="21">
        <f>Multi!$B120*Loads!$B47*LAFs!I238/(24*Input!$F$58)*1000</f>
        <v>136356.76582686196</v>
      </c>
      <c r="J71" s="21">
        <f>Multi!$B120*Loads!$B47*LAFs!J238/(24*Input!$F$58)*1000</f>
        <v>129892.42831637591</v>
      </c>
      <c r="K71" s="17"/>
    </row>
    <row r="72" spans="1:11" x14ac:dyDescent="0.25">
      <c r="A72" s="4" t="s">
        <v>213</v>
      </c>
      <c r="B72" s="21">
        <f>Multi!$B121*Loads!$B48*LAFs!B239/(24*Input!$F$58)*1000</f>
        <v>0</v>
      </c>
      <c r="C72" s="21">
        <f>Multi!$B121*Loads!$B48*LAFs!C239/(24*Input!$F$58)*1000</f>
        <v>0</v>
      </c>
      <c r="D72" s="21">
        <f>Multi!$B121*Loads!$B48*LAFs!D239/(24*Input!$F$58)*1000</f>
        <v>0</v>
      </c>
      <c r="E72" s="21">
        <f>Multi!$B121*Loads!$B48*LAFs!E239/(24*Input!$F$58)*1000</f>
        <v>0</v>
      </c>
      <c r="F72" s="21">
        <f>Multi!$B121*Loads!$B48*LAFs!F239/(24*Input!$F$58)*1000</f>
        <v>0</v>
      </c>
      <c r="G72" s="21">
        <f>Multi!$B121*Loads!$B48*LAFs!G239/(24*Input!$F$58)*1000</f>
        <v>0</v>
      </c>
      <c r="H72" s="21">
        <f>Multi!$B121*Loads!$B48*LAFs!H239/(24*Input!$F$58)*1000</f>
        <v>0</v>
      </c>
      <c r="I72" s="21">
        <f>Multi!$B121*Loads!$B48*LAFs!I239/(24*Input!$F$58)*1000</f>
        <v>0</v>
      </c>
      <c r="J72" s="21">
        <f>Multi!$B121*Loads!$B48*LAFs!J239/(24*Input!$F$58)*1000</f>
        <v>0</v>
      </c>
      <c r="K72" s="17"/>
    </row>
    <row r="73" spans="1:11" x14ac:dyDescent="0.25">
      <c r="A73" s="4" t="s">
        <v>173</v>
      </c>
      <c r="B73" s="21">
        <f>Multi!$B122*Loads!$B49*LAFs!B240/(24*Input!$F$58)*1000</f>
        <v>340772.55633458839</v>
      </c>
      <c r="C73" s="21">
        <f>Multi!$B122*Loads!$B49*LAFs!C240/(24*Input!$F$58)*1000</f>
        <v>337329.21674331091</v>
      </c>
      <c r="D73" s="21">
        <f>Multi!$B122*Loads!$B49*LAFs!D240/(24*Input!$F$58)*1000</f>
        <v>335680.96359151846</v>
      </c>
      <c r="E73" s="21">
        <f>Multi!$B122*Loads!$B49*LAFs!E240/(24*Input!$F$58)*1000</f>
        <v>333563.21422440739</v>
      </c>
      <c r="F73" s="21">
        <f>Multi!$B122*Loads!$B49*LAFs!F240/(24*Input!$F$58)*1000</f>
        <v>331767.16236934194</v>
      </c>
      <c r="G73" s="21">
        <f>Multi!$B122*Loads!$B49*LAFs!G240/(24*Input!$F$58)*1000</f>
        <v>0</v>
      </c>
      <c r="H73" s="21">
        <f>Multi!$B122*Loads!$B49*LAFs!H240/(24*Input!$F$58)*1000</f>
        <v>327829.12928450317</v>
      </c>
      <c r="I73" s="21">
        <f>Multi!$B122*Loads!$B49*LAFs!I240/(24*Input!$F$58)*1000</f>
        <v>323585.90484139894</v>
      </c>
      <c r="J73" s="21">
        <f>Multi!$B122*Loads!$B49*LAFs!J240/(24*Input!$F$58)*1000</f>
        <v>308245.49624600273</v>
      </c>
      <c r="K73" s="17"/>
    </row>
    <row r="74" spans="1:11" x14ac:dyDescent="0.25">
      <c r="A74" s="4" t="s">
        <v>174</v>
      </c>
      <c r="B74" s="21">
        <f>Multi!$B123*Loads!$B50*LAFs!B241/(24*Input!$F$58)*1000</f>
        <v>130022.63155845577</v>
      </c>
      <c r="C74" s="21">
        <f>Multi!$B123*Loads!$B50*LAFs!C241/(24*Input!$F$58)*1000</f>
        <v>128708.81662035458</v>
      </c>
      <c r="D74" s="21">
        <f>Multi!$B123*Loads!$B50*LAFs!D241/(24*Input!$F$58)*1000</f>
        <v>128079.92145762275</v>
      </c>
      <c r="E74" s="21">
        <f>Multi!$B123*Loads!$B50*LAFs!E241/(24*Input!$F$58)*1000</f>
        <v>127271.88882537441</v>
      </c>
      <c r="F74" s="21">
        <f>Multi!$B123*Loads!$B50*LAFs!F241/(24*Input!$F$58)*1000</f>
        <v>126586.60069324626</v>
      </c>
      <c r="G74" s="21">
        <f>Multi!$B123*Loads!$B50*LAFs!G241/(24*Input!$F$58)*1000</f>
        <v>0</v>
      </c>
      <c r="H74" s="21">
        <f>Multi!$B123*Loads!$B50*LAFs!H241/(24*Input!$F$58)*1000</f>
        <v>125084.03420032641</v>
      </c>
      <c r="I74" s="21">
        <f>Multi!$B123*Loads!$B50*LAFs!I241/(24*Input!$F$58)*1000</f>
        <v>123465.02117204762</v>
      </c>
      <c r="J74" s="21">
        <f>Multi!$B123*Loads!$B50*LAFs!J241/(24*Input!$F$58)*1000</f>
        <v>117611.84943718243</v>
      </c>
      <c r="K74" s="17"/>
    </row>
    <row r="75" spans="1:11" x14ac:dyDescent="0.25">
      <c r="A75" s="4" t="s">
        <v>214</v>
      </c>
      <c r="B75" s="21">
        <f>Multi!$B124*Loads!$B51*LAFs!B242/(24*Input!$F$58)*1000</f>
        <v>0</v>
      </c>
      <c r="C75" s="21">
        <f>Multi!$B124*Loads!$B51*LAFs!C242/(24*Input!$F$58)*1000</f>
        <v>0</v>
      </c>
      <c r="D75" s="21">
        <f>Multi!$B124*Loads!$B51*LAFs!D242/(24*Input!$F$58)*1000</f>
        <v>0</v>
      </c>
      <c r="E75" s="21">
        <f>Multi!$B124*Loads!$B51*LAFs!E242/(24*Input!$F$58)*1000</f>
        <v>0</v>
      </c>
      <c r="F75" s="21">
        <f>Multi!$B124*Loads!$B51*LAFs!F242/(24*Input!$F$58)*1000</f>
        <v>0</v>
      </c>
      <c r="G75" s="21">
        <f>Multi!$B124*Loads!$B51*LAFs!G242/(24*Input!$F$58)*1000</f>
        <v>0</v>
      </c>
      <c r="H75" s="21">
        <f>Multi!$B124*Loads!$B51*LAFs!H242/(24*Input!$F$58)*1000</f>
        <v>0</v>
      </c>
      <c r="I75" s="21">
        <f>Multi!$B124*Loads!$B51*LAFs!I242/(24*Input!$F$58)*1000</f>
        <v>0</v>
      </c>
      <c r="J75" s="21">
        <f>Multi!$B124*Loads!$B51*LAFs!J242/(24*Input!$F$58)*1000</f>
        <v>0</v>
      </c>
      <c r="K75" s="17"/>
    </row>
    <row r="76" spans="1:11" x14ac:dyDescent="0.25">
      <c r="A76" s="4" t="s">
        <v>175</v>
      </c>
      <c r="B76" s="21">
        <f>Multi!$B125*Loads!$B52*LAFs!B243/(24*Input!$F$58)*1000</f>
        <v>0</v>
      </c>
      <c r="C76" s="21">
        <f>Multi!$B125*Loads!$B52*LAFs!C243/(24*Input!$F$58)*1000</f>
        <v>0</v>
      </c>
      <c r="D76" s="21">
        <f>Multi!$B125*Loads!$B52*LAFs!D243/(24*Input!$F$58)*1000</f>
        <v>0</v>
      </c>
      <c r="E76" s="21">
        <f>Multi!$B125*Loads!$B52*LAFs!E243/(24*Input!$F$58)*1000</f>
        <v>0</v>
      </c>
      <c r="F76" s="21">
        <f>Multi!$B125*Loads!$B52*LAFs!F243/(24*Input!$F$58)*1000</f>
        <v>0</v>
      </c>
      <c r="G76" s="21">
        <f>Multi!$B125*Loads!$B52*LAFs!G243/(24*Input!$F$58)*1000</f>
        <v>0</v>
      </c>
      <c r="H76" s="21">
        <f>Multi!$B125*Loads!$B52*LAFs!H243/(24*Input!$F$58)*1000</f>
        <v>0</v>
      </c>
      <c r="I76" s="21">
        <f>Multi!$B125*Loads!$B52*LAFs!I243/(24*Input!$F$58)*1000</f>
        <v>0</v>
      </c>
      <c r="J76" s="21">
        <f>Multi!$B125*Loads!$B52*LAFs!J243/(24*Input!$F$58)*1000</f>
        <v>0</v>
      </c>
      <c r="K76" s="17"/>
    </row>
    <row r="77" spans="1:11" x14ac:dyDescent="0.25">
      <c r="A77" s="4" t="s">
        <v>176</v>
      </c>
      <c r="B77" s="21">
        <f>Multi!$B126*Loads!$B53*LAFs!B244/(24*Input!$F$58)*1000</f>
        <v>0</v>
      </c>
      <c r="C77" s="21">
        <f>Multi!$B126*Loads!$B53*LAFs!C244/(24*Input!$F$58)*1000</f>
        <v>0</v>
      </c>
      <c r="D77" s="21">
        <f>Multi!$B126*Loads!$B53*LAFs!D244/(24*Input!$F$58)*1000</f>
        <v>0</v>
      </c>
      <c r="E77" s="21">
        <f>Multi!$B126*Loads!$B53*LAFs!E244/(24*Input!$F$58)*1000</f>
        <v>0</v>
      </c>
      <c r="F77" s="21">
        <f>Multi!$B126*Loads!$B53*LAFs!F244/(24*Input!$F$58)*1000</f>
        <v>0</v>
      </c>
      <c r="G77" s="21">
        <f>Multi!$B126*Loads!$B53*LAFs!G244/(24*Input!$F$58)*1000</f>
        <v>0</v>
      </c>
      <c r="H77" s="21">
        <f>Multi!$B126*Loads!$B53*LAFs!H244/(24*Input!$F$58)*1000</f>
        <v>0</v>
      </c>
      <c r="I77" s="21">
        <f>Multi!$B126*Loads!$B53*LAFs!I244/(24*Input!$F$58)*1000</f>
        <v>0</v>
      </c>
      <c r="J77" s="21">
        <f>Multi!$B126*Loads!$B53*LAFs!J244/(24*Input!$F$58)*1000</f>
        <v>0</v>
      </c>
      <c r="K77" s="17"/>
    </row>
    <row r="78" spans="1:11" x14ac:dyDescent="0.25">
      <c r="A78" s="4" t="s">
        <v>192</v>
      </c>
      <c r="B78" s="21">
        <f>Multi!$B127*Loads!$B54*LAFs!B245/(24*Input!$F$58)*1000</f>
        <v>1261.3836682045066</v>
      </c>
      <c r="C78" s="21">
        <f>Multi!$B127*Loads!$B54*LAFs!C245/(24*Input!$F$58)*1000</f>
        <v>1248.6380047296145</v>
      </c>
      <c r="D78" s="21">
        <f>Multi!$B127*Loads!$B54*LAFs!D245/(24*Input!$F$58)*1000</f>
        <v>1242.5369277265233</v>
      </c>
      <c r="E78" s="21">
        <f>Multi!$B127*Loads!$B54*LAFs!E245/(24*Input!$F$58)*1000</f>
        <v>1234.6979911238891</v>
      </c>
      <c r="F78" s="21">
        <f>Multi!$B127*Loads!$B54*LAFs!F245/(24*Input!$F$58)*1000</f>
        <v>1228.0498311265112</v>
      </c>
      <c r="G78" s="21">
        <f>Multi!$B127*Loads!$B54*LAFs!G245/(24*Input!$F$58)*1000</f>
        <v>0</v>
      </c>
      <c r="H78" s="21">
        <f>Multi!$B127*Loads!$B54*LAFs!H245/(24*Input!$F$58)*1000</f>
        <v>1213.473039287712</v>
      </c>
      <c r="I78" s="21">
        <f>Multi!$B127*Loads!$B54*LAFs!I245/(24*Input!$F$58)*1000</f>
        <v>0</v>
      </c>
      <c r="J78" s="21">
        <f>Multi!$B127*Loads!$B54*LAFs!J245/(24*Input!$F$58)*1000</f>
        <v>0</v>
      </c>
      <c r="K78" s="17"/>
    </row>
    <row r="79" spans="1:11" x14ac:dyDescent="0.25">
      <c r="A79" s="4" t="s">
        <v>177</v>
      </c>
      <c r="B79" s="21">
        <f>Multi!$B128*Loads!$B55*LAFs!B246/(24*Input!$F$58)*1000</f>
        <v>0</v>
      </c>
      <c r="C79" s="21">
        <f>Multi!$B128*Loads!$B55*LAFs!C246/(24*Input!$F$58)*1000</f>
        <v>0</v>
      </c>
      <c r="D79" s="21">
        <f>Multi!$B128*Loads!$B55*LAFs!D246/(24*Input!$F$58)*1000</f>
        <v>0</v>
      </c>
      <c r="E79" s="21">
        <f>Multi!$B128*Loads!$B55*LAFs!E246/(24*Input!$F$58)*1000</f>
        <v>0</v>
      </c>
      <c r="F79" s="21">
        <f>Multi!$B128*Loads!$B55*LAFs!F246/(24*Input!$F$58)*1000</f>
        <v>0</v>
      </c>
      <c r="G79" s="21">
        <f>Multi!$B128*Loads!$B55*LAFs!G246/(24*Input!$F$58)*1000</f>
        <v>0</v>
      </c>
      <c r="H79" s="21">
        <f>Multi!$B128*Loads!$B55*LAFs!H246/(24*Input!$F$58)*1000</f>
        <v>0</v>
      </c>
      <c r="I79" s="21">
        <f>Multi!$B128*Loads!$B55*LAFs!I246/(24*Input!$F$58)*1000</f>
        <v>0</v>
      </c>
      <c r="J79" s="21">
        <f>Multi!$B128*Loads!$B55*LAFs!J246/(24*Input!$F$58)*1000</f>
        <v>0</v>
      </c>
      <c r="K79" s="17"/>
    </row>
    <row r="80" spans="1:11" x14ac:dyDescent="0.25">
      <c r="A80" s="4" t="s">
        <v>178</v>
      </c>
      <c r="B80" s="21">
        <f>Multi!$B129*Loads!$B56*LAFs!B247/(24*Input!$F$58)*1000</f>
        <v>110765.16520882532</v>
      </c>
      <c r="C80" s="21">
        <f>Multi!$B129*Loads!$B56*LAFs!C247/(24*Input!$F$58)*1000</f>
        <v>109645.93752570328</v>
      </c>
      <c r="D80" s="21">
        <f>Multi!$B129*Loads!$B56*LAFs!D247/(24*Input!$F$58)*1000</f>
        <v>109110.18712776042</v>
      </c>
      <c r="E80" s="21">
        <f>Multi!$B129*Loads!$B56*LAFs!E247/(24*Input!$F$58)*1000</f>
        <v>108421.831055188</v>
      </c>
      <c r="F80" s="21">
        <f>Multi!$B129*Loads!$B56*LAFs!F247/(24*Input!$F$58)*1000</f>
        <v>107838.03997004377</v>
      </c>
      <c r="G80" s="21">
        <f>Multi!$B129*Loads!$B56*LAFs!G247/(24*Input!$F$58)*1000</f>
        <v>0</v>
      </c>
      <c r="H80" s="21">
        <f>Multi!$B129*Loads!$B56*LAFs!H247/(24*Input!$F$58)*1000</f>
        <v>106558.01645543976</v>
      </c>
      <c r="I80" s="21">
        <f>Multi!$B129*Loads!$B56*LAFs!I247/(24*Input!$F$58)*1000</f>
        <v>105178.79313559858</v>
      </c>
      <c r="J80" s="21">
        <f>Multi!$B129*Loads!$B56*LAFs!J247/(24*Input!$F$58)*1000</f>
        <v>100192.52631083821</v>
      </c>
      <c r="K80" s="17"/>
    </row>
    <row r="81" spans="1:11" x14ac:dyDescent="0.25">
      <c r="A81" s="4" t="s">
        <v>179</v>
      </c>
      <c r="B81" s="21">
        <f>Multi!$B130*Loads!$B57*LAFs!B248/(24*Input!$F$58)*1000</f>
        <v>418480.12336404005</v>
      </c>
      <c r="C81" s="21">
        <f>Multi!$B130*Loads!$B57*LAFs!C248/(24*Input!$F$58)*1000</f>
        <v>414251.58691016177</v>
      </c>
      <c r="D81" s="21">
        <f>Multi!$B130*Loads!$B57*LAFs!D248/(24*Input!$F$58)*1000</f>
        <v>412227.47678311256</v>
      </c>
      <c r="E81" s="21">
        <f>Multi!$B130*Loads!$B57*LAFs!E248/(24*Input!$F$58)*1000</f>
        <v>409626.80956408748</v>
      </c>
      <c r="F81" s="21">
        <f>Multi!$B130*Loads!$B57*LAFs!F248/(24*Input!$F$58)*1000</f>
        <v>407421.19767456065</v>
      </c>
      <c r="G81" s="21">
        <f>Multi!$B130*Loads!$B57*LAFs!G248/(24*Input!$F$58)*1000</f>
        <v>0</v>
      </c>
      <c r="H81" s="21">
        <f>Multi!$B130*Loads!$B57*LAFs!H248/(24*Input!$F$58)*1000</f>
        <v>402585.16102630162</v>
      </c>
      <c r="I81" s="21">
        <f>Multi!$B130*Loads!$B57*LAFs!I248/(24*Input!$F$58)*1000</f>
        <v>397374.33915874473</v>
      </c>
      <c r="J81" s="21">
        <f>Multi!$B130*Loads!$B57*LAFs!J248/(24*Input!$F$58)*1000</f>
        <v>378535.8031260689</v>
      </c>
      <c r="K81" s="17"/>
    </row>
    <row r="82" spans="1:11" x14ac:dyDescent="0.25">
      <c r="A82" s="4" t="s">
        <v>180</v>
      </c>
      <c r="B82" s="21">
        <f>Multi!$B131*Loads!$B58*LAFs!B249/(24*Input!$F$58)*1000</f>
        <v>219561.2334987192</v>
      </c>
      <c r="C82" s="21">
        <f>Multi!$B131*Loads!$B58*LAFs!C249/(24*Input!$F$58)*1000</f>
        <v>217342.67489133662</v>
      </c>
      <c r="D82" s="21">
        <f>Multi!$B131*Loads!$B58*LAFs!D249/(24*Input!$F$58)*1000</f>
        <v>216280.69824914957</v>
      </c>
      <c r="E82" s="21">
        <f>Multi!$B131*Loads!$B58*LAFs!E249/(24*Input!$F$58)*1000</f>
        <v>214916.22316264201</v>
      </c>
      <c r="F82" s="21">
        <f>Multi!$B131*Loads!$B58*LAFs!F249/(24*Input!$F$58)*1000</f>
        <v>213759.01917600809</v>
      </c>
      <c r="G82" s="21">
        <f>Multi!$B131*Loads!$B58*LAFs!G249/(24*Input!$F$58)*1000</f>
        <v>0</v>
      </c>
      <c r="H82" s="21">
        <f>Multi!$B131*Loads!$B58*LAFs!H249/(24*Input!$F$58)*1000</f>
        <v>211221.72740883584</v>
      </c>
      <c r="I82" s="21">
        <f>Multi!$B131*Loads!$B58*LAFs!I249/(24*Input!$F$58)*1000</f>
        <v>208487.79952813787</v>
      </c>
      <c r="J82" s="21">
        <f>Multi!$B131*Loads!$B58*LAFs!J249/(24*Input!$F$58)*1000</f>
        <v>0</v>
      </c>
      <c r="K82" s="17"/>
    </row>
    <row r="83" spans="1:11" x14ac:dyDescent="0.25">
      <c r="A83" s="4" t="s">
        <v>193</v>
      </c>
      <c r="B83" s="21">
        <f>Multi!$B132*Loads!$B59*LAFs!B250/(24*Input!$F$58)*1000</f>
        <v>730717.10682611645</v>
      </c>
      <c r="C83" s="21">
        <f>Multi!$B132*Loads!$B59*LAFs!C250/(24*Input!$F$58)*1000</f>
        <v>723333.56875303399</v>
      </c>
      <c r="D83" s="21">
        <f>Multi!$B132*Loads!$B59*LAFs!D250/(24*Input!$F$58)*1000</f>
        <v>719799.22670580575</v>
      </c>
      <c r="E83" s="21">
        <f>Multi!$B132*Loads!$B59*LAFs!E250/(24*Input!$F$58)*1000</f>
        <v>715258.14597100939</v>
      </c>
      <c r="F83" s="21">
        <f>Multi!$B132*Loads!$B59*LAFs!F250/(24*Input!$F$58)*1000</f>
        <v>711406.87980873522</v>
      </c>
      <c r="G83" s="21">
        <f>Multi!$B132*Loads!$B59*LAFs!G250/(24*Input!$F$58)*1000</f>
        <v>0</v>
      </c>
      <c r="H83" s="21">
        <f>Multi!$B132*Loads!$B59*LAFs!H250/(24*Input!$F$58)*1000</f>
        <v>702962.57263420569</v>
      </c>
      <c r="I83" s="21">
        <f>Multi!$B132*Loads!$B59*LAFs!I250/(24*Input!$F$58)*1000</f>
        <v>0</v>
      </c>
      <c r="J83" s="21">
        <f>Multi!$B132*Loads!$B59*LAFs!J250/(24*Input!$F$58)*1000</f>
        <v>0</v>
      </c>
      <c r="K83" s="17"/>
    </row>
    <row r="84" spans="1:11" x14ac:dyDescent="0.25">
      <c r="A84" s="4" t="s">
        <v>215</v>
      </c>
      <c r="B84" s="21">
        <f>Multi!$B133*Loads!$B60*LAFs!B251/(24*Input!$F$58)*1000</f>
        <v>4627.956575028752</v>
      </c>
      <c r="C84" s="21">
        <f>Multi!$B133*Loads!$B60*LAFs!C251/(24*Input!$F$58)*1000</f>
        <v>4581.1933430569179</v>
      </c>
      <c r="D84" s="21">
        <f>Multi!$B133*Loads!$B60*LAFs!D251/(24*Input!$F$58)*1000</f>
        <v>4558.8087822425177</v>
      </c>
      <c r="E84" s="21">
        <f>Multi!$B133*Loads!$B60*LAFs!E251/(24*Input!$F$58)*1000</f>
        <v>4530.0480973645917</v>
      </c>
      <c r="F84" s="21">
        <f>Multi!$B133*Loads!$B60*LAFs!F251/(24*Input!$F$58)*1000</f>
        <v>4505.6563151120863</v>
      </c>
      <c r="G84" s="21">
        <f>Multi!$B133*Loads!$B60*LAFs!G251/(24*Input!$F$58)*1000</f>
        <v>0</v>
      </c>
      <c r="H84" s="21">
        <f>Multi!$B133*Loads!$B60*LAFs!H251/(24*Input!$F$58)*1000</f>
        <v>4452.174760424431</v>
      </c>
      <c r="I84" s="21">
        <f>Multi!$B133*Loads!$B60*LAFs!I251/(24*Input!$F$58)*1000</f>
        <v>4394.5484695282075</v>
      </c>
      <c r="J84" s="21">
        <f>Multi!$B133*Loads!$B60*LAFs!J251/(24*Input!$F$58)*1000</f>
        <v>4186.2137797095102</v>
      </c>
      <c r="K84" s="17"/>
    </row>
    <row r="85" spans="1:11" x14ac:dyDescent="0.25">
      <c r="A85" s="4" t="s">
        <v>216</v>
      </c>
      <c r="B85" s="21">
        <f>Multi!$B134*Loads!$B61*LAFs!B252/(24*Input!$F$58)*1000</f>
        <v>2703.749759646827</v>
      </c>
      <c r="C85" s="21">
        <f>Multi!$B134*Loads!$B61*LAFs!C252/(24*Input!$F$58)*1000</f>
        <v>2676.429694051058</v>
      </c>
      <c r="D85" s="21">
        <f>Multi!$B134*Loads!$B61*LAFs!D252/(24*Input!$F$58)*1000</f>
        <v>2663.3521618960904</v>
      </c>
      <c r="E85" s="21">
        <f>Multi!$B134*Loads!$B61*LAFs!E252/(24*Input!$F$58)*1000</f>
        <v>2646.5495636942073</v>
      </c>
      <c r="F85" s="21">
        <f>Multi!$B134*Loads!$B61*LAFs!F252/(24*Input!$F$58)*1000</f>
        <v>2632.2993704753658</v>
      </c>
      <c r="G85" s="21">
        <f>Multi!$B134*Loads!$B61*LAFs!G252/(24*Input!$F$58)*1000</f>
        <v>0</v>
      </c>
      <c r="H85" s="21">
        <f>Multi!$B134*Loads!$B61*LAFs!H252/(24*Input!$F$58)*1000</f>
        <v>2601.0543191685933</v>
      </c>
      <c r="I85" s="21">
        <f>Multi!$B134*Loads!$B61*LAFs!I252/(24*Input!$F$58)*1000</f>
        <v>2567.387825623538</v>
      </c>
      <c r="J85" s="21">
        <f>Multi!$B134*Loads!$B61*LAFs!J252/(24*Input!$F$58)*1000</f>
        <v>2445.6743094331009</v>
      </c>
      <c r="K85" s="17"/>
    </row>
    <row r="86" spans="1:11" x14ac:dyDescent="0.25">
      <c r="A86" s="4" t="s">
        <v>217</v>
      </c>
      <c r="B86" s="21">
        <f>Multi!$B135*Loads!$B62*LAFs!B253/(24*Input!$F$58)*1000</f>
        <v>130.01379226717546</v>
      </c>
      <c r="C86" s="21">
        <f>Multi!$B135*Loads!$B62*LAFs!C253/(24*Input!$F$58)*1000</f>
        <v>128.70006664577852</v>
      </c>
      <c r="D86" s="21">
        <f>Multi!$B135*Loads!$B62*LAFs!D253/(24*Input!$F$58)*1000</f>
        <v>128.07121423704623</v>
      </c>
      <c r="E86" s="21">
        <f>Multi!$B135*Loads!$B62*LAFs!E253/(24*Input!$F$58)*1000</f>
        <v>127.26323653704863</v>
      </c>
      <c r="F86" s="21">
        <f>Multi!$B135*Loads!$B62*LAFs!F253/(24*Input!$F$58)*1000</f>
        <v>126.57799499266709</v>
      </c>
      <c r="G86" s="21">
        <f>Multi!$B135*Loads!$B62*LAFs!G253/(24*Input!$F$58)*1000</f>
        <v>0</v>
      </c>
      <c r="H86" s="21">
        <f>Multi!$B135*Loads!$B62*LAFs!H253/(24*Input!$F$58)*1000</f>
        <v>125.0755306482943</v>
      </c>
      <c r="I86" s="21">
        <f>Multi!$B135*Loads!$B62*LAFs!I253/(24*Input!$F$58)*1000</f>
        <v>123.45662768491397</v>
      </c>
      <c r="J86" s="21">
        <f>Multi!$B135*Loads!$B62*LAFs!J253/(24*Input!$F$58)*1000</f>
        <v>117.60385386454459</v>
      </c>
      <c r="K86" s="17"/>
    </row>
    <row r="87" spans="1:11" x14ac:dyDescent="0.25">
      <c r="A87" s="4" t="s">
        <v>218</v>
      </c>
      <c r="B87" s="21">
        <f>Multi!$B136*Loads!$B63*LAFs!B254/(24*Input!$F$58)*1000</f>
        <v>0</v>
      </c>
      <c r="C87" s="21">
        <f>Multi!$B136*Loads!$B63*LAFs!C254/(24*Input!$F$58)*1000</f>
        <v>0</v>
      </c>
      <c r="D87" s="21">
        <f>Multi!$B136*Loads!$B63*LAFs!D254/(24*Input!$F$58)*1000</f>
        <v>0</v>
      </c>
      <c r="E87" s="21">
        <f>Multi!$B136*Loads!$B63*LAFs!E254/(24*Input!$F$58)*1000</f>
        <v>0</v>
      </c>
      <c r="F87" s="21">
        <f>Multi!$B136*Loads!$B63*LAFs!F254/(24*Input!$F$58)*1000</f>
        <v>0</v>
      </c>
      <c r="G87" s="21">
        <f>Multi!$B136*Loads!$B63*LAFs!G254/(24*Input!$F$58)*1000</f>
        <v>0</v>
      </c>
      <c r="H87" s="21">
        <f>Multi!$B136*Loads!$B63*LAFs!H254/(24*Input!$F$58)*1000</f>
        <v>0</v>
      </c>
      <c r="I87" s="21">
        <f>Multi!$B136*Loads!$B63*LAFs!I254/(24*Input!$F$58)*1000</f>
        <v>0</v>
      </c>
      <c r="J87" s="21">
        <f>Multi!$B136*Loads!$B63*LAFs!J254/(24*Input!$F$58)*1000</f>
        <v>0</v>
      </c>
      <c r="K87" s="17"/>
    </row>
    <row r="88" spans="1:11" x14ac:dyDescent="0.25">
      <c r="A88" s="4" t="s">
        <v>219</v>
      </c>
      <c r="B88" s="21">
        <f>Multi!$B137*Loads!$B64*LAFs!B255/(24*Input!$F$58)*1000</f>
        <v>67444.362180823169</v>
      </c>
      <c r="C88" s="21">
        <f>Multi!$B137*Loads!$B64*LAFs!C255/(24*Input!$F$58)*1000</f>
        <v>66762.869970876345</v>
      </c>
      <c r="D88" s="21">
        <f>Multi!$B137*Loads!$B64*LAFs!D255/(24*Input!$F$58)*1000</f>
        <v>66436.654198893753</v>
      </c>
      <c r="E88" s="21">
        <f>Multi!$B137*Loads!$B64*LAFs!E255/(24*Input!$F$58)*1000</f>
        <v>66017.517585136011</v>
      </c>
      <c r="F88" s="21">
        <f>Multi!$B137*Loads!$B64*LAFs!F255/(24*Input!$F$58)*1000</f>
        <v>65662.050075922496</v>
      </c>
      <c r="G88" s="21">
        <f>Multi!$B137*Loads!$B64*LAFs!G255/(24*Input!$F$58)*1000</f>
        <v>0</v>
      </c>
      <c r="H88" s="21">
        <f>Multi!$B137*Loads!$B64*LAFs!H255/(24*Input!$F$58)*1000</f>
        <v>64882.650078132909</v>
      </c>
      <c r="I88" s="21">
        <f>Multi!$B137*Loads!$B64*LAFs!I255/(24*Input!$F$58)*1000</f>
        <v>64042.847808744031</v>
      </c>
      <c r="J88" s="21">
        <f>Multi!$B137*Loads!$B64*LAFs!J255/(24*Input!$F$58)*1000</f>
        <v>61006.734559372308</v>
      </c>
      <c r="K88" s="17"/>
    </row>
    <row r="89" spans="1:11" x14ac:dyDescent="0.25">
      <c r="A89" s="4" t="s">
        <v>181</v>
      </c>
      <c r="B89" s="21">
        <f>Multi!$B138*Loads!$B65*LAFs!B256/(24*Input!$F$58)*1000</f>
        <v>-96.235486995461855</v>
      </c>
      <c r="C89" s="21">
        <f>Multi!$B138*Loads!$B65*LAFs!C256/(24*Input!$F$58)*1000</f>
        <v>-95.263074586371076</v>
      </c>
      <c r="D89" s="21">
        <f>Multi!$B138*Loads!$B65*LAFs!D256/(24*Input!$F$58)*1000</f>
        <v>-94.797601525803344</v>
      </c>
      <c r="E89" s="21">
        <f>Multi!$B138*Loads!$B65*LAFs!E256/(24*Input!$F$58)*1000</f>
        <v>-94.199540919425871</v>
      </c>
      <c r="F89" s="21">
        <f>Multi!$B138*Loads!$B65*LAFs!F256/(24*Input!$F$58)*1000</f>
        <v>-93.692328933811567</v>
      </c>
      <c r="G89" s="21">
        <f>Multi!$B138*Loads!$B65*LAFs!G256/(24*Input!$F$58)*1000</f>
        <v>0</v>
      </c>
      <c r="H89" s="21">
        <f>Multi!$B138*Loads!$B65*LAFs!H256/(24*Input!$F$58)*1000</f>
        <v>-92.580213170147772</v>
      </c>
      <c r="I89" s="21">
        <f>Multi!$B138*Loads!$B65*LAFs!I256/(24*Input!$F$58)*1000</f>
        <v>-91.381910187344658</v>
      </c>
      <c r="J89" s="21">
        <f>Multi!$B138*Loads!$B65*LAFs!J256/(24*Input!$F$58)*1000</f>
        <v>0</v>
      </c>
      <c r="K89" s="17"/>
    </row>
    <row r="90" spans="1:11" x14ac:dyDescent="0.25">
      <c r="A90" s="4" t="s">
        <v>182</v>
      </c>
      <c r="B90" s="21">
        <f>Multi!$B139*Loads!$B66*LAFs!B257/(24*Input!$F$58)*1000</f>
        <v>0</v>
      </c>
      <c r="C90" s="21">
        <f>Multi!$B139*Loads!$B66*LAFs!C257/(24*Input!$F$58)*1000</f>
        <v>0</v>
      </c>
      <c r="D90" s="21">
        <f>Multi!$B139*Loads!$B66*LAFs!D257/(24*Input!$F$58)*1000</f>
        <v>0</v>
      </c>
      <c r="E90" s="21">
        <f>Multi!$B139*Loads!$B66*LAFs!E257/(24*Input!$F$58)*1000</f>
        <v>0</v>
      </c>
      <c r="F90" s="21">
        <f>Multi!$B139*Loads!$B66*LAFs!F257/(24*Input!$F$58)*1000</f>
        <v>0</v>
      </c>
      <c r="G90" s="21">
        <f>Multi!$B139*Loads!$B66*LAFs!G257/(24*Input!$F$58)*1000</f>
        <v>0</v>
      </c>
      <c r="H90" s="21">
        <f>Multi!$B139*Loads!$B66*LAFs!H257/(24*Input!$F$58)*1000</f>
        <v>0</v>
      </c>
      <c r="I90" s="21">
        <f>Multi!$B139*Loads!$B66*LAFs!I257/(24*Input!$F$58)*1000</f>
        <v>0</v>
      </c>
      <c r="J90" s="21">
        <f>Multi!$B139*Loads!$B66*LAFs!J257/(24*Input!$F$58)*1000</f>
        <v>0</v>
      </c>
      <c r="K90" s="17"/>
    </row>
    <row r="91" spans="1:11" x14ac:dyDescent="0.25">
      <c r="A91" s="4" t="s">
        <v>183</v>
      </c>
      <c r="B91" s="21">
        <f>Multi!$B140*Loads!$B67*LAFs!B258/(24*Input!$F$58)*1000</f>
        <v>-3670.6675840105449</v>
      </c>
      <c r="C91" s="21">
        <f>Multi!$B140*Loads!$B67*LAFs!C258/(24*Input!$F$58)*1000</f>
        <v>-3633.5772879069109</v>
      </c>
      <c r="D91" s="21">
        <f>Multi!$B140*Loads!$B67*LAFs!D258/(24*Input!$F$58)*1000</f>
        <v>-3615.8229549887765</v>
      </c>
      <c r="E91" s="21">
        <f>Multi!$B140*Loads!$B67*LAFs!E258/(24*Input!$F$58)*1000</f>
        <v>-3593.0113939976945</v>
      </c>
      <c r="F91" s="21">
        <f>Multi!$B140*Loads!$B67*LAFs!F258/(24*Input!$F$58)*1000</f>
        <v>-3573.6650317362992</v>
      </c>
      <c r="G91" s="21">
        <f>Multi!$B140*Loads!$B67*LAFs!G258/(24*Input!$F$58)*1000</f>
        <v>0</v>
      </c>
      <c r="H91" s="21">
        <f>Multi!$B140*Loads!$B67*LAFs!H258/(24*Input!$F$58)*1000</f>
        <v>-3531.2460924157103</v>
      </c>
      <c r="I91" s="21">
        <f>Multi!$B140*Loads!$B67*LAFs!I258/(24*Input!$F$58)*1000</f>
        <v>-3485.5397521443097</v>
      </c>
      <c r="J91" s="21">
        <f>Multi!$B140*Loads!$B67*LAFs!J258/(24*Input!$F$58)*1000</f>
        <v>0</v>
      </c>
      <c r="K91" s="17"/>
    </row>
    <row r="92" spans="1:11" x14ac:dyDescent="0.25">
      <c r="A92" s="4" t="s">
        <v>184</v>
      </c>
      <c r="B92" s="21">
        <f>Multi!$B141*Loads!$B68*LAFs!B259/(24*Input!$F$58)*1000</f>
        <v>-320.18120512737033</v>
      </c>
      <c r="C92" s="21">
        <f>Multi!$B141*Loads!$B68*LAFs!C259/(24*Input!$F$58)*1000</f>
        <v>-316.94593104351617</v>
      </c>
      <c r="D92" s="21">
        <f>Multi!$B141*Loads!$B68*LAFs!D259/(24*Input!$F$58)*1000</f>
        <v>-315.39727440821559</v>
      </c>
      <c r="E92" s="21">
        <f>Multi!$B141*Loads!$B68*LAFs!E259/(24*Input!$F$58)*1000</f>
        <v>-313.40749109992129</v>
      </c>
      <c r="F92" s="21">
        <f>Multi!$B141*Loads!$B68*LAFs!F259/(24*Input!$F$58)*1000</f>
        <v>-311.7199665715039</v>
      </c>
      <c r="G92" s="21">
        <f>Multi!$B141*Loads!$B68*LAFs!G259/(24*Input!$F$58)*1000</f>
        <v>0</v>
      </c>
      <c r="H92" s="21">
        <f>Multi!$B141*Loads!$B68*LAFs!H259/(24*Input!$F$58)*1000</f>
        <v>-308.01989109448357</v>
      </c>
      <c r="I92" s="21">
        <f>Multi!$B141*Loads!$B68*LAFs!I259/(24*Input!$F$58)*1000</f>
        <v>-304.03306559881463</v>
      </c>
      <c r="J92" s="21">
        <f>Multi!$B141*Loads!$B68*LAFs!J259/(24*Input!$F$58)*1000</f>
        <v>0</v>
      </c>
      <c r="K92" s="17"/>
    </row>
    <row r="93" spans="1:11" x14ac:dyDescent="0.25">
      <c r="A93" s="4" t="s">
        <v>185</v>
      </c>
      <c r="B93" s="21">
        <f>Multi!$B142*Loads!$B69*LAFs!B260/(24*Input!$F$58)*1000</f>
        <v>-169.57302561437004</v>
      </c>
      <c r="C93" s="21">
        <f>Multi!$B142*Loads!$B69*LAFs!C260/(24*Input!$F$58)*1000</f>
        <v>-167.85957333701771</v>
      </c>
      <c r="D93" s="21">
        <f>Multi!$B142*Loads!$B69*LAFs!D260/(24*Input!$F$58)*1000</f>
        <v>-167.03938031169253</v>
      </c>
      <c r="E93" s="21">
        <f>Multi!$B142*Loads!$B69*LAFs!E260/(24*Input!$F$58)*1000</f>
        <v>-165.98555962983764</v>
      </c>
      <c r="F93" s="21">
        <f>Multi!$B142*Loads!$B69*LAFs!F260/(24*Input!$F$58)*1000</f>
        <v>-165.09181997398133</v>
      </c>
      <c r="G93" s="21">
        <f>Multi!$B142*Loads!$B69*LAFs!G260/(24*Input!$F$58)*1000</f>
        <v>0</v>
      </c>
      <c r="H93" s="21">
        <f>Multi!$B142*Loads!$B69*LAFs!H260/(24*Input!$F$58)*1000</f>
        <v>-163.13220153419726</v>
      </c>
      <c r="I93" s="21">
        <f>Multi!$B142*Loads!$B69*LAFs!I260/(24*Input!$F$58)*1000</f>
        <v>0</v>
      </c>
      <c r="J93" s="21">
        <f>Multi!$B142*Loads!$B69*LAFs!J260/(24*Input!$F$58)*1000</f>
        <v>0</v>
      </c>
      <c r="K93" s="17"/>
    </row>
    <row r="94" spans="1:11" x14ac:dyDescent="0.25">
      <c r="A94" s="4" t="s">
        <v>186</v>
      </c>
      <c r="B94" s="21">
        <f>Multi!$B143*Loads!$B70*LAFs!B261/(24*Input!$F$58)*1000</f>
        <v>-47.03509674894422</v>
      </c>
      <c r="C94" s="21">
        <f>Multi!$B143*Loads!$B70*LAFs!C261/(24*Input!$F$58)*1000</f>
        <v>-46.559830158942802</v>
      </c>
      <c r="D94" s="21">
        <f>Multi!$B143*Loads!$B70*LAFs!D261/(24*Input!$F$58)*1000</f>
        <v>-46.332330188595449</v>
      </c>
      <c r="E94" s="21">
        <f>Multi!$B143*Loads!$B70*LAFs!E261/(24*Input!$F$58)*1000</f>
        <v>-46.040028051816911</v>
      </c>
      <c r="F94" s="21">
        <f>Multi!$B143*Loads!$B70*LAFs!F261/(24*Input!$F$58)*1000</f>
        <v>-45.792128180777475</v>
      </c>
      <c r="G94" s="21">
        <f>Multi!$B143*Loads!$B70*LAFs!G261/(24*Input!$F$58)*1000</f>
        <v>0</v>
      </c>
      <c r="H94" s="21">
        <f>Multi!$B143*Loads!$B70*LAFs!H261/(24*Input!$F$58)*1000</f>
        <v>-45.248581572628446</v>
      </c>
      <c r="I94" s="21">
        <f>Multi!$B143*Loads!$B70*LAFs!I261/(24*Input!$F$58)*1000</f>
        <v>0</v>
      </c>
      <c r="J94" s="21">
        <f>Multi!$B143*Loads!$B70*LAFs!J261/(24*Input!$F$58)*1000</f>
        <v>0</v>
      </c>
      <c r="K94" s="17"/>
    </row>
    <row r="95" spans="1:11" x14ac:dyDescent="0.25">
      <c r="A95" s="4" t="s">
        <v>194</v>
      </c>
      <c r="B95" s="21">
        <f>Multi!$B144*Loads!$B71*LAFs!B262/(24*Input!$F$58)*1000</f>
        <v>-41874.554640331968</v>
      </c>
      <c r="C95" s="21">
        <f>Multi!$B144*Loads!$B71*LAFs!C262/(24*Input!$F$58)*1000</f>
        <v>-41451.432797977403</v>
      </c>
      <c r="D95" s="21">
        <f>Multi!$B144*Loads!$B71*LAFs!D262/(24*Input!$F$58)*1000</f>
        <v>-41248.893405110139</v>
      </c>
      <c r="E95" s="21">
        <f>Multi!$B144*Loads!$B71*LAFs!E262/(24*Input!$F$58)*1000</f>
        <v>-40988.661734633279</v>
      </c>
      <c r="F95" s="21">
        <f>Multi!$B144*Loads!$B71*LAFs!F262/(24*Input!$F$58)*1000</f>
        <v>-40767.960653681315</v>
      </c>
      <c r="G95" s="21">
        <f>Multi!$B144*Loads!$B71*LAFs!G262/(24*Input!$F$58)*1000</f>
        <v>0</v>
      </c>
      <c r="H95" s="21">
        <f>Multi!$B144*Loads!$B71*LAFs!H262/(24*Input!$F$58)*1000</f>
        <v>0</v>
      </c>
      <c r="I95" s="21">
        <f>Multi!$B144*Loads!$B71*LAFs!I262/(24*Input!$F$58)*1000</f>
        <v>0</v>
      </c>
      <c r="J95" s="21">
        <f>Multi!$B144*Loads!$B71*LAFs!J262/(24*Input!$F$58)*1000</f>
        <v>0</v>
      </c>
      <c r="K95" s="17"/>
    </row>
    <row r="96" spans="1:11" x14ac:dyDescent="0.25">
      <c r="A96" s="4" t="s">
        <v>195</v>
      </c>
      <c r="B96" s="21">
        <f>Multi!$B145*Loads!$B72*LAFs!B263/(24*Input!$F$58)*1000</f>
        <v>-63602.040601616107</v>
      </c>
      <c r="C96" s="21">
        <f>Multi!$B145*Loads!$B72*LAFs!C263/(24*Input!$F$58)*1000</f>
        <v>-62959.373167227553</v>
      </c>
      <c r="D96" s="21">
        <f>Multi!$B145*Loads!$B72*LAFs!D263/(24*Input!$F$58)*1000</f>
        <v>-62651.741986449269</v>
      </c>
      <c r="E96" s="21">
        <f>Multi!$B145*Loads!$B72*LAFs!E263/(24*Input!$F$58)*1000</f>
        <v>-62256.48368666177</v>
      </c>
      <c r="F96" s="21">
        <f>Multi!$B145*Loads!$B72*LAFs!F263/(24*Input!$F$58)*1000</f>
        <v>-61921.267247177369</v>
      </c>
      <c r="G96" s="21">
        <f>Multi!$B145*Loads!$B72*LAFs!G263/(24*Input!$F$58)*1000</f>
        <v>0</v>
      </c>
      <c r="H96" s="21">
        <f>Multi!$B145*Loads!$B72*LAFs!H263/(24*Input!$F$58)*1000</f>
        <v>0</v>
      </c>
      <c r="I96" s="21">
        <f>Multi!$B145*Loads!$B72*LAFs!I263/(24*Input!$F$58)*1000</f>
        <v>0</v>
      </c>
      <c r="J96" s="21">
        <f>Multi!$B145*Loads!$B72*LAFs!J263/(24*Input!$F$58)*1000</f>
        <v>0</v>
      </c>
      <c r="K96" s="17"/>
    </row>
    <row r="98" spans="1:11" ht="21" customHeight="1" x14ac:dyDescent="0.3">
      <c r="A98" s="1" t="s">
        <v>812</v>
      </c>
    </row>
    <row r="99" spans="1:11" x14ac:dyDescent="0.25">
      <c r="A99" s="2" t="s">
        <v>350</v>
      </c>
    </row>
    <row r="100" spans="1:11" x14ac:dyDescent="0.25">
      <c r="A100" s="32" t="s">
        <v>813</v>
      </c>
    </row>
    <row r="101" spans="1:11" x14ac:dyDescent="0.25">
      <c r="A101" s="32" t="s">
        <v>814</v>
      </c>
    </row>
    <row r="102" spans="1:11" x14ac:dyDescent="0.25">
      <c r="A102" s="32" t="s">
        <v>815</v>
      </c>
    </row>
    <row r="103" spans="1:11" x14ac:dyDescent="0.25">
      <c r="A103" s="32" t="s">
        <v>816</v>
      </c>
    </row>
    <row r="104" spans="1:11" x14ac:dyDescent="0.25">
      <c r="A104" s="2" t="s">
        <v>817</v>
      </c>
    </row>
    <row r="106" spans="1:11" x14ac:dyDescent="0.25">
      <c r="B106" s="15" t="s">
        <v>139</v>
      </c>
      <c r="C106" s="15" t="s">
        <v>140</v>
      </c>
      <c r="D106" s="15" t="s">
        <v>141</v>
      </c>
      <c r="E106" s="15" t="s">
        <v>142</v>
      </c>
      <c r="F106" s="15" t="s">
        <v>143</v>
      </c>
      <c r="G106" s="15" t="s">
        <v>148</v>
      </c>
      <c r="H106" s="15" t="s">
        <v>144</v>
      </c>
      <c r="I106" s="15" t="s">
        <v>145</v>
      </c>
      <c r="J106" s="15" t="s">
        <v>146</v>
      </c>
    </row>
    <row r="107" spans="1:11" x14ac:dyDescent="0.25">
      <c r="A107" s="4" t="s">
        <v>171</v>
      </c>
      <c r="B107" s="43">
        <f t="shared" ref="B107:J107" si="0">B$12</f>
        <v>1633817.0374850568</v>
      </c>
      <c r="C107" s="43">
        <f t="shared" si="0"/>
        <v>1543200.1375523962</v>
      </c>
      <c r="D107" s="43">
        <f t="shared" si="0"/>
        <v>1535659.7753059119</v>
      </c>
      <c r="E107" s="43">
        <f t="shared" si="0"/>
        <v>1483120.7945679601</v>
      </c>
      <c r="F107" s="43">
        <f t="shared" si="0"/>
        <v>1475135.0163382962</v>
      </c>
      <c r="G107" s="43">
        <f t="shared" si="0"/>
        <v>0</v>
      </c>
      <c r="H107" s="43">
        <f t="shared" si="0"/>
        <v>1457625.3554741589</v>
      </c>
      <c r="I107" s="43">
        <f t="shared" si="0"/>
        <v>1438758.7234859176</v>
      </c>
      <c r="J107" s="43">
        <f t="shared" si="0"/>
        <v>1370550.7256768581</v>
      </c>
      <c r="K107" s="17"/>
    </row>
    <row r="108" spans="1:11" x14ac:dyDescent="0.25">
      <c r="A108" s="4" t="s">
        <v>172</v>
      </c>
      <c r="B108" s="43">
        <f t="shared" ref="B108:J108" si="1">B$32</f>
        <v>142415.49207341182</v>
      </c>
      <c r="C108" s="43">
        <f t="shared" si="1"/>
        <v>141099.65292302342</v>
      </c>
      <c r="D108" s="43">
        <f t="shared" si="1"/>
        <v>140410.21383472718</v>
      </c>
      <c r="E108" s="43">
        <f t="shared" si="1"/>
        <v>139251.00659049032</v>
      </c>
      <c r="F108" s="43">
        <f t="shared" si="1"/>
        <v>138501.21759086059</v>
      </c>
      <c r="G108" s="43">
        <f t="shared" si="1"/>
        <v>0</v>
      </c>
      <c r="H108" s="43">
        <f t="shared" si="1"/>
        <v>136857.22614436518</v>
      </c>
      <c r="I108" s="43">
        <f t="shared" si="1"/>
        <v>135085.82795147534</v>
      </c>
      <c r="J108" s="43">
        <f t="shared" si="1"/>
        <v>128681.74246685354</v>
      </c>
      <c r="K108" s="17"/>
    </row>
    <row r="109" spans="1:11" x14ac:dyDescent="0.25">
      <c r="A109" s="4" t="s">
        <v>213</v>
      </c>
      <c r="B109" s="43">
        <f t="shared" ref="B109:J109" si="2">B$13</f>
        <v>227.75990526410024</v>
      </c>
      <c r="C109" s="43">
        <f t="shared" si="2"/>
        <v>439.37786680541672</v>
      </c>
      <c r="D109" s="43">
        <f t="shared" si="2"/>
        <v>437.23098501207073</v>
      </c>
      <c r="E109" s="43">
        <f t="shared" si="2"/>
        <v>554.00609485590053</v>
      </c>
      <c r="F109" s="43">
        <f t="shared" si="2"/>
        <v>551.02308104636802</v>
      </c>
      <c r="G109" s="43">
        <f t="shared" si="2"/>
        <v>0</v>
      </c>
      <c r="H109" s="43">
        <f t="shared" si="2"/>
        <v>544.48250871192238</v>
      </c>
      <c r="I109" s="43">
        <f t="shared" si="2"/>
        <v>537.43505232861833</v>
      </c>
      <c r="J109" s="43">
        <f t="shared" si="2"/>
        <v>511.95658378948326</v>
      </c>
      <c r="K109" s="17"/>
    </row>
    <row r="110" spans="1:11" x14ac:dyDescent="0.25">
      <c r="A110" s="4" t="s">
        <v>173</v>
      </c>
      <c r="B110" s="43">
        <f t="shared" ref="B110:J110" si="3">B$14</f>
        <v>347685.63322733663</v>
      </c>
      <c r="C110" s="43">
        <f t="shared" si="3"/>
        <v>349662.68095444172</v>
      </c>
      <c r="D110" s="43">
        <f t="shared" si="3"/>
        <v>347954.16420777078</v>
      </c>
      <c r="E110" s="43">
        <f t="shared" si="3"/>
        <v>349703.25296976184</v>
      </c>
      <c r="F110" s="43">
        <f t="shared" si="3"/>
        <v>347820.2960085778</v>
      </c>
      <c r="G110" s="43">
        <f t="shared" si="3"/>
        <v>0</v>
      </c>
      <c r="H110" s="43">
        <f t="shared" si="3"/>
        <v>343691.71431448194</v>
      </c>
      <c r="I110" s="43">
        <f t="shared" si="3"/>
        <v>339243.17404518224</v>
      </c>
      <c r="J110" s="43">
        <f t="shared" si="3"/>
        <v>323160.49298525491</v>
      </c>
      <c r="K110" s="17"/>
    </row>
    <row r="111" spans="1:11" x14ac:dyDescent="0.25">
      <c r="A111" s="4" t="s">
        <v>174</v>
      </c>
      <c r="B111" s="43">
        <f t="shared" ref="B111:J111" si="4">B$33</f>
        <v>132260.11235060962</v>
      </c>
      <c r="C111" s="43">
        <f t="shared" si="4"/>
        <v>133449.4334571377</v>
      </c>
      <c r="D111" s="43">
        <f t="shared" si="4"/>
        <v>132797.3747608166</v>
      </c>
      <c r="E111" s="43">
        <f t="shared" si="4"/>
        <v>133538.12305513435</v>
      </c>
      <c r="F111" s="43">
        <f t="shared" si="4"/>
        <v>132819.09474683364</v>
      </c>
      <c r="G111" s="43">
        <f t="shared" si="4"/>
        <v>0</v>
      </c>
      <c r="H111" s="43">
        <f t="shared" si="4"/>
        <v>131242.54935977361</v>
      </c>
      <c r="I111" s="43">
        <f t="shared" si="4"/>
        <v>129543.82418963962</v>
      </c>
      <c r="J111" s="43">
        <f t="shared" si="4"/>
        <v>123402.47141639919</v>
      </c>
      <c r="K111" s="17"/>
    </row>
    <row r="112" spans="1:11" x14ac:dyDescent="0.25">
      <c r="A112" s="4" t="s">
        <v>214</v>
      </c>
      <c r="B112" s="43">
        <f t="shared" ref="B112:J112" si="5">B$15</f>
        <v>135.28966762024857</v>
      </c>
      <c r="C112" s="43">
        <f t="shared" si="5"/>
        <v>347.60356314520897</v>
      </c>
      <c r="D112" s="43">
        <f t="shared" si="5"/>
        <v>345.90510763026799</v>
      </c>
      <c r="E112" s="43">
        <f t="shared" si="5"/>
        <v>460.87408039561348</v>
      </c>
      <c r="F112" s="43">
        <f t="shared" si="5"/>
        <v>458.39253053715322</v>
      </c>
      <c r="G112" s="43">
        <f t="shared" si="5"/>
        <v>0</v>
      </c>
      <c r="H112" s="43">
        <f t="shared" si="5"/>
        <v>452.95147079451158</v>
      </c>
      <c r="I112" s="43">
        <f t="shared" si="5"/>
        <v>447.08873749619232</v>
      </c>
      <c r="J112" s="43">
        <f t="shared" si="5"/>
        <v>425.89336461691619</v>
      </c>
      <c r="K112" s="17"/>
    </row>
    <row r="113" spans="1:11" x14ac:dyDescent="0.25">
      <c r="A113" s="4" t="s">
        <v>175</v>
      </c>
      <c r="B113" s="43">
        <f t="shared" ref="B113:J113" si="6">B$34</f>
        <v>0</v>
      </c>
      <c r="C113" s="43">
        <f t="shared" si="6"/>
        <v>0</v>
      </c>
      <c r="D113" s="43">
        <f t="shared" si="6"/>
        <v>0</v>
      </c>
      <c r="E113" s="43">
        <f t="shared" si="6"/>
        <v>0</v>
      </c>
      <c r="F113" s="43">
        <f t="shared" si="6"/>
        <v>0</v>
      </c>
      <c r="G113" s="43">
        <f t="shared" si="6"/>
        <v>0</v>
      </c>
      <c r="H113" s="43">
        <f t="shared" si="6"/>
        <v>0</v>
      </c>
      <c r="I113" s="43">
        <f t="shared" si="6"/>
        <v>0</v>
      </c>
      <c r="J113" s="43">
        <f t="shared" si="6"/>
        <v>0</v>
      </c>
      <c r="K113" s="17"/>
    </row>
    <row r="114" spans="1:11" x14ac:dyDescent="0.25">
      <c r="A114" s="4" t="s">
        <v>176</v>
      </c>
      <c r="B114" s="43">
        <f t="shared" ref="B114:J114" si="7">B$35</f>
        <v>0</v>
      </c>
      <c r="C114" s="43">
        <f t="shared" si="7"/>
        <v>0</v>
      </c>
      <c r="D114" s="43">
        <f t="shared" si="7"/>
        <v>0</v>
      </c>
      <c r="E114" s="43">
        <f t="shared" si="7"/>
        <v>0</v>
      </c>
      <c r="F114" s="43">
        <f t="shared" si="7"/>
        <v>0</v>
      </c>
      <c r="G114" s="43">
        <f t="shared" si="7"/>
        <v>0</v>
      </c>
      <c r="H114" s="43">
        <f t="shared" si="7"/>
        <v>0</v>
      </c>
      <c r="I114" s="43">
        <f t="shared" si="7"/>
        <v>0</v>
      </c>
      <c r="J114" s="43">
        <f t="shared" si="7"/>
        <v>0</v>
      </c>
      <c r="K114" s="17"/>
    </row>
    <row r="115" spans="1:11" x14ac:dyDescent="0.25">
      <c r="A115" s="4" t="s">
        <v>192</v>
      </c>
      <c r="B115" s="43">
        <f t="shared" ref="B115:J115" si="8">B$36</f>
        <v>1272.9483677320154</v>
      </c>
      <c r="C115" s="43">
        <f t="shared" si="8"/>
        <v>1269.3863530915933</v>
      </c>
      <c r="D115" s="43">
        <f t="shared" si="8"/>
        <v>1263.1838958080973</v>
      </c>
      <c r="E115" s="43">
        <f t="shared" si="8"/>
        <v>1262.3664099674556</v>
      </c>
      <c r="F115" s="43">
        <f t="shared" si="8"/>
        <v>1255.5692709673831</v>
      </c>
      <c r="G115" s="43">
        <f t="shared" si="8"/>
        <v>0</v>
      </c>
      <c r="H115" s="43">
        <f t="shared" si="8"/>
        <v>1240.6658269554284</v>
      </c>
      <c r="I115" s="43">
        <f t="shared" si="8"/>
        <v>0</v>
      </c>
      <c r="J115" s="43">
        <f t="shared" si="8"/>
        <v>0</v>
      </c>
      <c r="K115" s="17"/>
    </row>
    <row r="116" spans="1:11" x14ac:dyDescent="0.25">
      <c r="A116" s="4" t="s">
        <v>177</v>
      </c>
      <c r="B116" s="43">
        <f t="shared" ref="B116:J116" si="9">B$51</f>
        <v>0</v>
      </c>
      <c r="C116" s="43">
        <f t="shared" si="9"/>
        <v>0</v>
      </c>
      <c r="D116" s="43">
        <f t="shared" si="9"/>
        <v>0</v>
      </c>
      <c r="E116" s="43">
        <f t="shared" si="9"/>
        <v>0</v>
      </c>
      <c r="F116" s="43">
        <f t="shared" si="9"/>
        <v>0</v>
      </c>
      <c r="G116" s="43">
        <f t="shared" si="9"/>
        <v>0</v>
      </c>
      <c r="H116" s="43">
        <f t="shared" si="9"/>
        <v>0</v>
      </c>
      <c r="I116" s="43">
        <f t="shared" si="9"/>
        <v>0</v>
      </c>
      <c r="J116" s="43">
        <f t="shared" si="9"/>
        <v>0</v>
      </c>
      <c r="K116" s="17"/>
    </row>
    <row r="117" spans="1:11" x14ac:dyDescent="0.25">
      <c r="A117" s="4" t="s">
        <v>178</v>
      </c>
      <c r="B117" s="43">
        <f t="shared" ref="B117:J117" si="10">B$52</f>
        <v>109560.01444857928</v>
      </c>
      <c r="C117" s="43">
        <f t="shared" si="10"/>
        <v>108087.61295744689</v>
      </c>
      <c r="D117" s="43">
        <f t="shared" si="10"/>
        <v>107559.47682252561</v>
      </c>
      <c r="E117" s="43">
        <f t="shared" si="10"/>
        <v>106809.43851927233</v>
      </c>
      <c r="F117" s="43">
        <f t="shared" si="10"/>
        <v>106234.32926858026</v>
      </c>
      <c r="G117" s="43">
        <f t="shared" si="10"/>
        <v>0</v>
      </c>
      <c r="H117" s="43">
        <f t="shared" si="10"/>
        <v>104973.34159150692</v>
      </c>
      <c r="I117" s="43">
        <f t="shared" si="10"/>
        <v>103614.62935660713</v>
      </c>
      <c r="J117" s="43">
        <f t="shared" si="10"/>
        <v>98702.51567362716</v>
      </c>
      <c r="K117" s="17"/>
    </row>
    <row r="118" spans="1:11" x14ac:dyDescent="0.25">
      <c r="A118" s="4" t="s">
        <v>179</v>
      </c>
      <c r="B118" s="43">
        <f t="shared" ref="B118:J118" si="11">B$53</f>
        <v>419768.38833627856</v>
      </c>
      <c r="C118" s="43">
        <f t="shared" si="11"/>
        <v>414369.7371426376</v>
      </c>
      <c r="D118" s="43">
        <f t="shared" si="11"/>
        <v>412345.04971162719</v>
      </c>
      <c r="E118" s="43">
        <f t="shared" si="11"/>
        <v>409604.84315098956</v>
      </c>
      <c r="F118" s="43">
        <f t="shared" si="11"/>
        <v>407399.34953834501</v>
      </c>
      <c r="G118" s="43">
        <f t="shared" si="11"/>
        <v>0</v>
      </c>
      <c r="H118" s="43">
        <f t="shared" si="11"/>
        <v>402563.5722246223</v>
      </c>
      <c r="I118" s="43">
        <f t="shared" si="11"/>
        <v>397353.02978961979</v>
      </c>
      <c r="J118" s="43">
        <f t="shared" si="11"/>
        <v>378515.50398150692</v>
      </c>
      <c r="K118" s="17"/>
    </row>
    <row r="119" spans="1:11" x14ac:dyDescent="0.25">
      <c r="A119" s="4" t="s">
        <v>180</v>
      </c>
      <c r="B119" s="43">
        <f t="shared" ref="B119:J119" si="12">B$54</f>
        <v>220855.581800263</v>
      </c>
      <c r="C119" s="43">
        <f t="shared" si="12"/>
        <v>219089.18534000372</v>
      </c>
      <c r="D119" s="43">
        <f t="shared" si="12"/>
        <v>218018.67492366143</v>
      </c>
      <c r="E119" s="43">
        <f t="shared" si="12"/>
        <v>217198.11241550697</v>
      </c>
      <c r="F119" s="43">
        <f t="shared" si="12"/>
        <v>216028.62172802928</v>
      </c>
      <c r="G119" s="43">
        <f t="shared" si="12"/>
        <v>0</v>
      </c>
      <c r="H119" s="43">
        <f t="shared" si="12"/>
        <v>213464.39007363174</v>
      </c>
      <c r="I119" s="43">
        <f t="shared" si="12"/>
        <v>210701.43450690206</v>
      </c>
      <c r="J119" s="43">
        <f t="shared" si="12"/>
        <v>0</v>
      </c>
      <c r="K119" s="17"/>
    </row>
    <row r="120" spans="1:11" x14ac:dyDescent="0.25">
      <c r="A120" s="4" t="s">
        <v>193</v>
      </c>
      <c r="B120" s="43">
        <f t="shared" ref="B120:J120" si="13">B$55</f>
        <v>731795.7970131475</v>
      </c>
      <c r="C120" s="43">
        <f t="shared" si="13"/>
        <v>722872.62055886351</v>
      </c>
      <c r="D120" s="43">
        <f t="shared" si="13"/>
        <v>719340.53079005098</v>
      </c>
      <c r="E120" s="43">
        <f t="shared" si="13"/>
        <v>714447.31306646392</v>
      </c>
      <c r="F120" s="43">
        <f t="shared" si="13"/>
        <v>710600.41278711776</v>
      </c>
      <c r="G120" s="43">
        <f t="shared" si="13"/>
        <v>0</v>
      </c>
      <c r="H120" s="43">
        <f t="shared" si="13"/>
        <v>702165.67827128724</v>
      </c>
      <c r="I120" s="43">
        <f t="shared" si="13"/>
        <v>0</v>
      </c>
      <c r="J120" s="43">
        <f t="shared" si="13"/>
        <v>0</v>
      </c>
      <c r="K120" s="17"/>
    </row>
    <row r="121" spans="1:11" x14ac:dyDescent="0.25">
      <c r="A121" s="4" t="s">
        <v>215</v>
      </c>
      <c r="B121" s="43">
        <f t="shared" ref="B121:J121" si="14">B$16</f>
        <v>5086.7581084223739</v>
      </c>
      <c r="C121" s="43">
        <f t="shared" si="14"/>
        <v>5037.4977689871057</v>
      </c>
      <c r="D121" s="43">
        <f t="shared" si="14"/>
        <v>5012.8836200703854</v>
      </c>
      <c r="E121" s="43">
        <f t="shared" si="14"/>
        <v>4982.388525616554</v>
      </c>
      <c r="F121" s="43">
        <f t="shared" si="14"/>
        <v>4955.5611424625176</v>
      </c>
      <c r="G121" s="43">
        <f t="shared" si="14"/>
        <v>0</v>
      </c>
      <c r="H121" s="43">
        <f t="shared" si="14"/>
        <v>4896.739275965575</v>
      </c>
      <c r="I121" s="43">
        <f t="shared" si="14"/>
        <v>4833.3588075104562</v>
      </c>
      <c r="J121" s="43">
        <f t="shared" si="14"/>
        <v>4604.2212032884527</v>
      </c>
      <c r="K121" s="17"/>
    </row>
    <row r="122" spans="1:11" x14ac:dyDescent="0.25">
      <c r="A122" s="4" t="s">
        <v>216</v>
      </c>
      <c r="B122" s="43">
        <f t="shared" ref="B122:J122" si="15">B$17</f>
        <v>2196.3807536693726</v>
      </c>
      <c r="C122" s="43">
        <f t="shared" si="15"/>
        <v>1789.8265564460776</v>
      </c>
      <c r="D122" s="43">
        <f t="shared" si="15"/>
        <v>1781.0811317499742</v>
      </c>
      <c r="E122" s="43">
        <f t="shared" si="15"/>
        <v>1566.7179276256115</v>
      </c>
      <c r="F122" s="43">
        <f t="shared" si="15"/>
        <v>1558.2820254629014</v>
      </c>
      <c r="G122" s="43">
        <f t="shared" si="15"/>
        <v>0</v>
      </c>
      <c r="H122" s="43">
        <f t="shared" si="15"/>
        <v>1539.7854204102564</v>
      </c>
      <c r="I122" s="43">
        <f t="shared" si="15"/>
        <v>1519.855357614189</v>
      </c>
      <c r="J122" s="43">
        <f t="shared" si="15"/>
        <v>1447.8027686637176</v>
      </c>
      <c r="K122" s="17"/>
    </row>
    <row r="123" spans="1:11" x14ac:dyDescent="0.25">
      <c r="A123" s="4" t="s">
        <v>217</v>
      </c>
      <c r="B123" s="43">
        <f t="shared" ref="B123:J123" si="16">B$18</f>
        <v>109.26357265125833</v>
      </c>
      <c r="C123" s="43">
        <f t="shared" si="16"/>
        <v>86.378776209982135</v>
      </c>
      <c r="D123" s="43">
        <f t="shared" si="16"/>
        <v>85.95671347995652</v>
      </c>
      <c r="E123" s="43">
        <f t="shared" si="16"/>
        <v>73.903379475142515</v>
      </c>
      <c r="F123" s="43">
        <f t="shared" si="16"/>
        <v>73.505450998195286</v>
      </c>
      <c r="G123" s="43">
        <f t="shared" si="16"/>
        <v>0</v>
      </c>
      <c r="H123" s="43">
        <f t="shared" si="16"/>
        <v>72.63295085116556</v>
      </c>
      <c r="I123" s="43">
        <f t="shared" si="16"/>
        <v>71.692833317683707</v>
      </c>
      <c r="J123" s="43">
        <f t="shared" si="16"/>
        <v>68.294053148337468</v>
      </c>
      <c r="K123" s="17"/>
    </row>
    <row r="124" spans="1:11" x14ac:dyDescent="0.25">
      <c r="A124" s="4" t="s">
        <v>218</v>
      </c>
      <c r="B124" s="43">
        <f t="shared" ref="B124:J124" si="17">B$19</f>
        <v>7.2712579096211724E-3</v>
      </c>
      <c r="C124" s="43">
        <f t="shared" si="17"/>
        <v>9.3057086699712063E-3</v>
      </c>
      <c r="D124" s="43">
        <f t="shared" si="17"/>
        <v>9.2602392505327646E-3</v>
      </c>
      <c r="E124" s="43">
        <f t="shared" si="17"/>
        <v>1.0315802057314191E-2</v>
      </c>
      <c r="F124" s="43">
        <f t="shared" si="17"/>
        <v>1.0260257217141671E-2</v>
      </c>
      <c r="G124" s="43">
        <f t="shared" si="17"/>
        <v>0</v>
      </c>
      <c r="H124" s="43">
        <f t="shared" si="17"/>
        <v>1.0138469297892813E-2</v>
      </c>
      <c r="I124" s="43">
        <f t="shared" si="17"/>
        <v>1.0007243006823523E-2</v>
      </c>
      <c r="J124" s="43">
        <f t="shared" si="17"/>
        <v>9.532824330542377E-3</v>
      </c>
      <c r="K124" s="17"/>
    </row>
    <row r="125" spans="1:11" x14ac:dyDescent="0.25">
      <c r="A125" s="4" t="s">
        <v>219</v>
      </c>
      <c r="B125" s="43">
        <f t="shared" ref="B125:J125" si="18">B$56</f>
        <v>61995.037423918773</v>
      </c>
      <c r="C125" s="43">
        <f t="shared" si="18"/>
        <v>50833.052852048262</v>
      </c>
      <c r="D125" s="43">
        <f t="shared" si="18"/>
        <v>50584.673122632834</v>
      </c>
      <c r="E125" s="43">
        <f t="shared" si="18"/>
        <v>44697.664453452846</v>
      </c>
      <c r="F125" s="43">
        <f t="shared" si="18"/>
        <v>44456.99246165248</v>
      </c>
      <c r="G125" s="43">
        <f t="shared" si="18"/>
        <v>0</v>
      </c>
      <c r="H125" s="43">
        <f t="shared" si="18"/>
        <v>43929.293740910754</v>
      </c>
      <c r="I125" s="43">
        <f t="shared" si="18"/>
        <v>43360.699200893629</v>
      </c>
      <c r="J125" s="43">
        <f t="shared" si="18"/>
        <v>41305.075538763471</v>
      </c>
      <c r="K125" s="17"/>
    </row>
    <row r="126" spans="1:11" x14ac:dyDescent="0.25">
      <c r="A126" s="4" t="s">
        <v>181</v>
      </c>
      <c r="B126" s="43">
        <f t="shared" ref="B126:J126" si="19">B89</f>
        <v>-96.235486995461855</v>
      </c>
      <c r="C126" s="43">
        <f t="shared" si="19"/>
        <v>-95.263074586371076</v>
      </c>
      <c r="D126" s="43">
        <f t="shared" si="19"/>
        <v>-94.797601525803344</v>
      </c>
      <c r="E126" s="43">
        <f t="shared" si="19"/>
        <v>-94.199540919425871</v>
      </c>
      <c r="F126" s="43">
        <f t="shared" si="19"/>
        <v>-93.692328933811567</v>
      </c>
      <c r="G126" s="43">
        <f t="shared" si="19"/>
        <v>0</v>
      </c>
      <c r="H126" s="43">
        <f t="shared" si="19"/>
        <v>-92.580213170147772</v>
      </c>
      <c r="I126" s="43">
        <f t="shared" si="19"/>
        <v>-91.381910187344658</v>
      </c>
      <c r="J126" s="43">
        <f t="shared" si="19"/>
        <v>0</v>
      </c>
      <c r="K126" s="17"/>
    </row>
    <row r="127" spans="1:11" x14ac:dyDescent="0.25">
      <c r="A127" s="4" t="s">
        <v>182</v>
      </c>
      <c r="B127" s="43">
        <f t="shared" ref="B127:J127" si="20">B90</f>
        <v>0</v>
      </c>
      <c r="C127" s="43">
        <f t="shared" si="20"/>
        <v>0</v>
      </c>
      <c r="D127" s="43">
        <f t="shared" si="20"/>
        <v>0</v>
      </c>
      <c r="E127" s="43">
        <f t="shared" si="20"/>
        <v>0</v>
      </c>
      <c r="F127" s="43">
        <f t="shared" si="20"/>
        <v>0</v>
      </c>
      <c r="G127" s="43">
        <f t="shared" si="20"/>
        <v>0</v>
      </c>
      <c r="H127" s="43">
        <f t="shared" si="20"/>
        <v>0</v>
      </c>
      <c r="I127" s="43">
        <f t="shared" si="20"/>
        <v>0</v>
      </c>
      <c r="J127" s="43">
        <f t="shared" si="20"/>
        <v>0</v>
      </c>
      <c r="K127" s="17"/>
    </row>
    <row r="128" spans="1:11" x14ac:dyDescent="0.25">
      <c r="A128" s="4" t="s">
        <v>183</v>
      </c>
      <c r="B128" s="43">
        <f t="shared" ref="B128:J128" si="21">B91</f>
        <v>-3670.6675840105449</v>
      </c>
      <c r="C128" s="43">
        <f t="shared" si="21"/>
        <v>-3633.5772879069109</v>
      </c>
      <c r="D128" s="43">
        <f t="shared" si="21"/>
        <v>-3615.8229549887765</v>
      </c>
      <c r="E128" s="43">
        <f t="shared" si="21"/>
        <v>-3593.0113939976945</v>
      </c>
      <c r="F128" s="43">
        <f t="shared" si="21"/>
        <v>-3573.6650317362992</v>
      </c>
      <c r="G128" s="43">
        <f t="shared" si="21"/>
        <v>0</v>
      </c>
      <c r="H128" s="43">
        <f t="shared" si="21"/>
        <v>-3531.2460924157103</v>
      </c>
      <c r="I128" s="43">
        <f t="shared" si="21"/>
        <v>-3485.5397521443097</v>
      </c>
      <c r="J128" s="43">
        <f t="shared" si="21"/>
        <v>0</v>
      </c>
      <c r="K128" s="17"/>
    </row>
    <row r="129" spans="1:11" x14ac:dyDescent="0.25">
      <c r="A129" s="4" t="s">
        <v>184</v>
      </c>
      <c r="B129" s="43">
        <f t="shared" ref="B129:J129" si="22">B$57</f>
        <v>-274.84691995215212</v>
      </c>
      <c r="C129" s="43">
        <f t="shared" si="22"/>
        <v>-282.73296124442226</v>
      </c>
      <c r="D129" s="43">
        <f t="shared" si="22"/>
        <v>-281.35147552852186</v>
      </c>
      <c r="E129" s="43">
        <f t="shared" si="22"/>
        <v>-285.89523838075047</v>
      </c>
      <c r="F129" s="43">
        <f t="shared" si="22"/>
        <v>-284.35585198755342</v>
      </c>
      <c r="G129" s="43">
        <f t="shared" si="22"/>
        <v>0</v>
      </c>
      <c r="H129" s="43">
        <f t="shared" si="22"/>
        <v>-280.98058499308252</v>
      </c>
      <c r="I129" s="43">
        <f t="shared" si="22"/>
        <v>-277.3437401255062</v>
      </c>
      <c r="J129" s="43">
        <f t="shared" si="22"/>
        <v>0</v>
      </c>
      <c r="K129" s="17"/>
    </row>
    <row r="130" spans="1:11" x14ac:dyDescent="0.25">
      <c r="A130" s="4" t="s">
        <v>185</v>
      </c>
      <c r="B130" s="43">
        <f t="shared" ref="B130:J130" si="23">B93</f>
        <v>-169.57302561437004</v>
      </c>
      <c r="C130" s="43">
        <f t="shared" si="23"/>
        <v>-167.85957333701771</v>
      </c>
      <c r="D130" s="43">
        <f t="shared" si="23"/>
        <v>-167.03938031169253</v>
      </c>
      <c r="E130" s="43">
        <f t="shared" si="23"/>
        <v>-165.98555962983764</v>
      </c>
      <c r="F130" s="43">
        <f t="shared" si="23"/>
        <v>-165.09181997398133</v>
      </c>
      <c r="G130" s="43">
        <f t="shared" si="23"/>
        <v>0</v>
      </c>
      <c r="H130" s="43">
        <f t="shared" si="23"/>
        <v>-163.13220153419726</v>
      </c>
      <c r="I130" s="43">
        <f t="shared" si="23"/>
        <v>0</v>
      </c>
      <c r="J130" s="43">
        <f t="shared" si="23"/>
        <v>0</v>
      </c>
      <c r="K130" s="17"/>
    </row>
    <row r="131" spans="1:11" x14ac:dyDescent="0.25">
      <c r="A131" s="4" t="s">
        <v>186</v>
      </c>
      <c r="B131" s="43">
        <f t="shared" ref="B131:J131" si="24">B$58</f>
        <v>-52.38682469511712</v>
      </c>
      <c r="C131" s="43">
        <f t="shared" si="24"/>
        <v>-48.636769380414343</v>
      </c>
      <c r="D131" s="43">
        <f t="shared" si="24"/>
        <v>-48.399121099609566</v>
      </c>
      <c r="E131" s="43">
        <f t="shared" si="24"/>
        <v>-46.1227819962781</v>
      </c>
      <c r="F131" s="43">
        <f t="shared" si="24"/>
        <v>-45.874436541405899</v>
      </c>
      <c r="G131" s="43">
        <f t="shared" si="24"/>
        <v>0</v>
      </c>
      <c r="H131" s="43">
        <f t="shared" si="24"/>
        <v>-45.329912943716984</v>
      </c>
      <c r="I131" s="43">
        <f t="shared" si="24"/>
        <v>0</v>
      </c>
      <c r="J131" s="43">
        <f t="shared" si="24"/>
        <v>0</v>
      </c>
      <c r="K131" s="17"/>
    </row>
    <row r="132" spans="1:11" x14ac:dyDescent="0.25">
      <c r="A132" s="4" t="s">
        <v>194</v>
      </c>
      <c r="B132" s="43">
        <f t="shared" ref="B132:J132" si="25">B95</f>
        <v>-41874.554640331968</v>
      </c>
      <c r="C132" s="43">
        <f t="shared" si="25"/>
        <v>-41451.432797977403</v>
      </c>
      <c r="D132" s="43">
        <f t="shared" si="25"/>
        <v>-41248.893405110139</v>
      </c>
      <c r="E132" s="43">
        <f t="shared" si="25"/>
        <v>-40988.661734633279</v>
      </c>
      <c r="F132" s="43">
        <f t="shared" si="25"/>
        <v>-40767.960653681315</v>
      </c>
      <c r="G132" s="43">
        <f t="shared" si="25"/>
        <v>0</v>
      </c>
      <c r="H132" s="43">
        <f t="shared" si="25"/>
        <v>0</v>
      </c>
      <c r="I132" s="43">
        <f t="shared" si="25"/>
        <v>0</v>
      </c>
      <c r="J132" s="43">
        <f t="shared" si="25"/>
        <v>0</v>
      </c>
      <c r="K132" s="17"/>
    </row>
    <row r="133" spans="1:11" x14ac:dyDescent="0.25">
      <c r="A133" s="4" t="s">
        <v>195</v>
      </c>
      <c r="B133" s="43">
        <f t="shared" ref="B133:J133" si="26">B$59</f>
        <v>-56877.987637738879</v>
      </c>
      <c r="C133" s="43">
        <f t="shared" si="26"/>
        <v>-58084.181839194564</v>
      </c>
      <c r="D133" s="43">
        <f t="shared" si="26"/>
        <v>-57800.371747942998</v>
      </c>
      <c r="E133" s="43">
        <f t="shared" si="26"/>
        <v>-58497.39478426789</v>
      </c>
      <c r="F133" s="43">
        <f t="shared" si="26"/>
        <v>-58182.418941793563</v>
      </c>
      <c r="G133" s="43">
        <f t="shared" si="26"/>
        <v>0</v>
      </c>
      <c r="H133" s="43">
        <f t="shared" si="26"/>
        <v>0</v>
      </c>
      <c r="I133" s="43">
        <f t="shared" si="26"/>
        <v>0</v>
      </c>
      <c r="J133" s="43">
        <f t="shared" si="26"/>
        <v>0</v>
      </c>
      <c r="K133" s="17"/>
    </row>
    <row r="135" spans="1:11" ht="21" customHeight="1" x14ac:dyDescent="0.3">
      <c r="A135" s="1" t="s">
        <v>818</v>
      </c>
    </row>
    <row r="136" spans="1:11" x14ac:dyDescent="0.25">
      <c r="A136" s="2" t="s">
        <v>350</v>
      </c>
    </row>
    <row r="137" spans="1:11" x14ac:dyDescent="0.25">
      <c r="A137" s="32" t="s">
        <v>819</v>
      </c>
    </row>
    <row r="138" spans="1:11" x14ac:dyDescent="0.25">
      <c r="A138" s="2" t="s">
        <v>820</v>
      </c>
    </row>
    <row r="140" spans="1:11" x14ac:dyDescent="0.25">
      <c r="B140" s="15" t="s">
        <v>139</v>
      </c>
      <c r="C140" s="15" t="s">
        <v>140</v>
      </c>
      <c r="D140" s="15" t="s">
        <v>141</v>
      </c>
      <c r="E140" s="15" t="s">
        <v>142</v>
      </c>
      <c r="F140" s="15" t="s">
        <v>143</v>
      </c>
      <c r="G140" s="15" t="s">
        <v>148</v>
      </c>
      <c r="H140" s="15" t="s">
        <v>144</v>
      </c>
      <c r="I140" s="15" t="s">
        <v>145</v>
      </c>
      <c r="J140" s="15" t="s">
        <v>146</v>
      </c>
    </row>
    <row r="141" spans="1:11" ht="30" x14ac:dyDescent="0.25">
      <c r="A141" s="4" t="s">
        <v>821</v>
      </c>
      <c r="B141" s="21">
        <f t="shared" ref="B141:J141" si="27">SUM(B$107:B$133)</f>
        <v>3706165.2496858817</v>
      </c>
      <c r="C141" s="21">
        <f t="shared" si="27"/>
        <v>3587870.5096247657</v>
      </c>
      <c r="D141" s="21">
        <f t="shared" si="27"/>
        <v>3570339.508507208</v>
      </c>
      <c r="E141" s="21">
        <f t="shared" si="27"/>
        <v>3503599.5444889455</v>
      </c>
      <c r="F141" s="21">
        <f t="shared" si="27"/>
        <v>3484734.6151653766</v>
      </c>
      <c r="G141" s="21">
        <f t="shared" si="27"/>
        <v>0</v>
      </c>
      <c r="H141" s="21">
        <f t="shared" si="27"/>
        <v>3541147.1197818397</v>
      </c>
      <c r="I141" s="21">
        <f t="shared" si="27"/>
        <v>2801216.5179192903</v>
      </c>
      <c r="J141" s="21">
        <f t="shared" si="27"/>
        <v>2471376.705245594</v>
      </c>
      <c r="K141" s="17"/>
    </row>
  </sheetData>
  <sheetProtection sheet="1" objects="1" scenarios="1"/>
  <hyperlinks>
    <hyperlink ref="A5" location="'Loads'!B301" display="x1 = 2305. Rate 1 units (MWh) (in Equivalent volume for each end user)"/>
    <hyperlink ref="A6" location="'Multi'!B851" display="x2 = 2460. Unit rate 1 pseudo load coefficient by network level (combined)"/>
    <hyperlink ref="A7" location="'LAFs'!B236" display="x3 = 2012. Loss adjustment factors between end user meter reading and each network level, scaled by network use"/>
    <hyperlink ref="A8" location="'Input'!F57" display="x4 = 1010. Days in the charging year (in Financial and general assumptions)"/>
    <hyperlink ref="A23" location="'Loads'!B301" display="x1 = 2305. Rate 1 units (MWh) (in Equivalent volume for each end user)"/>
    <hyperlink ref="A24" location="'Multi'!B851" display="x2 = 2460. Unit rate 1 pseudo load coefficient by network level (combined)"/>
    <hyperlink ref="A25" location="'Loads'!C301" display="x3 = 2305. Rate 2 units (MWh) (in Equivalent volume for each end user)"/>
    <hyperlink ref="A26" location="'Multi'!B881" display="x4 = 2461. Unit rate 2 pseudo load coefficient by network level (combined)"/>
    <hyperlink ref="A27" location="'LAFs'!B236" display="x5 = 2012. Loss adjustment factors between end user meter reading and each network level, scaled by network use"/>
    <hyperlink ref="A28" location="'Input'!F57" display="x6 = 1010. Days in the charging year (in Financial and general assumptions)"/>
    <hyperlink ref="A40" location="'Loads'!B301" display="x1 = 2305. Rate 1 units (MWh) (in Equivalent volume for each end user)"/>
    <hyperlink ref="A41" location="'Multi'!B851" display="x2 = 2460. Unit rate 1 pseudo load coefficient by network level (combined)"/>
    <hyperlink ref="A42" location="'Loads'!C301" display="x3 = 2305. Rate 2 units (MWh) (in Equivalent volume for each end user)"/>
    <hyperlink ref="A43" location="'Multi'!B881" display="x4 = 2461. Unit rate 2 pseudo load coefficient by network level (combined)"/>
    <hyperlink ref="A44" location="'Loads'!D301" display="x5 = 2305. Rate 3 units (MWh) (in Equivalent volume for each end user)"/>
    <hyperlink ref="A45" location="'Multi'!B903" display="x6 = 2462. Unit rate 3 pseudo load coefficient by network level (combined)"/>
    <hyperlink ref="A46" location="'LAFs'!B236" display="x7 = 2012. Loss adjustment factors between end user meter reading and each network level, scaled by network use"/>
    <hyperlink ref="A47" location="'Input'!F57" display="x8 = 1010. Days in the charging year (in Financial and general assumptions)"/>
    <hyperlink ref="A63" location="'Multi'!B118" display="x1 = 2407. All units (MWh)"/>
    <hyperlink ref="A64" location="'Loads'!B45" display="x2 = 2302. Load coefficient"/>
    <hyperlink ref="A65" location="'LAFs'!B236" display="x3 = 2012. Loss adjustment factors between end user meter reading and each network level, scaled by network use"/>
    <hyperlink ref="A66" location="'Input'!F57" display="x4 = 1010. Days in the charging year (in Financial and general assumptions)"/>
    <hyperlink ref="A100" location="'SMD'!B11" display="x1 = 2501. Contributions of users on one-rate multi tariffs to system simultaneous maximum load by network level (kW)"/>
    <hyperlink ref="A101" location="'SMD'!B31" display="x2 = 2502. Contributions of users on two-rate multi tariffs to system simultaneous maximum load by network level (kW)"/>
    <hyperlink ref="A102" location="'SMD'!B50" display="x3 = 2503. Contributions of users on three-rate multi tariffs to system simultaneous maximum load by network level (kW)"/>
    <hyperlink ref="A103" location="'SMD'!B69" display="x4 = 2504. Estimated contributions of users on each tariff to system simultaneous maximum load by network level (kW)"/>
    <hyperlink ref="A137" location="'SMD'!B106" display="x1 = 2505. Contributions of users on each tariff to system simultaneous maximum load by network level (kW)"/>
  </hyperlinks>
  <pageMargins left="0.7" right="0.7" top="0.75" bottom="0.75" header="0.3" footer="0.3"/>
  <pageSetup paperSize="9" fitToHeight="0" orientation="portrait"/>
  <headerFooter>
    <oddHeader>&amp;L&amp;A&amp;C&amp;R&amp;P of &amp;N</oddHeader>
    <oddFooter>&amp;F</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13"/>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x14ac:dyDescent="0.25"/>
  <cols>
    <col min="1" max="1" width="50.7109375" customWidth="1"/>
    <col min="2" max="251" width="16.7109375" customWidth="1"/>
  </cols>
  <sheetData>
    <row r="1" spans="1:12" ht="21" customHeight="1" x14ac:dyDescent="0.3">
      <c r="A1" s="1" t="str">
        <f>"Forecast aggregate maximum load for "&amp;Input!B7&amp;" in "&amp;Input!C7&amp;" ("&amp;Input!D7&amp;")"</f>
        <v>Forecast aggregate maximum load for Electricity North West in 2017/2018 (December 2015)</v>
      </c>
    </row>
    <row r="3" spans="1:12" ht="21" customHeight="1" x14ac:dyDescent="0.3">
      <c r="A3" s="1" t="s">
        <v>822</v>
      </c>
    </row>
    <row r="4" spans="1:12" x14ac:dyDescent="0.25">
      <c r="A4" s="2" t="s">
        <v>350</v>
      </c>
    </row>
    <row r="5" spans="1:12" x14ac:dyDescent="0.25">
      <c r="A5" s="32" t="s">
        <v>823</v>
      </c>
    </row>
    <row r="6" spans="1:12" x14ac:dyDescent="0.25">
      <c r="A6" s="32" t="s">
        <v>824</v>
      </c>
    </row>
    <row r="7" spans="1:12" x14ac:dyDescent="0.25">
      <c r="A7" s="32" t="s">
        <v>825</v>
      </c>
    </row>
    <row r="8" spans="1:12" x14ac:dyDescent="0.25">
      <c r="A8" s="33" t="s">
        <v>353</v>
      </c>
      <c r="B8" s="34" t="s">
        <v>354</v>
      </c>
      <c r="C8" s="34"/>
      <c r="D8" s="34"/>
      <c r="E8" s="34"/>
      <c r="F8" s="34"/>
      <c r="G8" s="34"/>
      <c r="H8" s="34"/>
      <c r="I8" s="34"/>
      <c r="J8" s="33" t="s">
        <v>354</v>
      </c>
      <c r="K8" s="33" t="s">
        <v>483</v>
      </c>
    </row>
    <row r="9" spans="1:12" x14ac:dyDescent="0.25">
      <c r="A9" s="33" t="s">
        <v>356</v>
      </c>
      <c r="B9" s="34" t="s">
        <v>357</v>
      </c>
      <c r="C9" s="34"/>
      <c r="D9" s="34"/>
      <c r="E9" s="34"/>
      <c r="F9" s="34"/>
      <c r="G9" s="34"/>
      <c r="H9" s="34"/>
      <c r="I9" s="34"/>
      <c r="J9" s="33" t="s">
        <v>357</v>
      </c>
      <c r="K9" s="33" t="s">
        <v>826</v>
      </c>
    </row>
    <row r="11" spans="1:12" x14ac:dyDescent="0.25">
      <c r="B11" s="35" t="s">
        <v>827</v>
      </c>
      <c r="C11" s="35"/>
      <c r="D11" s="35"/>
      <c r="E11" s="35"/>
      <c r="F11" s="35"/>
      <c r="G11" s="35"/>
      <c r="H11" s="35"/>
      <c r="I11" s="35"/>
    </row>
    <row r="12" spans="1:12" ht="45" x14ac:dyDescent="0.25">
      <c r="B12" s="15" t="s">
        <v>139</v>
      </c>
      <c r="C12" s="15" t="s">
        <v>140</v>
      </c>
      <c r="D12" s="15" t="s">
        <v>141</v>
      </c>
      <c r="E12" s="15" t="s">
        <v>142</v>
      </c>
      <c r="F12" s="15" t="s">
        <v>143</v>
      </c>
      <c r="G12" s="15" t="s">
        <v>144</v>
      </c>
      <c r="H12" s="15" t="s">
        <v>145</v>
      </c>
      <c r="I12" s="15" t="s">
        <v>146</v>
      </c>
      <c r="J12" s="15" t="s">
        <v>828</v>
      </c>
      <c r="K12" s="15" t="s">
        <v>829</v>
      </c>
    </row>
    <row r="13" spans="1:12" x14ac:dyDescent="0.25">
      <c r="A13" s="4" t="s">
        <v>171</v>
      </c>
      <c r="B13" s="28">
        <v>0</v>
      </c>
      <c r="C13" s="28">
        <v>0</v>
      </c>
      <c r="D13" s="28">
        <v>0</v>
      </c>
      <c r="E13" s="28">
        <v>0</v>
      </c>
      <c r="F13" s="28">
        <v>0</v>
      </c>
      <c r="G13" s="28">
        <v>0</v>
      </c>
      <c r="H13" s="28">
        <v>0</v>
      </c>
      <c r="I13" s="28">
        <v>1</v>
      </c>
      <c r="J13" s="28">
        <v>0</v>
      </c>
      <c r="K13" s="37">
        <f>$C13+0.2*Input!$B$80*$J13</f>
        <v>0</v>
      </c>
      <c r="L13" s="17"/>
    </row>
    <row r="14" spans="1:12" x14ac:dyDescent="0.25">
      <c r="A14" s="4" t="s">
        <v>172</v>
      </c>
      <c r="B14" s="28">
        <v>0</v>
      </c>
      <c r="C14" s="28">
        <v>0</v>
      </c>
      <c r="D14" s="28">
        <v>0</v>
      </c>
      <c r="E14" s="28">
        <v>0</v>
      </c>
      <c r="F14" s="28">
        <v>0</v>
      </c>
      <c r="G14" s="28">
        <v>0</v>
      </c>
      <c r="H14" s="28">
        <v>0</v>
      </c>
      <c r="I14" s="28">
        <v>1</v>
      </c>
      <c r="J14" s="28">
        <v>0</v>
      </c>
      <c r="K14" s="37">
        <f>$C14+0.2*Input!$B$80*$J14</f>
        <v>0</v>
      </c>
      <c r="L14" s="17"/>
    </row>
    <row r="15" spans="1:12" x14ac:dyDescent="0.25">
      <c r="A15" s="4" t="s">
        <v>213</v>
      </c>
      <c r="B15" s="28">
        <v>0</v>
      </c>
      <c r="C15" s="28">
        <v>0</v>
      </c>
      <c r="D15" s="28">
        <v>0</v>
      </c>
      <c r="E15" s="28">
        <v>0</v>
      </c>
      <c r="F15" s="28">
        <v>0</v>
      </c>
      <c r="G15" s="28">
        <v>0</v>
      </c>
      <c r="H15" s="28">
        <v>0</v>
      </c>
      <c r="I15" s="28">
        <v>1</v>
      </c>
      <c r="J15" s="28">
        <v>0</v>
      </c>
      <c r="K15" s="37">
        <f>$C15+0.2*Input!$B$80*$J15</f>
        <v>0</v>
      </c>
      <c r="L15" s="17"/>
    </row>
    <row r="16" spans="1:12" x14ac:dyDescent="0.25">
      <c r="A16" s="4" t="s">
        <v>173</v>
      </c>
      <c r="B16" s="28">
        <v>0</v>
      </c>
      <c r="C16" s="28">
        <v>0</v>
      </c>
      <c r="D16" s="28">
        <v>0</v>
      </c>
      <c r="E16" s="28">
        <v>0</v>
      </c>
      <c r="F16" s="28">
        <v>0</v>
      </c>
      <c r="G16" s="28">
        <v>0</v>
      </c>
      <c r="H16" s="28">
        <v>0</v>
      </c>
      <c r="I16" s="28">
        <v>1</v>
      </c>
      <c r="J16" s="28">
        <v>0</v>
      </c>
      <c r="K16" s="37">
        <f>$C16+0.2*Input!$B$80*$J16</f>
        <v>0</v>
      </c>
      <c r="L16" s="17"/>
    </row>
    <row r="17" spans="1:12" x14ac:dyDescent="0.25">
      <c r="A17" s="4" t="s">
        <v>174</v>
      </c>
      <c r="B17" s="28">
        <v>0</v>
      </c>
      <c r="C17" s="28">
        <v>0</v>
      </c>
      <c r="D17" s="28">
        <v>0</v>
      </c>
      <c r="E17" s="28">
        <v>0</v>
      </c>
      <c r="F17" s="28">
        <v>0</v>
      </c>
      <c r="G17" s="28">
        <v>0</v>
      </c>
      <c r="H17" s="28">
        <v>0</v>
      </c>
      <c r="I17" s="28">
        <v>1</v>
      </c>
      <c r="J17" s="28">
        <v>0</v>
      </c>
      <c r="K17" s="37">
        <f>$C17+0.2*Input!$B$80*$J17</f>
        <v>0</v>
      </c>
      <c r="L17" s="17"/>
    </row>
    <row r="18" spans="1:12" x14ac:dyDescent="0.25">
      <c r="A18" s="4" t="s">
        <v>214</v>
      </c>
      <c r="B18" s="28">
        <v>0</v>
      </c>
      <c r="C18" s="28">
        <v>0</v>
      </c>
      <c r="D18" s="28">
        <v>0</v>
      </c>
      <c r="E18" s="28">
        <v>0</v>
      </c>
      <c r="F18" s="28">
        <v>0</v>
      </c>
      <c r="G18" s="28">
        <v>0</v>
      </c>
      <c r="H18" s="28">
        <v>0</v>
      </c>
      <c r="I18" s="28">
        <v>1</v>
      </c>
      <c r="J18" s="28">
        <v>0</v>
      </c>
      <c r="K18" s="37">
        <f>$C18+0.2*Input!$B$80*$J18</f>
        <v>0</v>
      </c>
      <c r="L18" s="17"/>
    </row>
    <row r="19" spans="1:12" x14ac:dyDescent="0.25">
      <c r="A19" s="4" t="s">
        <v>175</v>
      </c>
      <c r="B19" s="28">
        <v>0</v>
      </c>
      <c r="C19" s="28">
        <v>0</v>
      </c>
      <c r="D19" s="28">
        <v>0</v>
      </c>
      <c r="E19" s="28">
        <v>0</v>
      </c>
      <c r="F19" s="28">
        <v>0</v>
      </c>
      <c r="G19" s="28">
        <v>0</v>
      </c>
      <c r="H19" s="28">
        <v>0</v>
      </c>
      <c r="I19" s="28">
        <v>1</v>
      </c>
      <c r="J19" s="28">
        <v>0</v>
      </c>
      <c r="K19" s="37">
        <f>$C19+0.2*Input!$B$80*$J19</f>
        <v>0</v>
      </c>
      <c r="L19" s="17"/>
    </row>
    <row r="20" spans="1:12" x14ac:dyDescent="0.25">
      <c r="A20" s="4" t="s">
        <v>176</v>
      </c>
      <c r="B20" s="28">
        <v>0</v>
      </c>
      <c r="C20" s="28">
        <v>0</v>
      </c>
      <c r="D20" s="28">
        <v>0</v>
      </c>
      <c r="E20" s="28">
        <v>0</v>
      </c>
      <c r="F20" s="28">
        <v>0</v>
      </c>
      <c r="G20" s="28">
        <v>0</v>
      </c>
      <c r="H20" s="28">
        <v>1</v>
      </c>
      <c r="I20" s="28">
        <v>0</v>
      </c>
      <c r="J20" s="28">
        <v>0</v>
      </c>
      <c r="K20" s="37">
        <f>$C20+0.2*Input!$B$80*$J20</f>
        <v>0</v>
      </c>
      <c r="L20" s="17"/>
    </row>
    <row r="21" spans="1:12" x14ac:dyDescent="0.25">
      <c r="A21" s="4" t="s">
        <v>192</v>
      </c>
      <c r="B21" s="28">
        <v>0</v>
      </c>
      <c r="C21" s="28">
        <v>0</v>
      </c>
      <c r="D21" s="28">
        <v>0</v>
      </c>
      <c r="E21" s="28">
        <v>0.2</v>
      </c>
      <c r="F21" s="28">
        <v>1</v>
      </c>
      <c r="G21" s="28">
        <v>1</v>
      </c>
      <c r="H21" s="28">
        <v>0</v>
      </c>
      <c r="I21" s="28">
        <v>0</v>
      </c>
      <c r="J21" s="28">
        <v>1</v>
      </c>
      <c r="K21" s="37">
        <f>$C21+0.2*Input!$B$80*$J21</f>
        <v>0</v>
      </c>
      <c r="L21" s="17"/>
    </row>
    <row r="22" spans="1:12" x14ac:dyDescent="0.25">
      <c r="A22" s="4" t="s">
        <v>177</v>
      </c>
      <c r="B22" s="28">
        <v>0</v>
      </c>
      <c r="C22" s="28">
        <v>0</v>
      </c>
      <c r="D22" s="28">
        <v>0</v>
      </c>
      <c r="E22" s="28">
        <v>0</v>
      </c>
      <c r="F22" s="28">
        <v>0</v>
      </c>
      <c r="G22" s="28">
        <v>0</v>
      </c>
      <c r="H22" s="28">
        <v>0</v>
      </c>
      <c r="I22" s="28">
        <v>1</v>
      </c>
      <c r="J22" s="28">
        <v>0</v>
      </c>
      <c r="K22" s="37">
        <f>$C22+0.2*Input!$B$80*$J22</f>
        <v>0</v>
      </c>
      <c r="L22" s="17"/>
    </row>
    <row r="23" spans="1:12" x14ac:dyDescent="0.25">
      <c r="A23" s="4" t="s">
        <v>178</v>
      </c>
      <c r="B23" s="28">
        <v>0</v>
      </c>
      <c r="C23" s="28">
        <v>0</v>
      </c>
      <c r="D23" s="28">
        <v>0</v>
      </c>
      <c r="E23" s="28">
        <v>0</v>
      </c>
      <c r="F23" s="28">
        <v>0</v>
      </c>
      <c r="G23" s="28">
        <v>0</v>
      </c>
      <c r="H23" s="28">
        <v>0</v>
      </c>
      <c r="I23" s="28">
        <v>1</v>
      </c>
      <c r="J23" s="28">
        <v>0</v>
      </c>
      <c r="K23" s="37">
        <f>$C23+0.2*Input!$B$80*$J23</f>
        <v>0</v>
      </c>
      <c r="L23" s="17"/>
    </row>
    <row r="24" spans="1:12" x14ac:dyDescent="0.25">
      <c r="A24" s="4" t="s">
        <v>179</v>
      </c>
      <c r="B24" s="28">
        <v>0</v>
      </c>
      <c r="C24" s="28">
        <v>0</v>
      </c>
      <c r="D24" s="28">
        <v>0</v>
      </c>
      <c r="E24" s="28">
        <v>0</v>
      </c>
      <c r="F24" s="28">
        <v>0</v>
      </c>
      <c r="G24" s="28">
        <v>0.2</v>
      </c>
      <c r="H24" s="28">
        <v>1</v>
      </c>
      <c r="I24" s="28">
        <v>1</v>
      </c>
      <c r="J24" s="28">
        <v>0</v>
      </c>
      <c r="K24" s="37">
        <f>$C24+0.2*Input!$B$80*$J24</f>
        <v>0</v>
      </c>
      <c r="L24" s="17"/>
    </row>
    <row r="25" spans="1:12" x14ac:dyDescent="0.25">
      <c r="A25" s="4" t="s">
        <v>180</v>
      </c>
      <c r="B25" s="28">
        <v>0</v>
      </c>
      <c r="C25" s="28">
        <v>0</v>
      </c>
      <c r="D25" s="28">
        <v>0</v>
      </c>
      <c r="E25" s="28">
        <v>0</v>
      </c>
      <c r="F25" s="28">
        <v>0</v>
      </c>
      <c r="G25" s="28">
        <v>1</v>
      </c>
      <c r="H25" s="28">
        <v>1</v>
      </c>
      <c r="I25" s="28">
        <v>0</v>
      </c>
      <c r="J25" s="28">
        <v>0</v>
      </c>
      <c r="K25" s="37">
        <f>$C25+0.2*Input!$B$80*$J25</f>
        <v>0</v>
      </c>
      <c r="L25" s="17"/>
    </row>
    <row r="26" spans="1:12" x14ac:dyDescent="0.25">
      <c r="A26" s="4" t="s">
        <v>193</v>
      </c>
      <c r="B26" s="28">
        <v>0</v>
      </c>
      <c r="C26" s="28">
        <v>0</v>
      </c>
      <c r="D26" s="28">
        <v>0</v>
      </c>
      <c r="E26" s="28">
        <v>0.2</v>
      </c>
      <c r="F26" s="28">
        <v>1</v>
      </c>
      <c r="G26" s="28">
        <v>1</v>
      </c>
      <c r="H26" s="28">
        <v>0</v>
      </c>
      <c r="I26" s="28">
        <v>0</v>
      </c>
      <c r="J26" s="28">
        <v>1</v>
      </c>
      <c r="K26" s="37">
        <f>$C26+0.2*Input!$B$80*$J26</f>
        <v>0</v>
      </c>
      <c r="L26" s="17"/>
    </row>
    <row r="27" spans="1:12" x14ac:dyDescent="0.25">
      <c r="A27" s="4" t="s">
        <v>215</v>
      </c>
      <c r="B27" s="28">
        <v>0</v>
      </c>
      <c r="C27" s="28">
        <v>0</v>
      </c>
      <c r="D27" s="28">
        <v>0</v>
      </c>
      <c r="E27" s="28">
        <v>0</v>
      </c>
      <c r="F27" s="28">
        <v>0</v>
      </c>
      <c r="G27" s="28">
        <v>0</v>
      </c>
      <c r="H27" s="28">
        <v>0</v>
      </c>
      <c r="I27" s="28">
        <v>0</v>
      </c>
      <c r="J27" s="28">
        <v>0</v>
      </c>
      <c r="K27" s="37">
        <f>$C27+0.2*Input!$B$80*$J27</f>
        <v>0</v>
      </c>
      <c r="L27" s="17"/>
    </row>
    <row r="28" spans="1:12" x14ac:dyDescent="0.25">
      <c r="A28" s="4" t="s">
        <v>216</v>
      </c>
      <c r="B28" s="28">
        <v>0</v>
      </c>
      <c r="C28" s="28">
        <v>0</v>
      </c>
      <c r="D28" s="28">
        <v>0</v>
      </c>
      <c r="E28" s="28">
        <v>0</v>
      </c>
      <c r="F28" s="28">
        <v>0</v>
      </c>
      <c r="G28" s="28">
        <v>0</v>
      </c>
      <c r="H28" s="28">
        <v>0</v>
      </c>
      <c r="I28" s="28">
        <v>0</v>
      </c>
      <c r="J28" s="28">
        <v>0</v>
      </c>
      <c r="K28" s="37">
        <f>$C28+0.2*Input!$B$80*$J28</f>
        <v>0</v>
      </c>
      <c r="L28" s="17"/>
    </row>
    <row r="29" spans="1:12" x14ac:dyDescent="0.25">
      <c r="A29" s="4" t="s">
        <v>217</v>
      </c>
      <c r="B29" s="28">
        <v>0</v>
      </c>
      <c r="C29" s="28">
        <v>0</v>
      </c>
      <c r="D29" s="28">
        <v>0</v>
      </c>
      <c r="E29" s="28">
        <v>0</v>
      </c>
      <c r="F29" s="28">
        <v>0</v>
      </c>
      <c r="G29" s="28">
        <v>0</v>
      </c>
      <c r="H29" s="28">
        <v>0</v>
      </c>
      <c r="I29" s="28">
        <v>0</v>
      </c>
      <c r="J29" s="28">
        <v>0</v>
      </c>
      <c r="K29" s="37">
        <f>$C29+0.2*Input!$B$80*$J29</f>
        <v>0</v>
      </c>
      <c r="L29" s="17"/>
    </row>
    <row r="30" spans="1:12" x14ac:dyDescent="0.25">
      <c r="A30" s="4" t="s">
        <v>218</v>
      </c>
      <c r="B30" s="28">
        <v>0</v>
      </c>
      <c r="C30" s="28">
        <v>0</v>
      </c>
      <c r="D30" s="28">
        <v>0</v>
      </c>
      <c r="E30" s="28">
        <v>0</v>
      </c>
      <c r="F30" s="28">
        <v>0</v>
      </c>
      <c r="G30" s="28">
        <v>0</v>
      </c>
      <c r="H30" s="28">
        <v>0</v>
      </c>
      <c r="I30" s="28">
        <v>0</v>
      </c>
      <c r="J30" s="28">
        <v>0</v>
      </c>
      <c r="K30" s="37">
        <f>$C30+0.2*Input!$B$80*$J30</f>
        <v>0</v>
      </c>
      <c r="L30" s="17"/>
    </row>
    <row r="31" spans="1:12" x14ac:dyDescent="0.25">
      <c r="A31" s="4" t="s">
        <v>219</v>
      </c>
      <c r="B31" s="28">
        <v>0</v>
      </c>
      <c r="C31" s="28">
        <v>0</v>
      </c>
      <c r="D31" s="28">
        <v>0</v>
      </c>
      <c r="E31" s="28">
        <v>0</v>
      </c>
      <c r="F31" s="28">
        <v>0</v>
      </c>
      <c r="G31" s="28">
        <v>0</v>
      </c>
      <c r="H31" s="28">
        <v>0</v>
      </c>
      <c r="I31" s="28">
        <v>0</v>
      </c>
      <c r="J31" s="28">
        <v>0</v>
      </c>
      <c r="K31" s="37">
        <f>$C31+0.2*Input!$B$80*$J31</f>
        <v>0</v>
      </c>
      <c r="L31" s="17"/>
    </row>
    <row r="33" spans="1:11" ht="21" customHeight="1" x14ac:dyDescent="0.3">
      <c r="A33" s="1" t="s">
        <v>830</v>
      </c>
    </row>
    <row r="34" spans="1:11" x14ac:dyDescent="0.25">
      <c r="A34" s="2" t="s">
        <v>350</v>
      </c>
    </row>
    <row r="35" spans="1:11" x14ac:dyDescent="0.25">
      <c r="A35" s="32" t="s">
        <v>831</v>
      </c>
    </row>
    <row r="36" spans="1:11" x14ac:dyDescent="0.25">
      <c r="A36" s="32" t="s">
        <v>832</v>
      </c>
    </row>
    <row r="37" spans="1:11" x14ac:dyDescent="0.25">
      <c r="A37" s="32" t="s">
        <v>833</v>
      </c>
    </row>
    <row r="38" spans="1:11" x14ac:dyDescent="0.25">
      <c r="A38" s="2" t="s">
        <v>393</v>
      </c>
    </row>
    <row r="40" spans="1:11" x14ac:dyDescent="0.25">
      <c r="B40" s="15" t="s">
        <v>139</v>
      </c>
      <c r="C40" s="15" t="s">
        <v>140</v>
      </c>
      <c r="D40" s="15" t="s">
        <v>141</v>
      </c>
      <c r="E40" s="15" t="s">
        <v>142</v>
      </c>
      <c r="F40" s="15" t="s">
        <v>143</v>
      </c>
      <c r="G40" s="15" t="s">
        <v>148</v>
      </c>
      <c r="H40" s="15" t="s">
        <v>144</v>
      </c>
      <c r="I40" s="15" t="s">
        <v>145</v>
      </c>
      <c r="J40" s="15" t="s">
        <v>146</v>
      </c>
    </row>
    <row r="41" spans="1:11" x14ac:dyDescent="0.25">
      <c r="A41" s="4" t="s">
        <v>171</v>
      </c>
      <c r="B41" s="38">
        <f t="shared" ref="B41:B59" si="0">$B13</f>
        <v>0</v>
      </c>
      <c r="C41" s="38">
        <f t="shared" ref="C41:C59" si="1">$K13</f>
        <v>0</v>
      </c>
      <c r="D41" s="38">
        <f t="shared" ref="D41:D59" si="2">$D13</f>
        <v>0</v>
      </c>
      <c r="E41" s="38">
        <f t="shared" ref="E41:E59" si="3">$E13</f>
        <v>0</v>
      </c>
      <c r="F41" s="38">
        <f t="shared" ref="F41:F59" si="4">$F13</f>
        <v>0</v>
      </c>
      <c r="G41" s="28">
        <v>0</v>
      </c>
      <c r="H41" s="38">
        <f t="shared" ref="H41:H59" si="5">$G13</f>
        <v>0</v>
      </c>
      <c r="I41" s="38">
        <f t="shared" ref="I41:I59" si="6">$H13</f>
        <v>0</v>
      </c>
      <c r="J41" s="38">
        <f t="shared" ref="J41:J59" si="7">$I13</f>
        <v>1</v>
      </c>
      <c r="K41" s="17"/>
    </row>
    <row r="42" spans="1:11" x14ac:dyDescent="0.25">
      <c r="A42" s="4" t="s">
        <v>172</v>
      </c>
      <c r="B42" s="38">
        <f t="shared" si="0"/>
        <v>0</v>
      </c>
      <c r="C42" s="38">
        <f t="shared" si="1"/>
        <v>0</v>
      </c>
      <c r="D42" s="38">
        <f t="shared" si="2"/>
        <v>0</v>
      </c>
      <c r="E42" s="38">
        <f t="shared" si="3"/>
        <v>0</v>
      </c>
      <c r="F42" s="38">
        <f t="shared" si="4"/>
        <v>0</v>
      </c>
      <c r="G42" s="28">
        <v>0</v>
      </c>
      <c r="H42" s="38">
        <f t="shared" si="5"/>
        <v>0</v>
      </c>
      <c r="I42" s="38">
        <f t="shared" si="6"/>
        <v>0</v>
      </c>
      <c r="J42" s="38">
        <f t="shared" si="7"/>
        <v>1</v>
      </c>
      <c r="K42" s="17"/>
    </row>
    <row r="43" spans="1:11" x14ac:dyDescent="0.25">
      <c r="A43" s="4" t="s">
        <v>213</v>
      </c>
      <c r="B43" s="38">
        <f t="shared" si="0"/>
        <v>0</v>
      </c>
      <c r="C43" s="38">
        <f t="shared" si="1"/>
        <v>0</v>
      </c>
      <c r="D43" s="38">
        <f t="shared" si="2"/>
        <v>0</v>
      </c>
      <c r="E43" s="38">
        <f t="shared" si="3"/>
        <v>0</v>
      </c>
      <c r="F43" s="38">
        <f t="shared" si="4"/>
        <v>0</v>
      </c>
      <c r="G43" s="28">
        <v>0</v>
      </c>
      <c r="H43" s="38">
        <f t="shared" si="5"/>
        <v>0</v>
      </c>
      <c r="I43" s="38">
        <f t="shared" si="6"/>
        <v>0</v>
      </c>
      <c r="J43" s="38">
        <f t="shared" si="7"/>
        <v>1</v>
      </c>
      <c r="K43" s="17"/>
    </row>
    <row r="44" spans="1:11" x14ac:dyDescent="0.25">
      <c r="A44" s="4" t="s">
        <v>173</v>
      </c>
      <c r="B44" s="38">
        <f t="shared" si="0"/>
        <v>0</v>
      </c>
      <c r="C44" s="38">
        <f t="shared" si="1"/>
        <v>0</v>
      </c>
      <c r="D44" s="38">
        <f t="shared" si="2"/>
        <v>0</v>
      </c>
      <c r="E44" s="38">
        <f t="shared" si="3"/>
        <v>0</v>
      </c>
      <c r="F44" s="38">
        <f t="shared" si="4"/>
        <v>0</v>
      </c>
      <c r="G44" s="28">
        <v>0</v>
      </c>
      <c r="H44" s="38">
        <f t="shared" si="5"/>
        <v>0</v>
      </c>
      <c r="I44" s="38">
        <f t="shared" si="6"/>
        <v>0</v>
      </c>
      <c r="J44" s="38">
        <f t="shared" si="7"/>
        <v>1</v>
      </c>
      <c r="K44" s="17"/>
    </row>
    <row r="45" spans="1:11" x14ac:dyDescent="0.25">
      <c r="A45" s="4" t="s">
        <v>174</v>
      </c>
      <c r="B45" s="38">
        <f t="shared" si="0"/>
        <v>0</v>
      </c>
      <c r="C45" s="38">
        <f t="shared" si="1"/>
        <v>0</v>
      </c>
      <c r="D45" s="38">
        <f t="shared" si="2"/>
        <v>0</v>
      </c>
      <c r="E45" s="38">
        <f t="shared" si="3"/>
        <v>0</v>
      </c>
      <c r="F45" s="38">
        <f t="shared" si="4"/>
        <v>0</v>
      </c>
      <c r="G45" s="28">
        <v>0</v>
      </c>
      <c r="H45" s="38">
        <f t="shared" si="5"/>
        <v>0</v>
      </c>
      <c r="I45" s="38">
        <f t="shared" si="6"/>
        <v>0</v>
      </c>
      <c r="J45" s="38">
        <f t="shared" si="7"/>
        <v>1</v>
      </c>
      <c r="K45" s="17"/>
    </row>
    <row r="46" spans="1:11" x14ac:dyDescent="0.25">
      <c r="A46" s="4" t="s">
        <v>214</v>
      </c>
      <c r="B46" s="38">
        <f t="shared" si="0"/>
        <v>0</v>
      </c>
      <c r="C46" s="38">
        <f t="shared" si="1"/>
        <v>0</v>
      </c>
      <c r="D46" s="38">
        <f t="shared" si="2"/>
        <v>0</v>
      </c>
      <c r="E46" s="38">
        <f t="shared" si="3"/>
        <v>0</v>
      </c>
      <c r="F46" s="38">
        <f t="shared" si="4"/>
        <v>0</v>
      </c>
      <c r="G46" s="28">
        <v>0</v>
      </c>
      <c r="H46" s="38">
        <f t="shared" si="5"/>
        <v>0</v>
      </c>
      <c r="I46" s="38">
        <f t="shared" si="6"/>
        <v>0</v>
      </c>
      <c r="J46" s="38">
        <f t="shared" si="7"/>
        <v>1</v>
      </c>
      <c r="K46" s="17"/>
    </row>
    <row r="47" spans="1:11" x14ac:dyDescent="0.25">
      <c r="A47" s="4" t="s">
        <v>175</v>
      </c>
      <c r="B47" s="38">
        <f t="shared" si="0"/>
        <v>0</v>
      </c>
      <c r="C47" s="38">
        <f t="shared" si="1"/>
        <v>0</v>
      </c>
      <c r="D47" s="38">
        <f t="shared" si="2"/>
        <v>0</v>
      </c>
      <c r="E47" s="38">
        <f t="shared" si="3"/>
        <v>0</v>
      </c>
      <c r="F47" s="38">
        <f t="shared" si="4"/>
        <v>0</v>
      </c>
      <c r="G47" s="28">
        <v>0</v>
      </c>
      <c r="H47" s="38">
        <f t="shared" si="5"/>
        <v>0</v>
      </c>
      <c r="I47" s="38">
        <f t="shared" si="6"/>
        <v>0</v>
      </c>
      <c r="J47" s="38">
        <f t="shared" si="7"/>
        <v>1</v>
      </c>
      <c r="K47" s="17"/>
    </row>
    <row r="48" spans="1:11" x14ac:dyDescent="0.25">
      <c r="A48" s="4" t="s">
        <v>176</v>
      </c>
      <c r="B48" s="38">
        <f t="shared" si="0"/>
        <v>0</v>
      </c>
      <c r="C48" s="38">
        <f t="shared" si="1"/>
        <v>0</v>
      </c>
      <c r="D48" s="38">
        <f t="shared" si="2"/>
        <v>0</v>
      </c>
      <c r="E48" s="38">
        <f t="shared" si="3"/>
        <v>0</v>
      </c>
      <c r="F48" s="38">
        <f t="shared" si="4"/>
        <v>0</v>
      </c>
      <c r="G48" s="28">
        <v>0</v>
      </c>
      <c r="H48" s="38">
        <f t="shared" si="5"/>
        <v>0</v>
      </c>
      <c r="I48" s="38">
        <f t="shared" si="6"/>
        <v>1</v>
      </c>
      <c r="J48" s="38">
        <f t="shared" si="7"/>
        <v>0</v>
      </c>
      <c r="K48" s="17"/>
    </row>
    <row r="49" spans="1:11" x14ac:dyDescent="0.25">
      <c r="A49" s="4" t="s">
        <v>192</v>
      </c>
      <c r="B49" s="38">
        <f t="shared" si="0"/>
        <v>0</v>
      </c>
      <c r="C49" s="38">
        <f t="shared" si="1"/>
        <v>0</v>
      </c>
      <c r="D49" s="38">
        <f t="shared" si="2"/>
        <v>0</v>
      </c>
      <c r="E49" s="38">
        <f t="shared" si="3"/>
        <v>0.2</v>
      </c>
      <c r="F49" s="38">
        <f t="shared" si="4"/>
        <v>1</v>
      </c>
      <c r="G49" s="28">
        <v>1</v>
      </c>
      <c r="H49" s="38">
        <f t="shared" si="5"/>
        <v>1</v>
      </c>
      <c r="I49" s="38">
        <f t="shared" si="6"/>
        <v>0</v>
      </c>
      <c r="J49" s="38">
        <f t="shared" si="7"/>
        <v>0</v>
      </c>
      <c r="K49" s="17"/>
    </row>
    <row r="50" spans="1:11" x14ac:dyDescent="0.25">
      <c r="A50" s="4" t="s">
        <v>177</v>
      </c>
      <c r="B50" s="38">
        <f t="shared" si="0"/>
        <v>0</v>
      </c>
      <c r="C50" s="38">
        <f t="shared" si="1"/>
        <v>0</v>
      </c>
      <c r="D50" s="38">
        <f t="shared" si="2"/>
        <v>0</v>
      </c>
      <c r="E50" s="38">
        <f t="shared" si="3"/>
        <v>0</v>
      </c>
      <c r="F50" s="38">
        <f t="shared" si="4"/>
        <v>0</v>
      </c>
      <c r="G50" s="28">
        <v>0</v>
      </c>
      <c r="H50" s="38">
        <f t="shared" si="5"/>
        <v>0</v>
      </c>
      <c r="I50" s="38">
        <f t="shared" si="6"/>
        <v>0</v>
      </c>
      <c r="J50" s="38">
        <f t="shared" si="7"/>
        <v>1</v>
      </c>
      <c r="K50" s="17"/>
    </row>
    <row r="51" spans="1:11" x14ac:dyDescent="0.25">
      <c r="A51" s="4" t="s">
        <v>178</v>
      </c>
      <c r="B51" s="38">
        <f t="shared" si="0"/>
        <v>0</v>
      </c>
      <c r="C51" s="38">
        <f t="shared" si="1"/>
        <v>0</v>
      </c>
      <c r="D51" s="38">
        <f t="shared" si="2"/>
        <v>0</v>
      </c>
      <c r="E51" s="38">
        <f t="shared" si="3"/>
        <v>0</v>
      </c>
      <c r="F51" s="38">
        <f t="shared" si="4"/>
        <v>0</v>
      </c>
      <c r="G51" s="28">
        <v>0</v>
      </c>
      <c r="H51" s="38">
        <f t="shared" si="5"/>
        <v>0</v>
      </c>
      <c r="I51" s="38">
        <f t="shared" si="6"/>
        <v>0</v>
      </c>
      <c r="J51" s="38">
        <f t="shared" si="7"/>
        <v>1</v>
      </c>
      <c r="K51" s="17"/>
    </row>
    <row r="52" spans="1:11" x14ac:dyDescent="0.25">
      <c r="A52" s="4" t="s">
        <v>179</v>
      </c>
      <c r="B52" s="38">
        <f t="shared" si="0"/>
        <v>0</v>
      </c>
      <c r="C52" s="38">
        <f t="shared" si="1"/>
        <v>0</v>
      </c>
      <c r="D52" s="38">
        <f t="shared" si="2"/>
        <v>0</v>
      </c>
      <c r="E52" s="38">
        <f t="shared" si="3"/>
        <v>0</v>
      </c>
      <c r="F52" s="38">
        <f t="shared" si="4"/>
        <v>0</v>
      </c>
      <c r="G52" s="28">
        <v>0</v>
      </c>
      <c r="H52" s="38">
        <f t="shared" si="5"/>
        <v>0.2</v>
      </c>
      <c r="I52" s="38">
        <f t="shared" si="6"/>
        <v>1</v>
      </c>
      <c r="J52" s="38">
        <f t="shared" si="7"/>
        <v>1</v>
      </c>
      <c r="K52" s="17"/>
    </row>
    <row r="53" spans="1:11" x14ac:dyDescent="0.25">
      <c r="A53" s="4" t="s">
        <v>180</v>
      </c>
      <c r="B53" s="38">
        <f t="shared" si="0"/>
        <v>0</v>
      </c>
      <c r="C53" s="38">
        <f t="shared" si="1"/>
        <v>0</v>
      </c>
      <c r="D53" s="38">
        <f t="shared" si="2"/>
        <v>0</v>
      </c>
      <c r="E53" s="38">
        <f t="shared" si="3"/>
        <v>0</v>
      </c>
      <c r="F53" s="38">
        <f t="shared" si="4"/>
        <v>0</v>
      </c>
      <c r="G53" s="28">
        <v>0</v>
      </c>
      <c r="H53" s="38">
        <f t="shared" si="5"/>
        <v>1</v>
      </c>
      <c r="I53" s="38">
        <f t="shared" si="6"/>
        <v>1</v>
      </c>
      <c r="J53" s="38">
        <f t="shared" si="7"/>
        <v>0</v>
      </c>
      <c r="K53" s="17"/>
    </row>
    <row r="54" spans="1:11" x14ac:dyDescent="0.25">
      <c r="A54" s="4" t="s">
        <v>193</v>
      </c>
      <c r="B54" s="38">
        <f t="shared" si="0"/>
        <v>0</v>
      </c>
      <c r="C54" s="38">
        <f t="shared" si="1"/>
        <v>0</v>
      </c>
      <c r="D54" s="38">
        <f t="shared" si="2"/>
        <v>0</v>
      </c>
      <c r="E54" s="38">
        <f t="shared" si="3"/>
        <v>0.2</v>
      </c>
      <c r="F54" s="38">
        <f t="shared" si="4"/>
        <v>1</v>
      </c>
      <c r="G54" s="28">
        <v>1</v>
      </c>
      <c r="H54" s="38">
        <f t="shared" si="5"/>
        <v>1</v>
      </c>
      <c r="I54" s="38">
        <f t="shared" si="6"/>
        <v>0</v>
      </c>
      <c r="J54" s="38">
        <f t="shared" si="7"/>
        <v>0</v>
      </c>
      <c r="K54" s="17"/>
    </row>
    <row r="55" spans="1:11" x14ac:dyDescent="0.25">
      <c r="A55" s="4" t="s">
        <v>215</v>
      </c>
      <c r="B55" s="38">
        <f t="shared" si="0"/>
        <v>0</v>
      </c>
      <c r="C55" s="38">
        <f t="shared" si="1"/>
        <v>0</v>
      </c>
      <c r="D55" s="38">
        <f t="shared" si="2"/>
        <v>0</v>
      </c>
      <c r="E55" s="38">
        <f t="shared" si="3"/>
        <v>0</v>
      </c>
      <c r="F55" s="38">
        <f t="shared" si="4"/>
        <v>0</v>
      </c>
      <c r="G55" s="28">
        <v>0</v>
      </c>
      <c r="H55" s="38">
        <f t="shared" si="5"/>
        <v>0</v>
      </c>
      <c r="I55" s="38">
        <f t="shared" si="6"/>
        <v>0</v>
      </c>
      <c r="J55" s="38">
        <f t="shared" si="7"/>
        <v>0</v>
      </c>
      <c r="K55" s="17"/>
    </row>
    <row r="56" spans="1:11" x14ac:dyDescent="0.25">
      <c r="A56" s="4" t="s">
        <v>216</v>
      </c>
      <c r="B56" s="38">
        <f t="shared" si="0"/>
        <v>0</v>
      </c>
      <c r="C56" s="38">
        <f t="shared" si="1"/>
        <v>0</v>
      </c>
      <c r="D56" s="38">
        <f t="shared" si="2"/>
        <v>0</v>
      </c>
      <c r="E56" s="38">
        <f t="shared" si="3"/>
        <v>0</v>
      </c>
      <c r="F56" s="38">
        <f t="shared" si="4"/>
        <v>0</v>
      </c>
      <c r="G56" s="28">
        <v>0</v>
      </c>
      <c r="H56" s="38">
        <f t="shared" si="5"/>
        <v>0</v>
      </c>
      <c r="I56" s="38">
        <f t="shared" si="6"/>
        <v>0</v>
      </c>
      <c r="J56" s="38">
        <f t="shared" si="7"/>
        <v>0</v>
      </c>
      <c r="K56" s="17"/>
    </row>
    <row r="57" spans="1:11" x14ac:dyDescent="0.25">
      <c r="A57" s="4" t="s">
        <v>217</v>
      </c>
      <c r="B57" s="38">
        <f t="shared" si="0"/>
        <v>0</v>
      </c>
      <c r="C57" s="38">
        <f t="shared" si="1"/>
        <v>0</v>
      </c>
      <c r="D57" s="38">
        <f t="shared" si="2"/>
        <v>0</v>
      </c>
      <c r="E57" s="38">
        <f t="shared" si="3"/>
        <v>0</v>
      </c>
      <c r="F57" s="38">
        <f t="shared" si="4"/>
        <v>0</v>
      </c>
      <c r="G57" s="28">
        <v>0</v>
      </c>
      <c r="H57" s="38">
        <f t="shared" si="5"/>
        <v>0</v>
      </c>
      <c r="I57" s="38">
        <f t="shared" si="6"/>
        <v>0</v>
      </c>
      <c r="J57" s="38">
        <f t="shared" si="7"/>
        <v>0</v>
      </c>
      <c r="K57" s="17"/>
    </row>
    <row r="58" spans="1:11" x14ac:dyDescent="0.25">
      <c r="A58" s="4" t="s">
        <v>218</v>
      </c>
      <c r="B58" s="38">
        <f t="shared" si="0"/>
        <v>0</v>
      </c>
      <c r="C58" s="38">
        <f t="shared" si="1"/>
        <v>0</v>
      </c>
      <c r="D58" s="38">
        <f t="shared" si="2"/>
        <v>0</v>
      </c>
      <c r="E58" s="38">
        <f t="shared" si="3"/>
        <v>0</v>
      </c>
      <c r="F58" s="38">
        <f t="shared" si="4"/>
        <v>0</v>
      </c>
      <c r="G58" s="28">
        <v>0</v>
      </c>
      <c r="H58" s="38">
        <f t="shared" si="5"/>
        <v>0</v>
      </c>
      <c r="I58" s="38">
        <f t="shared" si="6"/>
        <v>0</v>
      </c>
      <c r="J58" s="38">
        <f t="shared" si="7"/>
        <v>0</v>
      </c>
      <c r="K58" s="17"/>
    </row>
    <row r="59" spans="1:11" x14ac:dyDescent="0.25">
      <c r="A59" s="4" t="s">
        <v>219</v>
      </c>
      <c r="B59" s="38">
        <f t="shared" si="0"/>
        <v>0</v>
      </c>
      <c r="C59" s="38">
        <f t="shared" si="1"/>
        <v>0</v>
      </c>
      <c r="D59" s="38">
        <f t="shared" si="2"/>
        <v>0</v>
      </c>
      <c r="E59" s="38">
        <f t="shared" si="3"/>
        <v>0</v>
      </c>
      <c r="F59" s="38">
        <f t="shared" si="4"/>
        <v>0</v>
      </c>
      <c r="G59" s="28">
        <v>0</v>
      </c>
      <c r="H59" s="38">
        <f t="shared" si="5"/>
        <v>0</v>
      </c>
      <c r="I59" s="38">
        <f t="shared" si="6"/>
        <v>0</v>
      </c>
      <c r="J59" s="38">
        <f t="shared" si="7"/>
        <v>0</v>
      </c>
      <c r="K59" s="17"/>
    </row>
    <row r="61" spans="1:11" ht="21" customHeight="1" x14ac:dyDescent="0.3">
      <c r="A61" s="1" t="s">
        <v>834</v>
      </c>
    </row>
    <row r="62" spans="1:11" x14ac:dyDescent="0.25">
      <c r="A62" s="2" t="s">
        <v>350</v>
      </c>
    </row>
    <row r="63" spans="1:11" x14ac:dyDescent="0.25">
      <c r="A63" s="32" t="s">
        <v>835</v>
      </c>
    </row>
    <row r="64" spans="1:11" x14ac:dyDescent="0.25">
      <c r="A64" s="32" t="s">
        <v>836</v>
      </c>
    </row>
    <row r="65" spans="1:11" x14ac:dyDescent="0.25">
      <c r="A65" s="32" t="s">
        <v>837</v>
      </c>
    </row>
    <row r="66" spans="1:11" x14ac:dyDescent="0.25">
      <c r="A66" s="32" t="s">
        <v>838</v>
      </c>
    </row>
    <row r="67" spans="1:11" x14ac:dyDescent="0.25">
      <c r="A67" s="2" t="s">
        <v>839</v>
      </c>
    </row>
    <row r="69" spans="1:11" x14ac:dyDescent="0.25">
      <c r="B69" s="15" t="s">
        <v>139</v>
      </c>
      <c r="C69" s="15" t="s">
        <v>140</v>
      </c>
      <c r="D69" s="15" t="s">
        <v>141</v>
      </c>
      <c r="E69" s="15" t="s">
        <v>142</v>
      </c>
      <c r="F69" s="15" t="s">
        <v>143</v>
      </c>
      <c r="G69" s="15" t="s">
        <v>148</v>
      </c>
      <c r="H69" s="15" t="s">
        <v>144</v>
      </c>
      <c r="I69" s="15" t="s">
        <v>145</v>
      </c>
      <c r="J69" s="15" t="s">
        <v>146</v>
      </c>
    </row>
    <row r="70" spans="1:11" x14ac:dyDescent="0.25">
      <c r="A70" s="4" t="s">
        <v>179</v>
      </c>
      <c r="B70" s="21">
        <f>Loads!$F$313*Input!$E$58*B$52*LAFs!B$248</f>
        <v>0</v>
      </c>
      <c r="C70" s="21">
        <f>Loads!$F$313*Input!$E$58*C$52*LAFs!C$248</f>
        <v>0</v>
      </c>
      <c r="D70" s="21">
        <f>Loads!$F$313*Input!$E$58*D$52*LAFs!D$248</f>
        <v>0</v>
      </c>
      <c r="E70" s="21">
        <f>Loads!$F$313*Input!$E$58*E$52*LAFs!E$248</f>
        <v>0</v>
      </c>
      <c r="F70" s="21">
        <f>Loads!$F$313*Input!$E$58*F$52*LAFs!F$248</f>
        <v>0</v>
      </c>
      <c r="G70" s="21">
        <f>Loads!$F$313*Input!$E$58*G$52*LAFs!G$248</f>
        <v>0</v>
      </c>
      <c r="H70" s="21">
        <f>Loads!$F$313*Input!$E$58*H$52*LAFs!H$248</f>
        <v>323831.49567184172</v>
      </c>
      <c r="I70" s="21">
        <f>Loads!$F$313*Input!$E$58*I$52*LAFs!I$248</f>
        <v>1598200.0710525312</v>
      </c>
      <c r="J70" s="21">
        <f>Loads!$F$313*Input!$E$58*J$52*LAFs!J$248</f>
        <v>1522433.3527241983</v>
      </c>
      <c r="K70" s="17"/>
    </row>
    <row r="71" spans="1:11" x14ac:dyDescent="0.25">
      <c r="A71" s="4" t="s">
        <v>180</v>
      </c>
      <c r="B71" s="21">
        <f>Loads!$F$314*Input!$E$58*B$53*LAFs!B$249</f>
        <v>0</v>
      </c>
      <c r="C71" s="21">
        <f>Loads!$F$314*Input!$E$58*C$53*LAFs!C$249</f>
        <v>0</v>
      </c>
      <c r="D71" s="21">
        <f>Loads!$F$314*Input!$E$58*D$53*LAFs!D$249</f>
        <v>0</v>
      </c>
      <c r="E71" s="21">
        <f>Loads!$F$314*Input!$E$58*E$53*LAFs!E$249</f>
        <v>0</v>
      </c>
      <c r="F71" s="21">
        <f>Loads!$F$314*Input!$E$58*F$53*LAFs!F$249</f>
        <v>0</v>
      </c>
      <c r="G71" s="21">
        <f>Loads!$F$314*Input!$E$58*G$53*LAFs!G$249</f>
        <v>0</v>
      </c>
      <c r="H71" s="21">
        <f>Loads!$F$314*Input!$E$58*H$53*LAFs!H$249</f>
        <v>733311.28941246995</v>
      </c>
      <c r="I71" s="21">
        <f>Loads!$F$314*Input!$E$58*I$53*LAFs!I$249</f>
        <v>723819.74607576162</v>
      </c>
      <c r="J71" s="21">
        <f>Loads!$F$314*Input!$E$58*J$53*LAFs!J$249</f>
        <v>0</v>
      </c>
      <c r="K71" s="17"/>
    </row>
    <row r="72" spans="1:11" x14ac:dyDescent="0.25">
      <c r="A72" s="4" t="s">
        <v>193</v>
      </c>
      <c r="B72" s="21">
        <f>Loads!$F$315*Input!$E$58*B$54*LAFs!B$250</f>
        <v>0</v>
      </c>
      <c r="C72" s="21">
        <f>Loads!$F$315*Input!$E$58*C$54*LAFs!C$250</f>
        <v>0</v>
      </c>
      <c r="D72" s="21">
        <f>Loads!$F$315*Input!$E$58*D$54*LAFs!D$250</f>
        <v>0</v>
      </c>
      <c r="E72" s="21">
        <f>Loads!$F$315*Input!$E$58*E$54*LAFs!E$250</f>
        <v>355585.42905744078</v>
      </c>
      <c r="F72" s="21">
        <f>Loads!$F$315*Input!$E$58*F$54*LAFs!F$250</f>
        <v>1768353.9992948044</v>
      </c>
      <c r="G72" s="21">
        <f>Loads!$F$315*Input!$E$58*G$54*LAFs!G$250</f>
        <v>0</v>
      </c>
      <c r="H72" s="21">
        <f>Loads!$F$315*Input!$E$58*H$54*LAFs!H$250</f>
        <v>1747363.8672238749</v>
      </c>
      <c r="I72" s="21">
        <f>Loads!$F$315*Input!$E$58*I$54*LAFs!I$250</f>
        <v>0</v>
      </c>
      <c r="J72" s="21">
        <f>Loads!$F$315*Input!$E$58*J$54*LAFs!J$250</f>
        <v>0</v>
      </c>
      <c r="K72" s="17"/>
    </row>
    <row r="74" spans="1:11" ht="21" customHeight="1" x14ac:dyDescent="0.3">
      <c r="A74" s="1" t="s">
        <v>840</v>
      </c>
    </row>
    <row r="75" spans="1:11" x14ac:dyDescent="0.25">
      <c r="A75" s="2" t="s">
        <v>350</v>
      </c>
    </row>
    <row r="76" spans="1:11" x14ac:dyDescent="0.25">
      <c r="A76" s="32" t="s">
        <v>573</v>
      </c>
    </row>
    <row r="77" spans="1:11" x14ac:dyDescent="0.25">
      <c r="A77" s="32" t="s">
        <v>498</v>
      </c>
    </row>
    <row r="78" spans="1:11" x14ac:dyDescent="0.25">
      <c r="A78" s="32" t="s">
        <v>837</v>
      </c>
    </row>
    <row r="79" spans="1:11" x14ac:dyDescent="0.25">
      <c r="A79" s="32" t="s">
        <v>838</v>
      </c>
    </row>
    <row r="80" spans="1:11" x14ac:dyDescent="0.25">
      <c r="A80" s="32" t="s">
        <v>740</v>
      </c>
    </row>
    <row r="81" spans="1:11" x14ac:dyDescent="0.25">
      <c r="A81" s="2" t="s">
        <v>841</v>
      </c>
    </row>
    <row r="83" spans="1:11" x14ac:dyDescent="0.25">
      <c r="B83" s="15" t="s">
        <v>139</v>
      </c>
      <c r="C83" s="15" t="s">
        <v>140</v>
      </c>
      <c r="D83" s="15" t="s">
        <v>141</v>
      </c>
      <c r="E83" s="15" t="s">
        <v>142</v>
      </c>
      <c r="F83" s="15" t="s">
        <v>143</v>
      </c>
      <c r="G83" s="15" t="s">
        <v>148</v>
      </c>
      <c r="H83" s="15" t="s">
        <v>144</v>
      </c>
      <c r="I83" s="15" t="s">
        <v>145</v>
      </c>
      <c r="J83" s="15" t="s">
        <v>146</v>
      </c>
    </row>
    <row r="84" spans="1:11" x14ac:dyDescent="0.25">
      <c r="A84" s="4" t="s">
        <v>171</v>
      </c>
      <c r="B84" s="21">
        <f>Multi!$B$119/Input!$C$165*B$41*LAFs!B$237/(24*Input!$F$58)*1000</f>
        <v>0</v>
      </c>
      <c r="C84" s="21">
        <f>Multi!$B$119/Input!$C$165*C$41*LAFs!C$237/(24*Input!$F$58)*1000</f>
        <v>0</v>
      </c>
      <c r="D84" s="21">
        <f>Multi!$B$119/Input!$C$165*D$41*LAFs!D$237/(24*Input!$F$58)*1000</f>
        <v>0</v>
      </c>
      <c r="E84" s="21">
        <f>Multi!$B$119/Input!$C$165*E$41*LAFs!E$237/(24*Input!$F$58)*1000</f>
        <v>0</v>
      </c>
      <c r="F84" s="21">
        <f>Multi!$B$119/Input!$C$165*F$41*LAFs!F$237/(24*Input!$F$58)*1000</f>
        <v>0</v>
      </c>
      <c r="G84" s="21">
        <f>Multi!$B$119/Input!$C$165*G$41*LAFs!G$237/(24*Input!$F$58)*1000</f>
        <v>0</v>
      </c>
      <c r="H84" s="21">
        <f>Multi!$B$119/Input!$C$165*H$41*LAFs!H$237/(24*Input!$F$58)*1000</f>
        <v>0</v>
      </c>
      <c r="I84" s="21">
        <f>Multi!$B$119/Input!$C$165*I$41*LAFs!I$237/(24*Input!$F$58)*1000</f>
        <v>0</v>
      </c>
      <c r="J84" s="21">
        <f>Multi!$B$119/Input!$C$165*J$41*LAFs!J$237/(24*Input!$F$58)*1000</f>
        <v>1699394.7972853079</v>
      </c>
      <c r="K84" s="17"/>
    </row>
    <row r="85" spans="1:11" x14ac:dyDescent="0.25">
      <c r="A85" s="4" t="s">
        <v>172</v>
      </c>
      <c r="B85" s="21">
        <f>Multi!$B$120/Input!$C$166*B$42*LAFs!B$238/(24*Input!$F$58)*1000</f>
        <v>0</v>
      </c>
      <c r="C85" s="21">
        <f>Multi!$B$120/Input!$C$166*C$42*LAFs!C$238/(24*Input!$F$58)*1000</f>
        <v>0</v>
      </c>
      <c r="D85" s="21">
        <f>Multi!$B$120/Input!$C$166*D$42*LAFs!D$238/(24*Input!$F$58)*1000</f>
        <v>0</v>
      </c>
      <c r="E85" s="21">
        <f>Multi!$B$120/Input!$C$166*E$42*LAFs!E$238/(24*Input!$F$58)*1000</f>
        <v>0</v>
      </c>
      <c r="F85" s="21">
        <f>Multi!$B$120/Input!$C$166*F$42*LAFs!F$238/(24*Input!$F$58)*1000</f>
        <v>0</v>
      </c>
      <c r="G85" s="21">
        <f>Multi!$B$120/Input!$C$166*G$42*LAFs!G$238/(24*Input!$F$58)*1000</f>
        <v>0</v>
      </c>
      <c r="H85" s="21">
        <f>Multi!$B$120/Input!$C$166*H$42*LAFs!H$238/(24*Input!$F$58)*1000</f>
        <v>0</v>
      </c>
      <c r="I85" s="21">
        <f>Multi!$B$120/Input!$C$166*I$42*LAFs!I$238/(24*Input!$F$58)*1000</f>
        <v>0</v>
      </c>
      <c r="J85" s="21">
        <f>Multi!$B$120/Input!$C$166*J$42*LAFs!J$238/(24*Input!$F$58)*1000</f>
        <v>440157.09155138623</v>
      </c>
      <c r="K85" s="17"/>
    </row>
    <row r="86" spans="1:11" x14ac:dyDescent="0.25">
      <c r="A86" s="4" t="s">
        <v>173</v>
      </c>
      <c r="B86" s="21">
        <f>Multi!$B$122/Input!$C$168*B$44*LAFs!B$240/(24*Input!$F$58)*1000</f>
        <v>0</v>
      </c>
      <c r="C86" s="21">
        <f>Multi!$B$122/Input!$C$168*C$44*LAFs!C$240/(24*Input!$F$58)*1000</f>
        <v>0</v>
      </c>
      <c r="D86" s="21">
        <f>Multi!$B$122/Input!$C$168*D$44*LAFs!D$240/(24*Input!$F$58)*1000</f>
        <v>0</v>
      </c>
      <c r="E86" s="21">
        <f>Multi!$B$122/Input!$C$168*E$44*LAFs!E$240/(24*Input!$F$58)*1000</f>
        <v>0</v>
      </c>
      <c r="F86" s="21">
        <f>Multi!$B$122/Input!$C$168*F$44*LAFs!F$240/(24*Input!$F$58)*1000</f>
        <v>0</v>
      </c>
      <c r="G86" s="21">
        <f>Multi!$B$122/Input!$C$168*G$44*LAFs!G$240/(24*Input!$F$58)*1000</f>
        <v>0</v>
      </c>
      <c r="H86" s="21">
        <f>Multi!$B$122/Input!$C$168*H$44*LAFs!H$240/(24*Input!$F$58)*1000</f>
        <v>0</v>
      </c>
      <c r="I86" s="21">
        <f>Multi!$B$122/Input!$C$168*I$44*LAFs!I$240/(24*Input!$F$58)*1000</f>
        <v>0</v>
      </c>
      <c r="J86" s="21">
        <f>Multi!$B$122/Input!$C$168*J$44*LAFs!J$240/(24*Input!$F$58)*1000</f>
        <v>456644.21686862787</v>
      </c>
      <c r="K86" s="17"/>
    </row>
    <row r="87" spans="1:11" x14ac:dyDescent="0.25">
      <c r="A87" s="4" t="s">
        <v>174</v>
      </c>
      <c r="B87" s="21">
        <f>Multi!$B$123/Input!$C$169*B$45*LAFs!B$241/(24*Input!$F$58)*1000</f>
        <v>0</v>
      </c>
      <c r="C87" s="21">
        <f>Multi!$B$123/Input!$C$169*C$45*LAFs!C$241/(24*Input!$F$58)*1000</f>
        <v>0</v>
      </c>
      <c r="D87" s="21">
        <f>Multi!$B$123/Input!$C$169*D$45*LAFs!D$241/(24*Input!$F$58)*1000</f>
        <v>0</v>
      </c>
      <c r="E87" s="21">
        <f>Multi!$B$123/Input!$C$169*E$45*LAFs!E$241/(24*Input!$F$58)*1000</f>
        <v>0</v>
      </c>
      <c r="F87" s="21">
        <f>Multi!$B$123/Input!$C$169*F$45*LAFs!F$241/(24*Input!$F$58)*1000</f>
        <v>0</v>
      </c>
      <c r="G87" s="21">
        <f>Multi!$B$123/Input!$C$169*G$45*LAFs!G$241/(24*Input!$F$58)*1000</f>
        <v>0</v>
      </c>
      <c r="H87" s="21">
        <f>Multi!$B$123/Input!$C$169*H$45*LAFs!H$241/(24*Input!$F$58)*1000</f>
        <v>0</v>
      </c>
      <c r="I87" s="21">
        <f>Multi!$B$123/Input!$C$169*I$45*LAFs!I$241/(24*Input!$F$58)*1000</f>
        <v>0</v>
      </c>
      <c r="J87" s="21">
        <f>Multi!$B$123/Input!$C$169*J$45*LAFs!J$241/(24*Input!$F$58)*1000</f>
        <v>167475.27079399925</v>
      </c>
      <c r="K87" s="17"/>
    </row>
    <row r="88" spans="1:11" x14ac:dyDescent="0.25">
      <c r="A88" s="4" t="s">
        <v>175</v>
      </c>
      <c r="B88" s="21">
        <f>Multi!$B$125/Input!$C$171*B$47*LAFs!B$243/(24*Input!$F$58)*1000</f>
        <v>0</v>
      </c>
      <c r="C88" s="21">
        <f>Multi!$B$125/Input!$C$171*C$47*LAFs!C$243/(24*Input!$F$58)*1000</f>
        <v>0</v>
      </c>
      <c r="D88" s="21">
        <f>Multi!$B$125/Input!$C$171*D$47*LAFs!D$243/(24*Input!$F$58)*1000</f>
        <v>0</v>
      </c>
      <c r="E88" s="21">
        <f>Multi!$B$125/Input!$C$171*E$47*LAFs!E$243/(24*Input!$F$58)*1000</f>
        <v>0</v>
      </c>
      <c r="F88" s="21">
        <f>Multi!$B$125/Input!$C$171*F$47*LAFs!F$243/(24*Input!$F$58)*1000</f>
        <v>0</v>
      </c>
      <c r="G88" s="21">
        <f>Multi!$B$125/Input!$C$171*G$47*LAFs!G$243/(24*Input!$F$58)*1000</f>
        <v>0</v>
      </c>
      <c r="H88" s="21">
        <f>Multi!$B$125/Input!$C$171*H$47*LAFs!H$243/(24*Input!$F$58)*1000</f>
        <v>0</v>
      </c>
      <c r="I88" s="21">
        <f>Multi!$B$125/Input!$C$171*I$47*LAFs!I$243/(24*Input!$F$58)*1000</f>
        <v>0</v>
      </c>
      <c r="J88" s="21">
        <f>Multi!$B$125/Input!$C$171*J$47*LAFs!J$243/(24*Input!$F$58)*1000</f>
        <v>0</v>
      </c>
      <c r="K88" s="17"/>
    </row>
    <row r="89" spans="1:11" x14ac:dyDescent="0.25">
      <c r="A89" s="4" t="s">
        <v>176</v>
      </c>
      <c r="B89" s="21">
        <f>Multi!$B$126/Input!$C$172*B$48*LAFs!B$244/(24*Input!$F$58)*1000</f>
        <v>0</v>
      </c>
      <c r="C89" s="21">
        <f>Multi!$B$126/Input!$C$172*C$48*LAFs!C$244/(24*Input!$F$58)*1000</f>
        <v>0</v>
      </c>
      <c r="D89" s="21">
        <f>Multi!$B$126/Input!$C$172*D$48*LAFs!D$244/(24*Input!$F$58)*1000</f>
        <v>0</v>
      </c>
      <c r="E89" s="21">
        <f>Multi!$B$126/Input!$C$172*E$48*LAFs!E$244/(24*Input!$F$58)*1000</f>
        <v>0</v>
      </c>
      <c r="F89" s="21">
        <f>Multi!$B$126/Input!$C$172*F$48*LAFs!F$244/(24*Input!$F$58)*1000</f>
        <v>0</v>
      </c>
      <c r="G89" s="21">
        <f>Multi!$B$126/Input!$C$172*G$48*LAFs!G$244/(24*Input!$F$58)*1000</f>
        <v>0</v>
      </c>
      <c r="H89" s="21">
        <f>Multi!$B$126/Input!$C$172*H$48*LAFs!H$244/(24*Input!$F$58)*1000</f>
        <v>0</v>
      </c>
      <c r="I89" s="21">
        <f>Multi!$B$126/Input!$C$172*I$48*LAFs!I$244/(24*Input!$F$58)*1000</f>
        <v>0</v>
      </c>
      <c r="J89" s="21">
        <f>Multi!$B$126/Input!$C$172*J$48*LAFs!J$244/(24*Input!$F$58)*1000</f>
        <v>0</v>
      </c>
      <c r="K89" s="17"/>
    </row>
    <row r="90" spans="1:11" x14ac:dyDescent="0.25">
      <c r="A90" s="4" t="s">
        <v>192</v>
      </c>
      <c r="B90" s="21">
        <f>Multi!$B$127/Input!$C$173*B$49*LAFs!B$245/(24*Input!$F$58)*1000</f>
        <v>0</v>
      </c>
      <c r="C90" s="21">
        <f>Multi!$B$127/Input!$C$173*C$49*LAFs!C$245/(24*Input!$F$58)*1000</f>
        <v>0</v>
      </c>
      <c r="D90" s="21">
        <f>Multi!$B$127/Input!$C$173*D$49*LAFs!D$245/(24*Input!$F$58)*1000</f>
        <v>0</v>
      </c>
      <c r="E90" s="21">
        <f>Multi!$B$127/Input!$C$173*E$49*LAFs!E$245/(24*Input!$F$58)*1000</f>
        <v>322.89122195229027</v>
      </c>
      <c r="F90" s="21">
        <f>Multi!$B$127/Input!$C$173*F$49*LAFs!F$245/(24*Input!$F$58)*1000</f>
        <v>1605.7631641151488</v>
      </c>
      <c r="G90" s="21">
        <f>Multi!$B$127/Input!$C$173*G$49*LAFs!G$245/(24*Input!$F$58)*1000</f>
        <v>0</v>
      </c>
      <c r="H90" s="21">
        <f>Multi!$B$127/Input!$C$173*H$49*LAFs!H$245/(24*Input!$F$58)*1000</f>
        <v>1586.7029641196432</v>
      </c>
      <c r="I90" s="21">
        <f>Multi!$B$127/Input!$C$173*I$49*LAFs!I$245/(24*Input!$F$58)*1000</f>
        <v>0</v>
      </c>
      <c r="J90" s="21">
        <f>Multi!$B$127/Input!$C$173*J$49*LAFs!J$245/(24*Input!$F$58)*1000</f>
        <v>0</v>
      </c>
      <c r="K90" s="17"/>
    </row>
    <row r="91" spans="1:11" x14ac:dyDescent="0.25">
      <c r="A91" s="4" t="s">
        <v>177</v>
      </c>
      <c r="B91" s="21">
        <f>Multi!$B$128/Input!$C$174*B$50*LAFs!B$246/(24*Input!$F$58)*1000</f>
        <v>0</v>
      </c>
      <c r="C91" s="21">
        <f>Multi!$B$128/Input!$C$174*C$50*LAFs!C$246/(24*Input!$F$58)*1000</f>
        <v>0</v>
      </c>
      <c r="D91" s="21">
        <f>Multi!$B$128/Input!$C$174*D$50*LAFs!D$246/(24*Input!$F$58)*1000</f>
        <v>0</v>
      </c>
      <c r="E91" s="21">
        <f>Multi!$B$128/Input!$C$174*E$50*LAFs!E$246/(24*Input!$F$58)*1000</f>
        <v>0</v>
      </c>
      <c r="F91" s="21">
        <f>Multi!$B$128/Input!$C$174*F$50*LAFs!F$246/(24*Input!$F$58)*1000</f>
        <v>0</v>
      </c>
      <c r="G91" s="21">
        <f>Multi!$B$128/Input!$C$174*G$50*LAFs!G$246/(24*Input!$F$58)*1000</f>
        <v>0</v>
      </c>
      <c r="H91" s="21">
        <f>Multi!$B$128/Input!$C$174*H$50*LAFs!H$246/(24*Input!$F$58)*1000</f>
        <v>0</v>
      </c>
      <c r="I91" s="21">
        <f>Multi!$B$128/Input!$C$174*I$50*LAFs!I$246/(24*Input!$F$58)*1000</f>
        <v>0</v>
      </c>
      <c r="J91" s="21">
        <f>Multi!$B$128/Input!$C$174*J$50*LAFs!J$246/(24*Input!$F$58)*1000</f>
        <v>0</v>
      </c>
      <c r="K91" s="17"/>
    </row>
    <row r="92" spans="1:11" x14ac:dyDescent="0.25">
      <c r="A92" s="4" t="s">
        <v>178</v>
      </c>
      <c r="B92" s="21">
        <f>Multi!$B$129/Input!$C$175*B$51*LAFs!B$247/(24*Input!$F$58)*1000</f>
        <v>0</v>
      </c>
      <c r="C92" s="21">
        <f>Multi!$B$129/Input!$C$175*C$51*LAFs!C$247/(24*Input!$F$58)*1000</f>
        <v>0</v>
      </c>
      <c r="D92" s="21">
        <f>Multi!$B$129/Input!$C$175*D$51*LAFs!D$247/(24*Input!$F$58)*1000</f>
        <v>0</v>
      </c>
      <c r="E92" s="21">
        <f>Multi!$B$129/Input!$C$175*E$51*LAFs!E$247/(24*Input!$F$58)*1000</f>
        <v>0</v>
      </c>
      <c r="F92" s="21">
        <f>Multi!$B$129/Input!$C$175*F$51*LAFs!F$247/(24*Input!$F$58)*1000</f>
        <v>0</v>
      </c>
      <c r="G92" s="21">
        <f>Multi!$B$129/Input!$C$175*G$51*LAFs!G$247/(24*Input!$F$58)*1000</f>
        <v>0</v>
      </c>
      <c r="H92" s="21">
        <f>Multi!$B$129/Input!$C$175*H$51*LAFs!H$247/(24*Input!$F$58)*1000</f>
        <v>0</v>
      </c>
      <c r="I92" s="21">
        <f>Multi!$B$129/Input!$C$175*I$51*LAFs!I$247/(24*Input!$F$58)*1000</f>
        <v>0</v>
      </c>
      <c r="J92" s="21">
        <f>Multi!$B$129/Input!$C$175*J$51*LAFs!J$247/(24*Input!$F$58)*1000</f>
        <v>148428.24395003766</v>
      </c>
      <c r="K92" s="17"/>
    </row>
    <row r="94" spans="1:11" ht="21" customHeight="1" x14ac:dyDescent="0.3">
      <c r="A94" s="1" t="s">
        <v>842</v>
      </c>
    </row>
    <row r="95" spans="1:11" x14ac:dyDescent="0.25">
      <c r="A95" s="2" t="s">
        <v>350</v>
      </c>
    </row>
    <row r="96" spans="1:11" x14ac:dyDescent="0.25">
      <c r="A96" s="32" t="s">
        <v>843</v>
      </c>
    </row>
    <row r="97" spans="1:11" x14ac:dyDescent="0.25">
      <c r="A97" s="32" t="s">
        <v>844</v>
      </c>
    </row>
    <row r="98" spans="1:11" x14ac:dyDescent="0.25">
      <c r="A98" s="2" t="s">
        <v>368</v>
      </c>
    </row>
    <row r="100" spans="1:11" x14ac:dyDescent="0.25">
      <c r="B100" s="15" t="s">
        <v>139</v>
      </c>
      <c r="C100" s="15" t="s">
        <v>140</v>
      </c>
      <c r="D100" s="15" t="s">
        <v>141</v>
      </c>
      <c r="E100" s="15" t="s">
        <v>142</v>
      </c>
      <c r="F100" s="15" t="s">
        <v>143</v>
      </c>
      <c r="G100" s="15" t="s">
        <v>148</v>
      </c>
      <c r="H100" s="15" t="s">
        <v>144</v>
      </c>
      <c r="I100" s="15" t="s">
        <v>145</v>
      </c>
      <c r="J100" s="15" t="s">
        <v>146</v>
      </c>
    </row>
    <row r="101" spans="1:11" x14ac:dyDescent="0.25">
      <c r="A101" s="4" t="s">
        <v>171</v>
      </c>
      <c r="B101" s="43">
        <f t="shared" ref="B101:J101" si="8">B$84</f>
        <v>0</v>
      </c>
      <c r="C101" s="43">
        <f t="shared" si="8"/>
        <v>0</v>
      </c>
      <c r="D101" s="43">
        <f t="shared" si="8"/>
        <v>0</v>
      </c>
      <c r="E101" s="43">
        <f t="shared" si="8"/>
        <v>0</v>
      </c>
      <c r="F101" s="43">
        <f t="shared" si="8"/>
        <v>0</v>
      </c>
      <c r="G101" s="43">
        <f t="shared" si="8"/>
        <v>0</v>
      </c>
      <c r="H101" s="43">
        <f t="shared" si="8"/>
        <v>0</v>
      </c>
      <c r="I101" s="43">
        <f t="shared" si="8"/>
        <v>0</v>
      </c>
      <c r="J101" s="43">
        <f t="shared" si="8"/>
        <v>1699394.7972853079</v>
      </c>
      <c r="K101" s="17"/>
    </row>
    <row r="102" spans="1:11" x14ac:dyDescent="0.25">
      <c r="A102" s="4" t="s">
        <v>172</v>
      </c>
      <c r="B102" s="43">
        <f t="shared" ref="B102:J102" si="9">B$85</f>
        <v>0</v>
      </c>
      <c r="C102" s="43">
        <f t="shared" si="9"/>
        <v>0</v>
      </c>
      <c r="D102" s="43">
        <f t="shared" si="9"/>
        <v>0</v>
      </c>
      <c r="E102" s="43">
        <f t="shared" si="9"/>
        <v>0</v>
      </c>
      <c r="F102" s="43">
        <f t="shared" si="9"/>
        <v>0</v>
      </c>
      <c r="G102" s="43">
        <f t="shared" si="9"/>
        <v>0</v>
      </c>
      <c r="H102" s="43">
        <f t="shared" si="9"/>
        <v>0</v>
      </c>
      <c r="I102" s="43">
        <f t="shared" si="9"/>
        <v>0</v>
      </c>
      <c r="J102" s="43">
        <f t="shared" si="9"/>
        <v>440157.09155138623</v>
      </c>
      <c r="K102" s="17"/>
    </row>
    <row r="103" spans="1:11" x14ac:dyDescent="0.25">
      <c r="A103" s="4" t="s">
        <v>173</v>
      </c>
      <c r="B103" s="43">
        <f t="shared" ref="B103:J103" si="10">B$86</f>
        <v>0</v>
      </c>
      <c r="C103" s="43">
        <f t="shared" si="10"/>
        <v>0</v>
      </c>
      <c r="D103" s="43">
        <f t="shared" si="10"/>
        <v>0</v>
      </c>
      <c r="E103" s="43">
        <f t="shared" si="10"/>
        <v>0</v>
      </c>
      <c r="F103" s="43">
        <f t="shared" si="10"/>
        <v>0</v>
      </c>
      <c r="G103" s="43">
        <f t="shared" si="10"/>
        <v>0</v>
      </c>
      <c r="H103" s="43">
        <f t="shared" si="10"/>
        <v>0</v>
      </c>
      <c r="I103" s="43">
        <f t="shared" si="10"/>
        <v>0</v>
      </c>
      <c r="J103" s="43">
        <f t="shared" si="10"/>
        <v>456644.21686862787</v>
      </c>
      <c r="K103" s="17"/>
    </row>
    <row r="104" spans="1:11" x14ac:dyDescent="0.25">
      <c r="A104" s="4" t="s">
        <v>174</v>
      </c>
      <c r="B104" s="43">
        <f t="shared" ref="B104:J104" si="11">B$87</f>
        <v>0</v>
      </c>
      <c r="C104" s="43">
        <f t="shared" si="11"/>
        <v>0</v>
      </c>
      <c r="D104" s="43">
        <f t="shared" si="11"/>
        <v>0</v>
      </c>
      <c r="E104" s="43">
        <f t="shared" si="11"/>
        <v>0</v>
      </c>
      <c r="F104" s="43">
        <f t="shared" si="11"/>
        <v>0</v>
      </c>
      <c r="G104" s="43">
        <f t="shared" si="11"/>
        <v>0</v>
      </c>
      <c r="H104" s="43">
        <f t="shared" si="11"/>
        <v>0</v>
      </c>
      <c r="I104" s="43">
        <f t="shared" si="11"/>
        <v>0</v>
      </c>
      <c r="J104" s="43">
        <f t="shared" si="11"/>
        <v>167475.27079399925</v>
      </c>
      <c r="K104" s="17"/>
    </row>
    <row r="105" spans="1:11" x14ac:dyDescent="0.25">
      <c r="A105" s="4" t="s">
        <v>175</v>
      </c>
      <c r="B105" s="43">
        <f t="shared" ref="B105:J105" si="12">B$88</f>
        <v>0</v>
      </c>
      <c r="C105" s="43">
        <f t="shared" si="12"/>
        <v>0</v>
      </c>
      <c r="D105" s="43">
        <f t="shared" si="12"/>
        <v>0</v>
      </c>
      <c r="E105" s="43">
        <f t="shared" si="12"/>
        <v>0</v>
      </c>
      <c r="F105" s="43">
        <f t="shared" si="12"/>
        <v>0</v>
      </c>
      <c r="G105" s="43">
        <f t="shared" si="12"/>
        <v>0</v>
      </c>
      <c r="H105" s="43">
        <f t="shared" si="12"/>
        <v>0</v>
      </c>
      <c r="I105" s="43">
        <f t="shared" si="12"/>
        <v>0</v>
      </c>
      <c r="J105" s="43">
        <f t="shared" si="12"/>
        <v>0</v>
      </c>
      <c r="K105" s="17"/>
    </row>
    <row r="106" spans="1:11" x14ac:dyDescent="0.25">
      <c r="A106" s="4" t="s">
        <v>176</v>
      </c>
      <c r="B106" s="43">
        <f t="shared" ref="B106:J106" si="13">B$89</f>
        <v>0</v>
      </c>
      <c r="C106" s="43">
        <f t="shared" si="13"/>
        <v>0</v>
      </c>
      <c r="D106" s="43">
        <f t="shared" si="13"/>
        <v>0</v>
      </c>
      <c r="E106" s="43">
        <f t="shared" si="13"/>
        <v>0</v>
      </c>
      <c r="F106" s="43">
        <f t="shared" si="13"/>
        <v>0</v>
      </c>
      <c r="G106" s="43">
        <f t="shared" si="13"/>
        <v>0</v>
      </c>
      <c r="H106" s="43">
        <f t="shared" si="13"/>
        <v>0</v>
      </c>
      <c r="I106" s="43">
        <f t="shared" si="13"/>
        <v>0</v>
      </c>
      <c r="J106" s="43">
        <f t="shared" si="13"/>
        <v>0</v>
      </c>
      <c r="K106" s="17"/>
    </row>
    <row r="107" spans="1:11" x14ac:dyDescent="0.25">
      <c r="A107" s="4" t="s">
        <v>192</v>
      </c>
      <c r="B107" s="43">
        <f t="shared" ref="B107:J107" si="14">B$90</f>
        <v>0</v>
      </c>
      <c r="C107" s="43">
        <f t="shared" si="14"/>
        <v>0</v>
      </c>
      <c r="D107" s="43">
        <f t="shared" si="14"/>
        <v>0</v>
      </c>
      <c r="E107" s="43">
        <f t="shared" si="14"/>
        <v>322.89122195229027</v>
      </c>
      <c r="F107" s="43">
        <f t="shared" si="14"/>
        <v>1605.7631641151488</v>
      </c>
      <c r="G107" s="43">
        <f t="shared" si="14"/>
        <v>0</v>
      </c>
      <c r="H107" s="43">
        <f t="shared" si="14"/>
        <v>1586.7029641196432</v>
      </c>
      <c r="I107" s="43">
        <f t="shared" si="14"/>
        <v>0</v>
      </c>
      <c r="J107" s="43">
        <f t="shared" si="14"/>
        <v>0</v>
      </c>
      <c r="K107" s="17"/>
    </row>
    <row r="108" spans="1:11" x14ac:dyDescent="0.25">
      <c r="A108" s="4" t="s">
        <v>177</v>
      </c>
      <c r="B108" s="43">
        <f t="shared" ref="B108:J108" si="15">B$91</f>
        <v>0</v>
      </c>
      <c r="C108" s="43">
        <f t="shared" si="15"/>
        <v>0</v>
      </c>
      <c r="D108" s="43">
        <f t="shared" si="15"/>
        <v>0</v>
      </c>
      <c r="E108" s="43">
        <f t="shared" si="15"/>
        <v>0</v>
      </c>
      <c r="F108" s="43">
        <f t="shared" si="15"/>
        <v>0</v>
      </c>
      <c r="G108" s="43">
        <f t="shared" si="15"/>
        <v>0</v>
      </c>
      <c r="H108" s="43">
        <f t="shared" si="15"/>
        <v>0</v>
      </c>
      <c r="I108" s="43">
        <f t="shared" si="15"/>
        <v>0</v>
      </c>
      <c r="J108" s="43">
        <f t="shared" si="15"/>
        <v>0</v>
      </c>
      <c r="K108" s="17"/>
    </row>
    <row r="109" spans="1:11" x14ac:dyDescent="0.25">
      <c r="A109" s="4" t="s">
        <v>178</v>
      </c>
      <c r="B109" s="43">
        <f t="shared" ref="B109:J109" si="16">B$92</f>
        <v>0</v>
      </c>
      <c r="C109" s="43">
        <f t="shared" si="16"/>
        <v>0</v>
      </c>
      <c r="D109" s="43">
        <f t="shared" si="16"/>
        <v>0</v>
      </c>
      <c r="E109" s="43">
        <f t="shared" si="16"/>
        <v>0</v>
      </c>
      <c r="F109" s="43">
        <f t="shared" si="16"/>
        <v>0</v>
      </c>
      <c r="G109" s="43">
        <f t="shared" si="16"/>
        <v>0</v>
      </c>
      <c r="H109" s="43">
        <f t="shared" si="16"/>
        <v>0</v>
      </c>
      <c r="I109" s="43">
        <f t="shared" si="16"/>
        <v>0</v>
      </c>
      <c r="J109" s="43">
        <f t="shared" si="16"/>
        <v>148428.24395003766</v>
      </c>
      <c r="K109" s="17"/>
    </row>
    <row r="110" spans="1:11" x14ac:dyDescent="0.25">
      <c r="A110" s="4" t="s">
        <v>179</v>
      </c>
      <c r="B110" s="43">
        <f t="shared" ref="B110:J110" si="17">B$70</f>
        <v>0</v>
      </c>
      <c r="C110" s="43">
        <f t="shared" si="17"/>
        <v>0</v>
      </c>
      <c r="D110" s="43">
        <f t="shared" si="17"/>
        <v>0</v>
      </c>
      <c r="E110" s="43">
        <f t="shared" si="17"/>
        <v>0</v>
      </c>
      <c r="F110" s="43">
        <f t="shared" si="17"/>
        <v>0</v>
      </c>
      <c r="G110" s="43">
        <f t="shared" si="17"/>
        <v>0</v>
      </c>
      <c r="H110" s="43">
        <f t="shared" si="17"/>
        <v>323831.49567184172</v>
      </c>
      <c r="I110" s="43">
        <f t="shared" si="17"/>
        <v>1598200.0710525312</v>
      </c>
      <c r="J110" s="43">
        <f t="shared" si="17"/>
        <v>1522433.3527241983</v>
      </c>
      <c r="K110" s="17"/>
    </row>
    <row r="111" spans="1:11" x14ac:dyDescent="0.25">
      <c r="A111" s="4" t="s">
        <v>180</v>
      </c>
      <c r="B111" s="43">
        <f t="shared" ref="B111:J111" si="18">B$71</f>
        <v>0</v>
      </c>
      <c r="C111" s="43">
        <f t="shared" si="18"/>
        <v>0</v>
      </c>
      <c r="D111" s="43">
        <f t="shared" si="18"/>
        <v>0</v>
      </c>
      <c r="E111" s="43">
        <f t="shared" si="18"/>
        <v>0</v>
      </c>
      <c r="F111" s="43">
        <f t="shared" si="18"/>
        <v>0</v>
      </c>
      <c r="G111" s="43">
        <f t="shared" si="18"/>
        <v>0</v>
      </c>
      <c r="H111" s="43">
        <f t="shared" si="18"/>
        <v>733311.28941246995</v>
      </c>
      <c r="I111" s="43">
        <f t="shared" si="18"/>
        <v>723819.74607576162</v>
      </c>
      <c r="J111" s="43">
        <f t="shared" si="18"/>
        <v>0</v>
      </c>
      <c r="K111" s="17"/>
    </row>
    <row r="112" spans="1:11" x14ac:dyDescent="0.25">
      <c r="A112" s="4" t="s">
        <v>193</v>
      </c>
      <c r="B112" s="43">
        <f t="shared" ref="B112:J112" si="19">B$72</f>
        <v>0</v>
      </c>
      <c r="C112" s="43">
        <f t="shared" si="19"/>
        <v>0</v>
      </c>
      <c r="D112" s="43">
        <f t="shared" si="19"/>
        <v>0</v>
      </c>
      <c r="E112" s="43">
        <f t="shared" si="19"/>
        <v>355585.42905744078</v>
      </c>
      <c r="F112" s="43">
        <f t="shared" si="19"/>
        <v>1768353.9992948044</v>
      </c>
      <c r="G112" s="43">
        <f t="shared" si="19"/>
        <v>0</v>
      </c>
      <c r="H112" s="43">
        <f t="shared" si="19"/>
        <v>1747363.8672238749</v>
      </c>
      <c r="I112" s="43">
        <f t="shared" si="19"/>
        <v>0</v>
      </c>
      <c r="J112" s="43">
        <f t="shared" si="19"/>
        <v>0</v>
      </c>
      <c r="K112" s="17"/>
    </row>
    <row r="114" spans="1:11" ht="21" customHeight="1" x14ac:dyDescent="0.3">
      <c r="A114" s="1" t="s">
        <v>845</v>
      </c>
    </row>
    <row r="115" spans="1:11" x14ac:dyDescent="0.25">
      <c r="A115" s="2" t="s">
        <v>350</v>
      </c>
    </row>
    <row r="116" spans="1:11" x14ac:dyDescent="0.25">
      <c r="A116" s="32" t="s">
        <v>846</v>
      </c>
    </row>
    <row r="117" spans="1:11" x14ac:dyDescent="0.25">
      <c r="A117" s="2" t="s">
        <v>820</v>
      </c>
    </row>
    <row r="119" spans="1:11" x14ac:dyDescent="0.25">
      <c r="B119" s="15" t="s">
        <v>139</v>
      </c>
      <c r="C119" s="15" t="s">
        <v>140</v>
      </c>
      <c r="D119" s="15" t="s">
        <v>141</v>
      </c>
      <c r="E119" s="15" t="s">
        <v>142</v>
      </c>
      <c r="F119" s="15" t="s">
        <v>143</v>
      </c>
      <c r="G119" s="15" t="s">
        <v>148</v>
      </c>
      <c r="H119" s="15" t="s">
        <v>144</v>
      </c>
      <c r="I119" s="15" t="s">
        <v>145</v>
      </c>
      <c r="J119" s="15" t="s">
        <v>146</v>
      </c>
    </row>
    <row r="120" spans="1:11" x14ac:dyDescent="0.25">
      <c r="A120" s="4" t="s">
        <v>847</v>
      </c>
      <c r="B120" s="21">
        <f t="shared" ref="B120:J120" si="20">SUM(B$101:B$112)</f>
        <v>0</v>
      </c>
      <c r="C120" s="21">
        <f t="shared" si="20"/>
        <v>0</v>
      </c>
      <c r="D120" s="21">
        <f t="shared" si="20"/>
        <v>0</v>
      </c>
      <c r="E120" s="21">
        <f t="shared" si="20"/>
        <v>355908.32027939305</v>
      </c>
      <c r="F120" s="21">
        <f t="shared" si="20"/>
        <v>1769959.7624589195</v>
      </c>
      <c r="G120" s="21">
        <f t="shared" si="20"/>
        <v>0</v>
      </c>
      <c r="H120" s="21">
        <f t="shared" si="20"/>
        <v>2806093.3552723061</v>
      </c>
      <c r="I120" s="21">
        <f t="shared" si="20"/>
        <v>2322019.8171282928</v>
      </c>
      <c r="J120" s="21">
        <f t="shared" si="20"/>
        <v>4434532.9731735568</v>
      </c>
      <c r="K120" s="17"/>
    </row>
    <row r="122" spans="1:11" ht="21" customHeight="1" x14ac:dyDescent="0.3">
      <c r="A122" s="1" t="s">
        <v>848</v>
      </c>
    </row>
    <row r="123" spans="1:11" x14ac:dyDescent="0.25">
      <c r="A123" s="2" t="s">
        <v>350</v>
      </c>
    </row>
    <row r="124" spans="1:11" x14ac:dyDescent="0.25">
      <c r="A124" s="32" t="s">
        <v>819</v>
      </c>
    </row>
    <row r="125" spans="1:11" x14ac:dyDescent="0.25">
      <c r="A125" s="32" t="s">
        <v>849</v>
      </c>
    </row>
    <row r="126" spans="1:11" x14ac:dyDescent="0.25">
      <c r="A126" s="2" t="s">
        <v>688</v>
      </c>
    </row>
    <row r="128" spans="1:11" x14ac:dyDescent="0.25">
      <c r="B128" s="15" t="s">
        <v>139</v>
      </c>
      <c r="C128" s="15" t="s">
        <v>140</v>
      </c>
      <c r="D128" s="15" t="s">
        <v>141</v>
      </c>
      <c r="E128" s="15" t="s">
        <v>142</v>
      </c>
      <c r="F128" s="15" t="s">
        <v>143</v>
      </c>
      <c r="G128" s="15" t="s">
        <v>148</v>
      </c>
      <c r="H128" s="15" t="s">
        <v>144</v>
      </c>
      <c r="I128" s="15" t="s">
        <v>145</v>
      </c>
      <c r="J128" s="15" t="s">
        <v>146</v>
      </c>
    </row>
    <row r="129" spans="1:11" x14ac:dyDescent="0.25">
      <c r="A129" s="4" t="s">
        <v>171</v>
      </c>
      <c r="B129" s="21">
        <f>SMD!B$107*B41</f>
        <v>0</v>
      </c>
      <c r="C129" s="21">
        <f>SMD!C$107*C41</f>
        <v>0</v>
      </c>
      <c r="D129" s="21">
        <f>SMD!D$107*D41</f>
        <v>0</v>
      </c>
      <c r="E129" s="21">
        <f>SMD!E$107*E41</f>
        <v>0</v>
      </c>
      <c r="F129" s="21">
        <f>SMD!F$107*F41</f>
        <v>0</v>
      </c>
      <c r="G129" s="21">
        <f>SMD!G$107*G41</f>
        <v>0</v>
      </c>
      <c r="H129" s="21">
        <f>SMD!H$107*H41</f>
        <v>0</v>
      </c>
      <c r="I129" s="21">
        <f>SMD!I$107*I41</f>
        <v>0</v>
      </c>
      <c r="J129" s="21">
        <f>SMD!J$107*J41</f>
        <v>1370550.7256768581</v>
      </c>
      <c r="K129" s="17"/>
    </row>
    <row r="130" spans="1:11" x14ac:dyDescent="0.25">
      <c r="A130" s="4" t="s">
        <v>172</v>
      </c>
      <c r="B130" s="21">
        <f>SMD!B$108*B42</f>
        <v>0</v>
      </c>
      <c r="C130" s="21">
        <f>SMD!C$108*C42</f>
        <v>0</v>
      </c>
      <c r="D130" s="21">
        <f>SMD!D$108*D42</f>
        <v>0</v>
      </c>
      <c r="E130" s="21">
        <f>SMD!E$108*E42</f>
        <v>0</v>
      </c>
      <c r="F130" s="21">
        <f>SMD!F$108*F42</f>
        <v>0</v>
      </c>
      <c r="G130" s="21">
        <f>SMD!G$108*G42</f>
        <v>0</v>
      </c>
      <c r="H130" s="21">
        <f>SMD!H$108*H42</f>
        <v>0</v>
      </c>
      <c r="I130" s="21">
        <f>SMD!I$108*I42</f>
        <v>0</v>
      </c>
      <c r="J130" s="21">
        <f>SMD!J$108*J42</f>
        <v>128681.74246685354</v>
      </c>
      <c r="K130" s="17"/>
    </row>
    <row r="131" spans="1:11" x14ac:dyDescent="0.25">
      <c r="A131" s="4" t="s">
        <v>213</v>
      </c>
      <c r="B131" s="21">
        <f>SMD!B$109*B43</f>
        <v>0</v>
      </c>
      <c r="C131" s="21">
        <f>SMD!C$109*C43</f>
        <v>0</v>
      </c>
      <c r="D131" s="21">
        <f>SMD!D$109*D43</f>
        <v>0</v>
      </c>
      <c r="E131" s="21">
        <f>SMD!E$109*E43</f>
        <v>0</v>
      </c>
      <c r="F131" s="21">
        <f>SMD!F$109*F43</f>
        <v>0</v>
      </c>
      <c r="G131" s="21">
        <f>SMD!G$109*G43</f>
        <v>0</v>
      </c>
      <c r="H131" s="21">
        <f>SMD!H$109*H43</f>
        <v>0</v>
      </c>
      <c r="I131" s="21">
        <f>SMD!I$109*I43</f>
        <v>0</v>
      </c>
      <c r="J131" s="21">
        <f>SMD!J$109*J43</f>
        <v>511.95658378948326</v>
      </c>
      <c r="K131" s="17"/>
    </row>
    <row r="132" spans="1:11" x14ac:dyDescent="0.25">
      <c r="A132" s="4" t="s">
        <v>173</v>
      </c>
      <c r="B132" s="21">
        <f>SMD!B$110*B44</f>
        <v>0</v>
      </c>
      <c r="C132" s="21">
        <f>SMD!C$110*C44</f>
        <v>0</v>
      </c>
      <c r="D132" s="21">
        <f>SMD!D$110*D44</f>
        <v>0</v>
      </c>
      <c r="E132" s="21">
        <f>SMD!E$110*E44</f>
        <v>0</v>
      </c>
      <c r="F132" s="21">
        <f>SMD!F$110*F44</f>
        <v>0</v>
      </c>
      <c r="G132" s="21">
        <f>SMD!G$110*G44</f>
        <v>0</v>
      </c>
      <c r="H132" s="21">
        <f>SMD!H$110*H44</f>
        <v>0</v>
      </c>
      <c r="I132" s="21">
        <f>SMD!I$110*I44</f>
        <v>0</v>
      </c>
      <c r="J132" s="21">
        <f>SMD!J$110*J44</f>
        <v>323160.49298525491</v>
      </c>
      <c r="K132" s="17"/>
    </row>
    <row r="133" spans="1:11" x14ac:dyDescent="0.25">
      <c r="A133" s="4" t="s">
        <v>174</v>
      </c>
      <c r="B133" s="21">
        <f>SMD!B$111*B45</f>
        <v>0</v>
      </c>
      <c r="C133" s="21">
        <f>SMD!C$111*C45</f>
        <v>0</v>
      </c>
      <c r="D133" s="21">
        <f>SMD!D$111*D45</f>
        <v>0</v>
      </c>
      <c r="E133" s="21">
        <f>SMD!E$111*E45</f>
        <v>0</v>
      </c>
      <c r="F133" s="21">
        <f>SMD!F$111*F45</f>
        <v>0</v>
      </c>
      <c r="G133" s="21">
        <f>SMD!G$111*G45</f>
        <v>0</v>
      </c>
      <c r="H133" s="21">
        <f>SMD!H$111*H45</f>
        <v>0</v>
      </c>
      <c r="I133" s="21">
        <f>SMD!I$111*I45</f>
        <v>0</v>
      </c>
      <c r="J133" s="21">
        <f>SMD!J$111*J45</f>
        <v>123402.47141639919</v>
      </c>
      <c r="K133" s="17"/>
    </row>
    <row r="134" spans="1:11" x14ac:dyDescent="0.25">
      <c r="A134" s="4" t="s">
        <v>214</v>
      </c>
      <c r="B134" s="21">
        <f>SMD!B$112*B46</f>
        <v>0</v>
      </c>
      <c r="C134" s="21">
        <f>SMD!C$112*C46</f>
        <v>0</v>
      </c>
      <c r="D134" s="21">
        <f>SMD!D$112*D46</f>
        <v>0</v>
      </c>
      <c r="E134" s="21">
        <f>SMD!E$112*E46</f>
        <v>0</v>
      </c>
      <c r="F134" s="21">
        <f>SMD!F$112*F46</f>
        <v>0</v>
      </c>
      <c r="G134" s="21">
        <f>SMD!G$112*G46</f>
        <v>0</v>
      </c>
      <c r="H134" s="21">
        <f>SMD!H$112*H46</f>
        <v>0</v>
      </c>
      <c r="I134" s="21">
        <f>SMD!I$112*I46</f>
        <v>0</v>
      </c>
      <c r="J134" s="21">
        <f>SMD!J$112*J46</f>
        <v>425.89336461691619</v>
      </c>
      <c r="K134" s="17"/>
    </row>
    <row r="135" spans="1:11" x14ac:dyDescent="0.25">
      <c r="A135" s="4" t="s">
        <v>175</v>
      </c>
      <c r="B135" s="21">
        <f>SMD!B$113*B47</f>
        <v>0</v>
      </c>
      <c r="C135" s="21">
        <f>SMD!C$113*C47</f>
        <v>0</v>
      </c>
      <c r="D135" s="21">
        <f>SMD!D$113*D47</f>
        <v>0</v>
      </c>
      <c r="E135" s="21">
        <f>SMD!E$113*E47</f>
        <v>0</v>
      </c>
      <c r="F135" s="21">
        <f>SMD!F$113*F47</f>
        <v>0</v>
      </c>
      <c r="G135" s="21">
        <f>SMD!G$113*G47</f>
        <v>0</v>
      </c>
      <c r="H135" s="21">
        <f>SMD!H$113*H47</f>
        <v>0</v>
      </c>
      <c r="I135" s="21">
        <f>SMD!I$113*I47</f>
        <v>0</v>
      </c>
      <c r="J135" s="21">
        <f>SMD!J$113*J47</f>
        <v>0</v>
      </c>
      <c r="K135" s="17"/>
    </row>
    <row r="136" spans="1:11" x14ac:dyDescent="0.25">
      <c r="A136" s="4" t="s">
        <v>176</v>
      </c>
      <c r="B136" s="21">
        <f>SMD!B$114*B48</f>
        <v>0</v>
      </c>
      <c r="C136" s="21">
        <f>SMD!C$114*C48</f>
        <v>0</v>
      </c>
      <c r="D136" s="21">
        <f>SMD!D$114*D48</f>
        <v>0</v>
      </c>
      <c r="E136" s="21">
        <f>SMD!E$114*E48</f>
        <v>0</v>
      </c>
      <c r="F136" s="21">
        <f>SMD!F$114*F48</f>
        <v>0</v>
      </c>
      <c r="G136" s="21">
        <f>SMD!G$114*G48</f>
        <v>0</v>
      </c>
      <c r="H136" s="21">
        <f>SMD!H$114*H48</f>
        <v>0</v>
      </c>
      <c r="I136" s="21">
        <f>SMD!I$114*I48</f>
        <v>0</v>
      </c>
      <c r="J136" s="21">
        <f>SMD!J$114*J48</f>
        <v>0</v>
      </c>
      <c r="K136" s="17"/>
    </row>
    <row r="137" spans="1:11" x14ac:dyDescent="0.25">
      <c r="A137" s="4" t="s">
        <v>192</v>
      </c>
      <c r="B137" s="21">
        <f>SMD!B$115*B49</f>
        <v>0</v>
      </c>
      <c r="C137" s="21">
        <f>SMD!C$115*C49</f>
        <v>0</v>
      </c>
      <c r="D137" s="21">
        <f>SMD!D$115*D49</f>
        <v>0</v>
      </c>
      <c r="E137" s="21">
        <f>SMD!E$115*E49</f>
        <v>252.47328199349113</v>
      </c>
      <c r="F137" s="21">
        <f>SMD!F$115*F49</f>
        <v>1255.5692709673831</v>
      </c>
      <c r="G137" s="21">
        <f>SMD!G$115*G49</f>
        <v>0</v>
      </c>
      <c r="H137" s="21">
        <f>SMD!H$115*H49</f>
        <v>1240.6658269554284</v>
      </c>
      <c r="I137" s="21">
        <f>SMD!I$115*I49</f>
        <v>0</v>
      </c>
      <c r="J137" s="21">
        <f>SMD!J$115*J49</f>
        <v>0</v>
      </c>
      <c r="K137" s="17"/>
    </row>
    <row r="138" spans="1:11" x14ac:dyDescent="0.25">
      <c r="A138" s="4" t="s">
        <v>177</v>
      </c>
      <c r="B138" s="21">
        <f>SMD!B$116*B50</f>
        <v>0</v>
      </c>
      <c r="C138" s="21">
        <f>SMD!C$116*C50</f>
        <v>0</v>
      </c>
      <c r="D138" s="21">
        <f>SMD!D$116*D50</f>
        <v>0</v>
      </c>
      <c r="E138" s="21">
        <f>SMD!E$116*E50</f>
        <v>0</v>
      </c>
      <c r="F138" s="21">
        <f>SMD!F$116*F50</f>
        <v>0</v>
      </c>
      <c r="G138" s="21">
        <f>SMD!G$116*G50</f>
        <v>0</v>
      </c>
      <c r="H138" s="21">
        <f>SMD!H$116*H50</f>
        <v>0</v>
      </c>
      <c r="I138" s="21">
        <f>SMD!I$116*I50</f>
        <v>0</v>
      </c>
      <c r="J138" s="21">
        <f>SMD!J$116*J50</f>
        <v>0</v>
      </c>
      <c r="K138" s="17"/>
    </row>
    <row r="139" spans="1:11" x14ac:dyDescent="0.25">
      <c r="A139" s="4" t="s">
        <v>178</v>
      </c>
      <c r="B139" s="21">
        <f>SMD!B$117*B51</f>
        <v>0</v>
      </c>
      <c r="C139" s="21">
        <f>SMD!C$117*C51</f>
        <v>0</v>
      </c>
      <c r="D139" s="21">
        <f>SMD!D$117*D51</f>
        <v>0</v>
      </c>
      <c r="E139" s="21">
        <f>SMD!E$117*E51</f>
        <v>0</v>
      </c>
      <c r="F139" s="21">
        <f>SMD!F$117*F51</f>
        <v>0</v>
      </c>
      <c r="G139" s="21">
        <f>SMD!G$117*G51</f>
        <v>0</v>
      </c>
      <c r="H139" s="21">
        <f>SMD!H$117*H51</f>
        <v>0</v>
      </c>
      <c r="I139" s="21">
        <f>SMD!I$117*I51</f>
        <v>0</v>
      </c>
      <c r="J139" s="21">
        <f>SMD!J$117*J51</f>
        <v>98702.51567362716</v>
      </c>
      <c r="K139" s="17"/>
    </row>
    <row r="140" spans="1:11" x14ac:dyDescent="0.25">
      <c r="A140" s="4" t="s">
        <v>179</v>
      </c>
      <c r="B140" s="21">
        <f>SMD!B$118*B52</f>
        <v>0</v>
      </c>
      <c r="C140" s="21">
        <f>SMD!C$118*C52</f>
        <v>0</v>
      </c>
      <c r="D140" s="21">
        <f>SMD!D$118*D52</f>
        <v>0</v>
      </c>
      <c r="E140" s="21">
        <f>SMD!E$118*E52</f>
        <v>0</v>
      </c>
      <c r="F140" s="21">
        <f>SMD!F$118*F52</f>
        <v>0</v>
      </c>
      <c r="G140" s="21">
        <f>SMD!G$118*G52</f>
        <v>0</v>
      </c>
      <c r="H140" s="21">
        <f>SMD!H$118*H52</f>
        <v>80512.714444924466</v>
      </c>
      <c r="I140" s="21">
        <f>SMD!I$118*I52</f>
        <v>397353.02978961979</v>
      </c>
      <c r="J140" s="21">
        <f>SMD!J$118*J52</f>
        <v>378515.50398150692</v>
      </c>
      <c r="K140" s="17"/>
    </row>
    <row r="141" spans="1:11" x14ac:dyDescent="0.25">
      <c r="A141" s="4" t="s">
        <v>180</v>
      </c>
      <c r="B141" s="21">
        <f>SMD!B$119*B53</f>
        <v>0</v>
      </c>
      <c r="C141" s="21">
        <f>SMD!C$119*C53</f>
        <v>0</v>
      </c>
      <c r="D141" s="21">
        <f>SMD!D$119*D53</f>
        <v>0</v>
      </c>
      <c r="E141" s="21">
        <f>SMD!E$119*E53</f>
        <v>0</v>
      </c>
      <c r="F141" s="21">
        <f>SMD!F$119*F53</f>
        <v>0</v>
      </c>
      <c r="G141" s="21">
        <f>SMD!G$119*G53</f>
        <v>0</v>
      </c>
      <c r="H141" s="21">
        <f>SMD!H$119*H53</f>
        <v>213464.39007363174</v>
      </c>
      <c r="I141" s="21">
        <f>SMD!I$119*I53</f>
        <v>210701.43450690206</v>
      </c>
      <c r="J141" s="21">
        <f>SMD!J$119*J53</f>
        <v>0</v>
      </c>
      <c r="K141" s="17"/>
    </row>
    <row r="142" spans="1:11" x14ac:dyDescent="0.25">
      <c r="A142" s="4" t="s">
        <v>193</v>
      </c>
      <c r="B142" s="21">
        <f>SMD!B$120*B54</f>
        <v>0</v>
      </c>
      <c r="C142" s="21">
        <f>SMD!C$120*C54</f>
        <v>0</v>
      </c>
      <c r="D142" s="21">
        <f>SMD!D$120*D54</f>
        <v>0</v>
      </c>
      <c r="E142" s="21">
        <f>SMD!E$120*E54</f>
        <v>142889.4626132928</v>
      </c>
      <c r="F142" s="21">
        <f>SMD!F$120*F54</f>
        <v>710600.41278711776</v>
      </c>
      <c r="G142" s="21">
        <f>SMD!G$120*G54</f>
        <v>0</v>
      </c>
      <c r="H142" s="21">
        <f>SMD!H$120*H54</f>
        <v>702165.67827128724</v>
      </c>
      <c r="I142" s="21">
        <f>SMD!I$120*I54</f>
        <v>0</v>
      </c>
      <c r="J142" s="21">
        <f>SMD!J$120*J54</f>
        <v>0</v>
      </c>
      <c r="K142" s="17"/>
    </row>
    <row r="143" spans="1:11" x14ac:dyDescent="0.25">
      <c r="A143" s="4" t="s">
        <v>215</v>
      </c>
      <c r="B143" s="21">
        <f>SMD!B$121*B55</f>
        <v>0</v>
      </c>
      <c r="C143" s="21">
        <f>SMD!C$121*C55</f>
        <v>0</v>
      </c>
      <c r="D143" s="21">
        <f>SMD!D$121*D55</f>
        <v>0</v>
      </c>
      <c r="E143" s="21">
        <f>SMD!E$121*E55</f>
        <v>0</v>
      </c>
      <c r="F143" s="21">
        <f>SMD!F$121*F55</f>
        <v>0</v>
      </c>
      <c r="G143" s="21">
        <f>SMD!G$121*G55</f>
        <v>0</v>
      </c>
      <c r="H143" s="21">
        <f>SMD!H$121*H55</f>
        <v>0</v>
      </c>
      <c r="I143" s="21">
        <f>SMD!I$121*I55</f>
        <v>0</v>
      </c>
      <c r="J143" s="21">
        <f>SMD!J$121*J55</f>
        <v>0</v>
      </c>
      <c r="K143" s="17"/>
    </row>
    <row r="144" spans="1:11" x14ac:dyDescent="0.25">
      <c r="A144" s="4" t="s">
        <v>216</v>
      </c>
      <c r="B144" s="21">
        <f>SMD!B$122*B56</f>
        <v>0</v>
      </c>
      <c r="C144" s="21">
        <f>SMD!C$122*C56</f>
        <v>0</v>
      </c>
      <c r="D144" s="21">
        <f>SMD!D$122*D56</f>
        <v>0</v>
      </c>
      <c r="E144" s="21">
        <f>SMD!E$122*E56</f>
        <v>0</v>
      </c>
      <c r="F144" s="21">
        <f>SMD!F$122*F56</f>
        <v>0</v>
      </c>
      <c r="G144" s="21">
        <f>SMD!G$122*G56</f>
        <v>0</v>
      </c>
      <c r="H144" s="21">
        <f>SMD!H$122*H56</f>
        <v>0</v>
      </c>
      <c r="I144" s="21">
        <f>SMD!I$122*I56</f>
        <v>0</v>
      </c>
      <c r="J144" s="21">
        <f>SMD!J$122*J56</f>
        <v>0</v>
      </c>
      <c r="K144" s="17"/>
    </row>
    <row r="145" spans="1:11" x14ac:dyDescent="0.25">
      <c r="A145" s="4" t="s">
        <v>217</v>
      </c>
      <c r="B145" s="21">
        <f>SMD!B$123*B57</f>
        <v>0</v>
      </c>
      <c r="C145" s="21">
        <f>SMD!C$123*C57</f>
        <v>0</v>
      </c>
      <c r="D145" s="21">
        <f>SMD!D$123*D57</f>
        <v>0</v>
      </c>
      <c r="E145" s="21">
        <f>SMD!E$123*E57</f>
        <v>0</v>
      </c>
      <c r="F145" s="21">
        <f>SMD!F$123*F57</f>
        <v>0</v>
      </c>
      <c r="G145" s="21">
        <f>SMD!G$123*G57</f>
        <v>0</v>
      </c>
      <c r="H145" s="21">
        <f>SMD!H$123*H57</f>
        <v>0</v>
      </c>
      <c r="I145" s="21">
        <f>SMD!I$123*I57</f>
        <v>0</v>
      </c>
      <c r="J145" s="21">
        <f>SMD!J$123*J57</f>
        <v>0</v>
      </c>
      <c r="K145" s="17"/>
    </row>
    <row r="146" spans="1:11" x14ac:dyDescent="0.25">
      <c r="A146" s="4" t="s">
        <v>218</v>
      </c>
      <c r="B146" s="21">
        <f>SMD!B$124*B58</f>
        <v>0</v>
      </c>
      <c r="C146" s="21">
        <f>SMD!C$124*C58</f>
        <v>0</v>
      </c>
      <c r="D146" s="21">
        <f>SMD!D$124*D58</f>
        <v>0</v>
      </c>
      <c r="E146" s="21">
        <f>SMD!E$124*E58</f>
        <v>0</v>
      </c>
      <c r="F146" s="21">
        <f>SMD!F$124*F58</f>
        <v>0</v>
      </c>
      <c r="G146" s="21">
        <f>SMD!G$124*G58</f>
        <v>0</v>
      </c>
      <c r="H146" s="21">
        <f>SMD!H$124*H58</f>
        <v>0</v>
      </c>
      <c r="I146" s="21">
        <f>SMD!I$124*I58</f>
        <v>0</v>
      </c>
      <c r="J146" s="21">
        <f>SMD!J$124*J58</f>
        <v>0</v>
      </c>
      <c r="K146" s="17"/>
    </row>
    <row r="147" spans="1:11" x14ac:dyDescent="0.25">
      <c r="A147" s="4" t="s">
        <v>219</v>
      </c>
      <c r="B147" s="21">
        <f>SMD!B$125*B59</f>
        <v>0</v>
      </c>
      <c r="C147" s="21">
        <f>SMD!C$125*C59</f>
        <v>0</v>
      </c>
      <c r="D147" s="21">
        <f>SMD!D$125*D59</f>
        <v>0</v>
      </c>
      <c r="E147" s="21">
        <f>SMD!E$125*E59</f>
        <v>0</v>
      </c>
      <c r="F147" s="21">
        <f>SMD!F$125*F59</f>
        <v>0</v>
      </c>
      <c r="G147" s="21">
        <f>SMD!G$125*G59</f>
        <v>0</v>
      </c>
      <c r="H147" s="21">
        <f>SMD!H$125*H59</f>
        <v>0</v>
      </c>
      <c r="I147" s="21">
        <f>SMD!I$125*I59</f>
        <v>0</v>
      </c>
      <c r="J147" s="21">
        <f>SMD!J$125*J59</f>
        <v>0</v>
      </c>
      <c r="K147" s="17"/>
    </row>
    <row r="149" spans="1:11" ht="21" customHeight="1" x14ac:dyDescent="0.3">
      <c r="A149" s="1" t="s">
        <v>850</v>
      </c>
    </row>
    <row r="150" spans="1:11" x14ac:dyDescent="0.25">
      <c r="A150" s="2" t="s">
        <v>350</v>
      </c>
    </row>
    <row r="151" spans="1:11" x14ac:dyDescent="0.25">
      <c r="A151" s="32" t="s">
        <v>851</v>
      </c>
    </row>
    <row r="152" spans="1:11" x14ac:dyDescent="0.25">
      <c r="A152" s="2" t="s">
        <v>820</v>
      </c>
    </row>
    <row r="154" spans="1:11" x14ac:dyDescent="0.25">
      <c r="B154" s="15" t="s">
        <v>139</v>
      </c>
      <c r="C154" s="15" t="s">
        <v>140</v>
      </c>
      <c r="D154" s="15" t="s">
        <v>141</v>
      </c>
      <c r="E154" s="15" t="s">
        <v>142</v>
      </c>
      <c r="F154" s="15" t="s">
        <v>143</v>
      </c>
      <c r="G154" s="15" t="s">
        <v>148</v>
      </c>
      <c r="H154" s="15" t="s">
        <v>144</v>
      </c>
      <c r="I154" s="15" t="s">
        <v>145</v>
      </c>
      <c r="J154" s="15" t="s">
        <v>146</v>
      </c>
    </row>
    <row r="155" spans="1:11" ht="30" x14ac:dyDescent="0.25">
      <c r="A155" s="4" t="s">
        <v>852</v>
      </c>
      <c r="B155" s="21">
        <f t="shared" ref="B155:J155" si="21">SUM(B$129:B$147)</f>
        <v>0</v>
      </c>
      <c r="C155" s="21">
        <f t="shared" si="21"/>
        <v>0</v>
      </c>
      <c r="D155" s="21">
        <f t="shared" si="21"/>
        <v>0</v>
      </c>
      <c r="E155" s="21">
        <f t="shared" si="21"/>
        <v>143141.9358952863</v>
      </c>
      <c r="F155" s="21">
        <f t="shared" si="21"/>
        <v>711855.98205808515</v>
      </c>
      <c r="G155" s="21">
        <f t="shared" si="21"/>
        <v>0</v>
      </c>
      <c r="H155" s="21">
        <f t="shared" si="21"/>
        <v>997383.44861679885</v>
      </c>
      <c r="I155" s="21">
        <f t="shared" si="21"/>
        <v>608054.46429652185</v>
      </c>
      <c r="J155" s="21">
        <f t="shared" si="21"/>
        <v>2423951.302148906</v>
      </c>
      <c r="K155" s="17"/>
    </row>
    <row r="157" spans="1:11" ht="21" customHeight="1" x14ac:dyDescent="0.3">
      <c r="A157" s="1" t="s">
        <v>853</v>
      </c>
    </row>
    <row r="158" spans="1:11" x14ac:dyDescent="0.25">
      <c r="A158" s="2" t="s">
        <v>350</v>
      </c>
    </row>
    <row r="159" spans="1:11" x14ac:dyDescent="0.25">
      <c r="A159" s="32" t="s">
        <v>854</v>
      </c>
    </row>
    <row r="160" spans="1:11" x14ac:dyDescent="0.25">
      <c r="A160" s="32" t="s">
        <v>855</v>
      </c>
    </row>
    <row r="161" spans="1:11" x14ac:dyDescent="0.25">
      <c r="A161" s="2" t="s">
        <v>856</v>
      </c>
    </row>
    <row r="163" spans="1:11" x14ac:dyDescent="0.25">
      <c r="B163" s="15" t="s">
        <v>146</v>
      </c>
    </row>
    <row r="164" spans="1:11" x14ac:dyDescent="0.25">
      <c r="A164" s="4" t="s">
        <v>857</v>
      </c>
      <c r="B164" s="39">
        <f>$J120/$J155-1</f>
        <v>0.82946454792314084</v>
      </c>
      <c r="C164" s="17"/>
    </row>
    <row r="166" spans="1:11" ht="21" customHeight="1" x14ac:dyDescent="0.3">
      <c r="A166" s="1" t="s">
        <v>858</v>
      </c>
    </row>
    <row r="168" spans="1:11" x14ac:dyDescent="0.25">
      <c r="B168" s="15" t="s">
        <v>139</v>
      </c>
      <c r="C168" s="15" t="s">
        <v>140</v>
      </c>
      <c r="D168" s="15" t="s">
        <v>141</v>
      </c>
      <c r="E168" s="15" t="s">
        <v>142</v>
      </c>
      <c r="F168" s="15" t="s">
        <v>143</v>
      </c>
      <c r="G168" s="15" t="s">
        <v>148</v>
      </c>
      <c r="H168" s="15" t="s">
        <v>144</v>
      </c>
      <c r="I168" s="15" t="s">
        <v>145</v>
      </c>
      <c r="J168" s="15" t="s">
        <v>146</v>
      </c>
    </row>
    <row r="169" spans="1:11" x14ac:dyDescent="0.25">
      <c r="A169" s="4" t="s">
        <v>139</v>
      </c>
      <c r="B169" s="40">
        <v>1</v>
      </c>
      <c r="C169" s="40">
        <v>0</v>
      </c>
      <c r="D169" s="40">
        <v>0</v>
      </c>
      <c r="E169" s="40">
        <v>0</v>
      </c>
      <c r="F169" s="40">
        <v>0</v>
      </c>
      <c r="G169" s="40">
        <v>0</v>
      </c>
      <c r="H169" s="40">
        <v>0</v>
      </c>
      <c r="I169" s="40">
        <v>0</v>
      </c>
      <c r="J169" s="40">
        <v>0</v>
      </c>
      <c r="K169" s="17"/>
    </row>
    <row r="170" spans="1:11" x14ac:dyDescent="0.25">
      <c r="A170" s="4" t="s">
        <v>140</v>
      </c>
      <c r="B170" s="40">
        <v>0</v>
      </c>
      <c r="C170" s="40">
        <v>1</v>
      </c>
      <c r="D170" s="40">
        <v>0</v>
      </c>
      <c r="E170" s="40">
        <v>0</v>
      </c>
      <c r="F170" s="40">
        <v>0</v>
      </c>
      <c r="G170" s="40">
        <v>0</v>
      </c>
      <c r="H170" s="40">
        <v>0</v>
      </c>
      <c r="I170" s="40">
        <v>0</v>
      </c>
      <c r="J170" s="40">
        <v>0</v>
      </c>
      <c r="K170" s="17"/>
    </row>
    <row r="171" spans="1:11" x14ac:dyDescent="0.25">
      <c r="A171" s="4" t="s">
        <v>141</v>
      </c>
      <c r="B171" s="40">
        <v>0</v>
      </c>
      <c r="C171" s="40">
        <v>0</v>
      </c>
      <c r="D171" s="40">
        <v>1</v>
      </c>
      <c r="E171" s="40">
        <v>0</v>
      </c>
      <c r="F171" s="40">
        <v>0</v>
      </c>
      <c r="G171" s="40">
        <v>1</v>
      </c>
      <c r="H171" s="40">
        <v>0</v>
      </c>
      <c r="I171" s="40">
        <v>0</v>
      </c>
      <c r="J171" s="40">
        <v>0</v>
      </c>
      <c r="K171" s="17"/>
    </row>
    <row r="172" spans="1:11" x14ac:dyDescent="0.25">
      <c r="A172" s="4" t="s">
        <v>142</v>
      </c>
      <c r="B172" s="40">
        <v>0</v>
      </c>
      <c r="C172" s="40">
        <v>0</v>
      </c>
      <c r="D172" s="40">
        <v>0</v>
      </c>
      <c r="E172" s="40">
        <v>1</v>
      </c>
      <c r="F172" s="40">
        <v>0</v>
      </c>
      <c r="G172" s="40">
        <v>0</v>
      </c>
      <c r="H172" s="40">
        <v>0</v>
      </c>
      <c r="I172" s="40">
        <v>0</v>
      </c>
      <c r="J172" s="40">
        <v>0</v>
      </c>
      <c r="K172" s="17"/>
    </row>
    <row r="173" spans="1:11" x14ac:dyDescent="0.25">
      <c r="A173" s="4" t="s">
        <v>143</v>
      </c>
      <c r="B173" s="40">
        <v>0</v>
      </c>
      <c r="C173" s="40">
        <v>0</v>
      </c>
      <c r="D173" s="40">
        <v>0</v>
      </c>
      <c r="E173" s="40">
        <v>0</v>
      </c>
      <c r="F173" s="40">
        <v>1</v>
      </c>
      <c r="G173" s="40">
        <v>0</v>
      </c>
      <c r="H173" s="40">
        <v>0</v>
      </c>
      <c r="I173" s="40">
        <v>0</v>
      </c>
      <c r="J173" s="40">
        <v>0</v>
      </c>
      <c r="K173" s="17"/>
    </row>
    <row r="174" spans="1:11" x14ac:dyDescent="0.25">
      <c r="A174" s="4" t="s">
        <v>144</v>
      </c>
      <c r="B174" s="40">
        <v>0</v>
      </c>
      <c r="C174" s="40">
        <v>0</v>
      </c>
      <c r="D174" s="40">
        <v>0</v>
      </c>
      <c r="E174" s="40">
        <v>0</v>
      </c>
      <c r="F174" s="40">
        <v>0</v>
      </c>
      <c r="G174" s="40">
        <v>0</v>
      </c>
      <c r="H174" s="40">
        <v>1</v>
      </c>
      <c r="I174" s="40">
        <v>0</v>
      </c>
      <c r="J174" s="40">
        <v>0</v>
      </c>
      <c r="K174" s="17"/>
    </row>
    <row r="175" spans="1:11" x14ac:dyDescent="0.25">
      <c r="A175" s="4" t="s">
        <v>145</v>
      </c>
      <c r="B175" s="40">
        <v>0</v>
      </c>
      <c r="C175" s="40">
        <v>0</v>
      </c>
      <c r="D175" s="40">
        <v>0</v>
      </c>
      <c r="E175" s="40">
        <v>0</v>
      </c>
      <c r="F175" s="40">
        <v>0</v>
      </c>
      <c r="G175" s="40">
        <v>0</v>
      </c>
      <c r="H175" s="40">
        <v>0</v>
      </c>
      <c r="I175" s="40">
        <v>1</v>
      </c>
      <c r="J175" s="40">
        <v>0</v>
      </c>
      <c r="K175" s="17"/>
    </row>
    <row r="176" spans="1:11" x14ac:dyDescent="0.25">
      <c r="A176" s="4" t="s">
        <v>146</v>
      </c>
      <c r="B176" s="40">
        <v>0</v>
      </c>
      <c r="C176" s="40">
        <v>0</v>
      </c>
      <c r="D176" s="40">
        <v>0</v>
      </c>
      <c r="E176" s="40">
        <v>0</v>
      </c>
      <c r="F176" s="40">
        <v>0</v>
      </c>
      <c r="G176" s="40">
        <v>0</v>
      </c>
      <c r="H176" s="40">
        <v>0</v>
      </c>
      <c r="I176" s="40">
        <v>0</v>
      </c>
      <c r="J176" s="40">
        <v>1</v>
      </c>
      <c r="K176" s="17"/>
    </row>
    <row r="178" spans="1:3" ht="21" customHeight="1" x14ac:dyDescent="0.3">
      <c r="A178" s="1" t="s">
        <v>859</v>
      </c>
    </row>
    <row r="179" spans="1:3" x14ac:dyDescent="0.25">
      <c r="A179" s="2" t="s">
        <v>350</v>
      </c>
    </row>
    <row r="180" spans="1:3" x14ac:dyDescent="0.25">
      <c r="A180" s="32" t="s">
        <v>860</v>
      </c>
    </row>
    <row r="181" spans="1:3" x14ac:dyDescent="0.25">
      <c r="A181" s="32" t="s">
        <v>861</v>
      </c>
    </row>
    <row r="182" spans="1:3" x14ac:dyDescent="0.25">
      <c r="A182" s="2" t="s">
        <v>363</v>
      </c>
    </row>
    <row r="184" spans="1:3" ht="60" x14ac:dyDescent="0.25">
      <c r="B184" s="15" t="s">
        <v>862</v>
      </c>
    </row>
    <row r="185" spans="1:3" x14ac:dyDescent="0.25">
      <c r="A185" s="4" t="s">
        <v>139</v>
      </c>
      <c r="B185" s="39">
        <f>SUMPRODUCT(DRM!D$48:D$55,$B$169:$B$176)</f>
        <v>7.4201801181666971E-2</v>
      </c>
      <c r="C185" s="17"/>
    </row>
    <row r="186" spans="1:3" x14ac:dyDescent="0.25">
      <c r="A186" s="4" t="s">
        <v>140</v>
      </c>
      <c r="B186" s="39">
        <f>SUMPRODUCT(DRM!D$48:D$55,$C$169:$C$176)</f>
        <v>0.12446590978987637</v>
      </c>
      <c r="C186" s="17"/>
    </row>
    <row r="187" spans="1:3" x14ac:dyDescent="0.25">
      <c r="A187" s="4" t="s">
        <v>141</v>
      </c>
      <c r="B187" s="39">
        <f>SUMPRODUCT(DRM!D$48:D$55,$D$169:$D$176)</f>
        <v>0.12446590978987637</v>
      </c>
      <c r="C187" s="17"/>
    </row>
    <row r="188" spans="1:3" x14ac:dyDescent="0.25">
      <c r="A188" s="4" t="s">
        <v>142</v>
      </c>
      <c r="B188" s="39">
        <f>SUMPRODUCT(DRM!D$48:D$55,$E$169:$E$176)</f>
        <v>0.22216898031324406</v>
      </c>
      <c r="C188" s="17"/>
    </row>
    <row r="189" spans="1:3" x14ac:dyDescent="0.25">
      <c r="A189" s="4" t="s">
        <v>143</v>
      </c>
      <c r="B189" s="39">
        <f>SUMPRODUCT(DRM!D$48:D$55,$F$169:$F$176)</f>
        <v>0.22216898031324406</v>
      </c>
      <c r="C189" s="17"/>
    </row>
    <row r="190" spans="1:3" x14ac:dyDescent="0.25">
      <c r="A190" s="4" t="s">
        <v>148</v>
      </c>
      <c r="B190" s="39">
        <f>SUMPRODUCT(DRM!D$48:D$55,$G$169:$G$176)</f>
        <v>0.12446590978987637</v>
      </c>
      <c r="C190" s="17"/>
    </row>
    <row r="191" spans="1:3" x14ac:dyDescent="0.25">
      <c r="A191" s="4" t="s">
        <v>144</v>
      </c>
      <c r="B191" s="39">
        <f>SUMPRODUCT(DRM!D$48:D$55,$H$169:$H$176)</f>
        <v>0.59568257547110104</v>
      </c>
      <c r="C191" s="17"/>
    </row>
    <row r="192" spans="1:3" x14ac:dyDescent="0.25">
      <c r="A192" s="4" t="s">
        <v>145</v>
      </c>
      <c r="B192" s="39">
        <f>SUMPRODUCT(DRM!D$48:D$55,$I$169:$I$176)</f>
        <v>0.59568257547110104</v>
      </c>
      <c r="C192" s="17"/>
    </row>
    <row r="193" spans="1:11" x14ac:dyDescent="0.25">
      <c r="A193" s="4" t="s">
        <v>146</v>
      </c>
      <c r="B193" s="39">
        <f>SUMPRODUCT(DRM!D$48:D$55,$J$169:$J$176)</f>
        <v>0</v>
      </c>
      <c r="C193" s="17"/>
    </row>
    <row r="195" spans="1:11" ht="21" customHeight="1" x14ac:dyDescent="0.3">
      <c r="A195" s="1" t="s">
        <v>863</v>
      </c>
    </row>
    <row r="196" spans="1:11" x14ac:dyDescent="0.25">
      <c r="A196" s="2" t="s">
        <v>350</v>
      </c>
    </row>
    <row r="197" spans="1:11" x14ac:dyDescent="0.25">
      <c r="A197" s="32" t="s">
        <v>864</v>
      </c>
    </row>
    <row r="198" spans="1:11" x14ac:dyDescent="0.25">
      <c r="A198" s="32" t="s">
        <v>865</v>
      </c>
    </row>
    <row r="199" spans="1:11" x14ac:dyDescent="0.25">
      <c r="A199" s="2" t="s">
        <v>368</v>
      </c>
    </row>
    <row r="201" spans="1:11" x14ac:dyDescent="0.25">
      <c r="B201" s="15" t="s">
        <v>139</v>
      </c>
      <c r="C201" s="15" t="s">
        <v>140</v>
      </c>
      <c r="D201" s="15" t="s">
        <v>141</v>
      </c>
      <c r="E201" s="15" t="s">
        <v>142</v>
      </c>
      <c r="F201" s="15" t="s">
        <v>143</v>
      </c>
      <c r="G201" s="15" t="s">
        <v>148</v>
      </c>
      <c r="H201" s="15" t="s">
        <v>144</v>
      </c>
      <c r="I201" s="15" t="s">
        <v>145</v>
      </c>
      <c r="J201" s="15" t="s">
        <v>146</v>
      </c>
    </row>
    <row r="202" spans="1:11" x14ac:dyDescent="0.25">
      <c r="A202" s="4" t="s">
        <v>866</v>
      </c>
      <c r="B202" s="41">
        <f>$B$185</f>
        <v>7.4201801181666971E-2</v>
      </c>
      <c r="C202" s="41">
        <f>$B$186</f>
        <v>0.12446590978987637</v>
      </c>
      <c r="D202" s="41">
        <f>$B$187</f>
        <v>0.12446590978987637</v>
      </c>
      <c r="E202" s="41">
        <f>$B$188</f>
        <v>0.22216898031324406</v>
      </c>
      <c r="F202" s="41">
        <f>$B$189</f>
        <v>0.22216898031324406</v>
      </c>
      <c r="G202" s="41">
        <f>$B$190</f>
        <v>0.12446590978987637</v>
      </c>
      <c r="H202" s="41">
        <f>$B$191</f>
        <v>0.59568257547110104</v>
      </c>
      <c r="I202" s="41">
        <f>$B$192</f>
        <v>0.59568257547110104</v>
      </c>
      <c r="J202" s="41">
        <f>$B164</f>
        <v>0.82946454792314084</v>
      </c>
      <c r="K202" s="17"/>
    </row>
    <row r="204" spans="1:11" ht="21" customHeight="1" x14ac:dyDescent="0.3">
      <c r="A204" s="1" t="s">
        <v>867</v>
      </c>
    </row>
    <row r="205" spans="1:11" x14ac:dyDescent="0.25">
      <c r="A205" s="2" t="s">
        <v>350</v>
      </c>
    </row>
    <row r="206" spans="1:11" x14ac:dyDescent="0.25">
      <c r="A206" s="32" t="s">
        <v>868</v>
      </c>
    </row>
    <row r="207" spans="1:11" x14ac:dyDescent="0.25">
      <c r="A207" s="32" t="s">
        <v>855</v>
      </c>
    </row>
    <row r="208" spans="1:11" x14ac:dyDescent="0.25">
      <c r="A208" s="32" t="s">
        <v>869</v>
      </c>
    </row>
    <row r="209" spans="1:11" x14ac:dyDescent="0.25">
      <c r="A209" s="32" t="s">
        <v>870</v>
      </c>
    </row>
    <row r="210" spans="1:11" x14ac:dyDescent="0.25">
      <c r="A210" s="2" t="s">
        <v>871</v>
      </c>
    </row>
    <row r="212" spans="1:11" x14ac:dyDescent="0.25">
      <c r="B212" s="15" t="s">
        <v>139</v>
      </c>
      <c r="C212" s="15" t="s">
        <v>140</v>
      </c>
      <c r="D212" s="15" t="s">
        <v>141</v>
      </c>
      <c r="E212" s="15" t="s">
        <v>142</v>
      </c>
      <c r="F212" s="15" t="s">
        <v>143</v>
      </c>
      <c r="G212" s="15" t="s">
        <v>148</v>
      </c>
      <c r="H212" s="15" t="s">
        <v>144</v>
      </c>
      <c r="I212" s="15" t="s">
        <v>145</v>
      </c>
      <c r="J212" s="15" t="s">
        <v>146</v>
      </c>
    </row>
    <row r="213" spans="1:11" ht="30" x14ac:dyDescent="0.25">
      <c r="A213" s="4" t="s">
        <v>872</v>
      </c>
      <c r="B213" s="21">
        <f>SMD!B141-B155+B120/(1+B202)</f>
        <v>3706165.2496858817</v>
      </c>
      <c r="C213" s="21">
        <f>SMD!C141-C155+C120/(1+C202)</f>
        <v>3587870.5096247657</v>
      </c>
      <c r="D213" s="21">
        <f>SMD!D141-D155+D120/(1+D202)</f>
        <v>3570339.508507208</v>
      </c>
      <c r="E213" s="21">
        <f>SMD!E141-E155+E120/(1+E202)</f>
        <v>3651668.0107658473</v>
      </c>
      <c r="F213" s="21">
        <f>SMD!F141-F155+F120/(1+F202)</f>
        <v>4221090.6160405157</v>
      </c>
      <c r="G213" s="21">
        <f>SMD!G141-G155+G120/(1+G202)</f>
        <v>0</v>
      </c>
      <c r="H213" s="21">
        <f>SMD!H141-H155+H120/(1+H202)</f>
        <v>4302317.2822702127</v>
      </c>
      <c r="I213" s="21">
        <f>SMD!I141-I155+I120/(1+I202)</f>
        <v>3648351.1073998027</v>
      </c>
      <c r="J213" s="21">
        <f>SMD!J141-J155+J120/(1+J202)</f>
        <v>2471376.705245594</v>
      </c>
      <c r="K213" s="17"/>
    </row>
  </sheetData>
  <sheetProtection sheet="1" objects="1" scenarios="1"/>
  <hyperlinks>
    <hyperlink ref="A5" location="'AMD'!B12" display="x1 = Standing charges factors (in Pre-processing of data for standing charge factors)"/>
    <hyperlink ref="A6" location="'Input'!B79" display="x2 = 1018. Proportion of relevant load going through 132kV/HV direct transformation"/>
    <hyperlink ref="A7" location="'AMD'!J12" display="x3 = Standing charges factors for 132kV/HV (in Pre-processing of data for standing charge factors)"/>
    <hyperlink ref="A35" location="'AMD'!J12" display="x1 = 2601. Standing charges factors for 132kV/HV (in Pre-processing of data for standing charge factors)"/>
    <hyperlink ref="A36" location="'AMD'!K12" display="x2 = 2601. Adjusted standing charges factors for 132kV (in Pre-processing of data for standing charge factors)"/>
    <hyperlink ref="A37" location="'AMD'!B12" display="x3 = 2601. Standing charges factors (in Pre-processing of data for standing charge factors)"/>
    <hyperlink ref="A63" location="'Loads'!F301" display="x1 = 2305. Import capacity (kVA) (in Equivalent volume for each end user)"/>
    <hyperlink ref="A64" location="'Input'!E57" display="x2 = 1010. Power factor for all flows in the network model (in Financial and general assumptions)"/>
    <hyperlink ref="A65" location="'AMD'!B40" display="x3 = 2602. Standing charges factors adapted to use 132kV/HV"/>
    <hyperlink ref="A66" location="'LAFs'!B236" display="x4 = 2012. Loss adjustment factors between end user meter reading and each network level, scaled by network use"/>
    <hyperlink ref="A76" location="'Multi'!B118" display="x1 = 2407. All units (MWh)"/>
    <hyperlink ref="A77" location="'Input'!C164" display="x2 = 1041. Load factor for each type of demand user (in Load profile data for demand users)"/>
    <hyperlink ref="A78" location="'AMD'!B40" display="x3 = 2602. Standing charges factors adapted to use 132kV/HV"/>
    <hyperlink ref="A79" location="'LAFs'!B236" display="x4 = 2012. Loss adjustment factors between end user meter reading and each network level, scaled by network use"/>
    <hyperlink ref="A80" location="'Input'!F57" display="x5 = 1010. Days in the charging year (in Financial and general assumptions)"/>
    <hyperlink ref="A96" location="'AMD'!B69" display="x1 = 2603. Capacity-based contributions to chargeable aggregate maximum load by network level (kW)"/>
    <hyperlink ref="A97" location="'AMD'!B83" display="x2 = 2604. Unit-based contributions to chargeable aggregate maximum load (kW)"/>
    <hyperlink ref="A116" location="'AMD'!B100" display="x1 = 2605. Contributions to aggregate maximum load by network level (kW)"/>
    <hyperlink ref="A124" location="'SMD'!B106" display="x1 = 2505. Contributions of users on each tariff to system simultaneous maximum load by network level (kW)"/>
    <hyperlink ref="A125" location="'AMD'!B40" display="x2 = 2602. Standing charges factors adapted to use 132kV/HV"/>
    <hyperlink ref="A151" location="'AMD'!B128" display="x1 = 2607. Forecast simultaneous load subject to standing charge factors (kW)"/>
    <hyperlink ref="A159" location="'AMD'!B119" display="x1 = 2606. Forecast chargeable aggregate maximum load (kW)"/>
    <hyperlink ref="A160" location="'AMD'!B154" display="x2 = 2608. Forecast simultaneous load replaced by standing charge (kW)"/>
    <hyperlink ref="A180" location="'DRM'!D47" display="x1 = 2104. Diversity allowance between level exit and GSP Group (in Diversity calculations)"/>
    <hyperlink ref="A181" location="'AMD'!B168" display="x2 = 2610. Network level mapping for diversity allowances"/>
    <hyperlink ref="A197" location="'AMD'!B163" display="x1 = 2609. Calculated LV diversity allowance"/>
    <hyperlink ref="A198" location="'AMD'!B184" display="x2 = 2611. Diversity allowances including 132kV/HV"/>
    <hyperlink ref="A206" location="'SMD'!B140" display="x1 = 2506. Forecast system simultaneous maximum load (kW) from forecast units"/>
    <hyperlink ref="A207" location="'AMD'!B154" display="x2 = 2608. Forecast simultaneous load replaced by standing charge (kW)"/>
    <hyperlink ref="A208" location="'AMD'!B119" display="x3 = 2606. Forecast chargeable aggregate maximum load (kW)"/>
    <hyperlink ref="A209" location="'AMD'!B201" display="x4 = 2612. Diversity allowances (including calculated LV value)"/>
  </hyperlinks>
  <pageMargins left="0.7" right="0.7" top="0.75" bottom="0.75" header="0.3" footer="0.3"/>
  <pageSetup paperSize="9" fitToHeight="0" orientation="portrait"/>
  <headerFooter>
    <oddHeader>&amp;L&amp;A&amp;C&amp;R&amp;P of &amp;N</oddHeader>
    <oddFooter>&amp;F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2</vt:i4>
      </vt:variant>
    </vt:vector>
  </HeadingPairs>
  <TitlesOfParts>
    <vt:vector size="22" baseType="lpstr">
      <vt:lpstr>Index</vt:lpstr>
      <vt:lpstr>Input</vt:lpstr>
      <vt:lpstr>LAFs</vt:lpstr>
      <vt:lpstr>DRM</vt:lpstr>
      <vt:lpstr>SM</vt:lpstr>
      <vt:lpstr>Loads</vt:lpstr>
      <vt:lpstr>Multi</vt:lpstr>
      <vt:lpstr>SMD</vt:lpstr>
      <vt:lpstr>AMD</vt:lpstr>
      <vt:lpstr>Otex</vt:lpstr>
      <vt:lpstr>Contrib</vt:lpstr>
      <vt:lpstr>Yard</vt:lpstr>
      <vt:lpstr>Standing</vt:lpstr>
      <vt:lpstr>AggCap</vt:lpstr>
      <vt:lpstr>Reactive</vt:lpstr>
      <vt:lpstr>Aggreg</vt:lpstr>
      <vt:lpstr>Revenue</vt:lpstr>
      <vt:lpstr>Scaler</vt:lpstr>
      <vt:lpstr>G-Calc</vt:lpstr>
      <vt:lpstr>G-Discounts</vt:lpstr>
      <vt:lpstr>Input!Print_Area</vt:lpstr>
      <vt:lpstr>Multi!Print_Area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Shankar Rajagopalan</cp:lastModifiedBy>
  <dcterms:created xsi:type="dcterms:W3CDTF">2016-10-19T06:18:54Z</dcterms:created>
  <dcterms:modified xsi:type="dcterms:W3CDTF">2016-11-24T20:02:10Z</dcterms:modified>
</cp:coreProperties>
</file>