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0" windowWidth="19875" windowHeight="6630" activeTab="3"/>
  </bookViews>
  <sheets>
    <sheet name="WPD SW CALCs Without UMC Ratio " sheetId="4" r:id="rId1"/>
    <sheet name="CMS COMPARISON  # 1" sheetId="1" r:id="rId2"/>
    <sheet name="CMS COMPARISON # 2" sheetId="2" r:id="rId3"/>
    <sheet name="Analysis" sheetId="3" r:id="rId4"/>
  </sheets>
  <definedNames>
    <definedName name="aa">Analysis!$1:$1048576</definedName>
  </definedNames>
  <calcPr calcId="144525"/>
</workbook>
</file>

<file path=xl/calcChain.xml><?xml version="1.0" encoding="utf-8"?>
<calcChain xmlns="http://schemas.openxmlformats.org/spreadsheetml/2006/main">
  <c r="B26" i="3" l="1"/>
  <c r="B37" i="3"/>
  <c r="C38" i="3"/>
  <c r="C39" i="3" s="1"/>
  <c r="C27" i="3"/>
  <c r="C28" i="3" s="1"/>
  <c r="C2" i="3"/>
  <c r="E31" i="3"/>
  <c r="D31" i="3"/>
  <c r="C31" i="3"/>
  <c r="E20" i="3"/>
  <c r="D20" i="3"/>
  <c r="C20" i="3"/>
  <c r="E16" i="3"/>
  <c r="D16" i="3"/>
  <c r="C16" i="3"/>
  <c r="C21" i="3" s="1"/>
  <c r="B15" i="4" l="1"/>
  <c r="I12" i="4"/>
  <c r="H12" i="4"/>
  <c r="H11" i="4"/>
  <c r="I11" i="4" s="1"/>
  <c r="I7" i="4"/>
  <c r="H7" i="4"/>
  <c r="H6" i="4"/>
  <c r="I6" i="4" s="1"/>
  <c r="I5" i="4"/>
  <c r="H5" i="4"/>
  <c r="H4" i="4"/>
  <c r="I4" i="4" s="1"/>
  <c r="H3" i="4"/>
  <c r="I3" i="4" s="1"/>
  <c r="I15" i="4" l="1"/>
  <c r="H15" i="4"/>
  <c r="J3" i="4" l="1"/>
  <c r="C36" i="2" l="1"/>
  <c r="B36" i="2"/>
  <c r="D36" i="2" s="1"/>
  <c r="E36" i="2" s="1"/>
  <c r="D35" i="2"/>
  <c r="E35" i="2" s="1"/>
  <c r="D34" i="2"/>
  <c r="E34" i="2" s="1"/>
  <c r="D33" i="2"/>
  <c r="E33" i="2" s="1"/>
  <c r="D32" i="2"/>
  <c r="E32" i="2" s="1"/>
  <c r="D31" i="2"/>
  <c r="E31" i="2" s="1"/>
  <c r="D30" i="2"/>
  <c r="E30" i="2" s="1"/>
  <c r="D29" i="2"/>
  <c r="E29" i="2" s="1"/>
  <c r="D28" i="2"/>
  <c r="E28" i="2" s="1"/>
  <c r="D27" i="2"/>
  <c r="E27" i="2" s="1"/>
  <c r="D26" i="2"/>
  <c r="E26" i="2" s="1"/>
  <c r="D25" i="2"/>
  <c r="E25" i="2" s="1"/>
  <c r="D24" i="2"/>
  <c r="E24" i="2" s="1"/>
  <c r="D23" i="2"/>
  <c r="E23" i="2" s="1"/>
  <c r="D22" i="2"/>
  <c r="E22" i="2" s="1"/>
  <c r="D21" i="2"/>
  <c r="E21" i="2" s="1"/>
  <c r="D20" i="2"/>
  <c r="E20" i="2" s="1"/>
  <c r="D19" i="2"/>
  <c r="E19" i="2" s="1"/>
  <c r="D18" i="2"/>
  <c r="E18" i="2" s="1"/>
  <c r="D17" i="2"/>
  <c r="E17" i="2" s="1"/>
  <c r="D16" i="2"/>
  <c r="E16" i="2" s="1"/>
  <c r="D15" i="2"/>
  <c r="E15" i="2" s="1"/>
  <c r="D14" i="2"/>
  <c r="E14" i="2" s="1"/>
  <c r="D13" i="2"/>
  <c r="E13" i="2" s="1"/>
  <c r="D12" i="2"/>
  <c r="E12" i="2" s="1"/>
  <c r="D11" i="2"/>
  <c r="E11" i="2" s="1"/>
  <c r="D10" i="2"/>
  <c r="E10" i="2" s="1"/>
  <c r="D9" i="2"/>
  <c r="E9" i="2" s="1"/>
  <c r="D8" i="2"/>
  <c r="E8" i="2" s="1"/>
  <c r="D7" i="2"/>
  <c r="E7" i="2" s="1"/>
  <c r="D6" i="2"/>
  <c r="E6" i="2" s="1"/>
  <c r="C36" i="1" l="1"/>
  <c r="B36" i="1"/>
  <c r="D35" i="1"/>
  <c r="E35" i="1" s="1"/>
  <c r="D34" i="1"/>
  <c r="E34" i="1" s="1"/>
  <c r="D33" i="1"/>
  <c r="E33" i="1" s="1"/>
  <c r="D32" i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D17" i="1"/>
  <c r="E17" i="1" s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  <c r="D10" i="1"/>
  <c r="E10" i="1" s="1"/>
  <c r="D9" i="1"/>
  <c r="E9" i="1" s="1"/>
  <c r="D8" i="1"/>
  <c r="E8" i="1" s="1"/>
  <c r="D7" i="1"/>
  <c r="E7" i="1" s="1"/>
  <c r="D6" i="1"/>
  <c r="E6" i="1" s="1"/>
  <c r="D36" i="1" l="1"/>
  <c r="E36" i="1" l="1"/>
  <c r="E22" i="3" l="1"/>
  <c r="E33" i="3"/>
  <c r="D33" i="3"/>
  <c r="D22" i="3"/>
  <c r="D32" i="3"/>
  <c r="C33" i="3"/>
  <c r="C22" i="3"/>
  <c r="C23" i="3" s="1"/>
  <c r="D21" i="3"/>
  <c r="E21" i="3"/>
  <c r="E23" i="3" s="1"/>
  <c r="C32" i="3"/>
  <c r="E32" i="3"/>
  <c r="C34" i="3" l="1"/>
  <c r="E34" i="3"/>
  <c r="D34" i="3"/>
  <c r="D23" i="3"/>
  <c r="C24" i="3" s="1"/>
  <c r="C35" i="3" l="1"/>
  <c r="C36" i="3" s="1"/>
  <c r="C37" i="3"/>
  <c r="C26" i="3"/>
  <c r="C25" i="3"/>
</calcChain>
</file>

<file path=xl/sharedStrings.xml><?xml version="1.0" encoding="utf-8"?>
<sst xmlns="http://schemas.openxmlformats.org/spreadsheetml/2006/main" count="115" uniqueCount="84">
  <si>
    <t>Consumption</t>
  </si>
  <si>
    <t xml:space="preserve">   Date    </t>
  </si>
  <si>
    <t>kWh</t>
  </si>
  <si>
    <t>CMS</t>
  </si>
  <si>
    <t>Dusk to Dawn</t>
  </si>
  <si>
    <t>Difference</t>
  </si>
  <si>
    <t xml:space="preserve">kWh </t>
  </si>
  <si>
    <t>%</t>
  </si>
  <si>
    <t>Totals</t>
  </si>
  <si>
    <t>Based on an example of 49,465 street lights</t>
  </si>
  <si>
    <t>Example Dusk to Dawn/CMS kWh comparison based on 49,465 street lights</t>
  </si>
  <si>
    <t>Example 1</t>
  </si>
  <si>
    <t>NHH UMS category A</t>
  </si>
  <si>
    <t>NHH UMS category B</t>
  </si>
  <si>
    <t>NHH UMS category C</t>
  </si>
  <si>
    <t>NHH UMS category D</t>
  </si>
  <si>
    <t>LV UMS (Pseudo HH Metered)</t>
  </si>
  <si>
    <t>Number of connections</t>
  </si>
  <si>
    <t>Example 2</t>
  </si>
  <si>
    <t>Example Dusk to Dawn/CMS kWh comparison based on 38,843 street lights</t>
  </si>
  <si>
    <t>Average Weighted Discount = Sum Product/ Sum of UMS Connections</t>
  </si>
  <si>
    <t xml:space="preserve">EDCM Model Data </t>
  </si>
  <si>
    <t>Boundary category</t>
  </si>
  <si>
    <t>Total number of Domestic Unrestricted MPANS connected to Embedded LDNO Networks within the ALL DNO  DSAs.</t>
  </si>
  <si>
    <t>EHV FCP/LRIC Model                 Data Source</t>
  </si>
  <si>
    <t>Example of Embedded network (LDNO) discounts</t>
  </si>
  <si>
    <t>UMC Ratio</t>
  </si>
  <si>
    <t>Total number of Domestic Unrestricted MPANS connected to Embedded LDNO Networks within all DNO  DSAs.</t>
  </si>
  <si>
    <t>Total number of Domestic Unrestricted MPANS connected to Embedded LDNO Networks within all DNO  DSAs X Average LDNO Discount.</t>
  </si>
  <si>
    <t>Boundary 0000</t>
  </si>
  <si>
    <t>Table 1183. LDNO volume data  cell E89</t>
  </si>
  <si>
    <t>Table 1181. LDNO discounts  cell B53</t>
  </si>
  <si>
    <t>Boundary 132kV</t>
  </si>
  <si>
    <t>Table 1183. LDNO volume data  cell E90</t>
  </si>
  <si>
    <t>Table 1181. LDNO discounts  cell B54</t>
  </si>
  <si>
    <t>Boundary 132kV/EHV</t>
  </si>
  <si>
    <t>Table 1183. LDNO volume data  cell E91</t>
  </si>
  <si>
    <t>Table 1181. LDNO discounts  cell B55</t>
  </si>
  <si>
    <t>Boundary EHV</t>
  </si>
  <si>
    <t>Table 1183. LDNO volume data  cell E92</t>
  </si>
  <si>
    <t>Table 1181. LDNO discounts  cell B56</t>
  </si>
  <si>
    <t>Boundary HVplus</t>
  </si>
  <si>
    <t>Table 1183. LDNO volume data  cell E93</t>
  </si>
  <si>
    <t>Table 1181. LDNO discounts  cell B57</t>
  </si>
  <si>
    <t>CDCM Model Data</t>
  </si>
  <si>
    <t>Total number of Domestic Unrestricted MPANS connected to Embedded LDNO Networks within the DNO's  DSA.</t>
  </si>
  <si>
    <t>CDCM Model 103                        Data Source</t>
  </si>
  <si>
    <t>Embedded network (LDNO) discounts</t>
  </si>
  <si>
    <t>LDNO HV</t>
  </si>
  <si>
    <t>Table 1053 Volume forecasts for the charging year                       cell E145</t>
  </si>
  <si>
    <t>Table 1037 Embedded network (LDNO) discounts cell D111</t>
  </si>
  <si>
    <t>LDNO LV</t>
  </si>
  <si>
    <t>Table 1053 Volume forecasts for the charging year                       cell E144</t>
  </si>
  <si>
    <t>Table 1037 Embedded network (LDNO) discounts cell C111</t>
  </si>
  <si>
    <t>DNO UMS Tariffs</t>
  </si>
  <si>
    <t>Value of error (£) across portfolio per UMS connection per month</t>
  </si>
  <si>
    <t xml:space="preserve"> values caculated based on the assumption that all connections are made directly to EDNO networks</t>
  </si>
  <si>
    <t>WPD SWest Forecast Demand of UMS Connections in the charging period</t>
  </si>
  <si>
    <t>formula</t>
  </si>
  <si>
    <t>Tariff</t>
  </si>
  <si>
    <t xml:space="preserve">Percentage of HH units consumed in each Distribution System Time Band </t>
  </si>
  <si>
    <t>A1= Unit rate 1 p/kWh</t>
  </si>
  <si>
    <t>A2= Unit rate 2 p/kWh</t>
  </si>
  <si>
    <t>A3= Unit rate 3 p/kWh</t>
  </si>
  <si>
    <t>B1= Rate 1 units in MWhrs</t>
  </si>
  <si>
    <t>C1</t>
  </si>
  <si>
    <t>C2</t>
  </si>
  <si>
    <t>C3</t>
  </si>
  <si>
    <t>C1= B1/(sum(B1, B2, B3))</t>
  </si>
  <si>
    <t>C2= B2/(sum(B1, B2, B3))</t>
  </si>
  <si>
    <t>C3= B3/(sum(B1, B2, B3))</t>
  </si>
  <si>
    <t>D = Value (£) of dusk to dawn KWhr caclutated data, ignoring CMS across Customer's portfolio in each DTB.</t>
  </si>
  <si>
    <t>E= Value (£) of CMS HH caclutated data across Customer's portfolio in each DTB.</t>
  </si>
  <si>
    <t xml:space="preserve">D - E= Value of the error (£) caused by ignoring CMS data in each DTB  </t>
  </si>
  <si>
    <t>Total Value of error (£) across portfolio across all DTBs</t>
  </si>
  <si>
    <t>CMS Customer Portfolio Sample Number 1                         (1 month of CMS data from 49,465 street lights)</t>
  </si>
  <si>
    <t>CMS Customer Portfolio Sample Number 2                    (1 month of CMS data from 38,843  street lights)</t>
  </si>
  <si>
    <t>values (C1,C2,C3)</t>
  </si>
  <si>
    <t xml:space="preserve">Value of error (£) per month across portfolio if 1%  of UMS connections were made to EDNO networks. </t>
  </si>
  <si>
    <t>Estimate of error as a percentage of the value (£) of inter-distributor DUOS settlement nationally per month based on reported figures of circa 130,000 EDNO domestic connections nationally</t>
  </si>
  <si>
    <t>Estimate valued (£) of inter-distributor DUOS settlement nationally per month based on reported figures of circa 130,000 EDNO domestic connections nationally</t>
  </si>
  <si>
    <t>Average DUOS bill in GB collated from Ofgem latest published data on domestic electricity charges located at https://www.ofgem.gov.uk/ofgem-publications/64006/household-bills.pdf</t>
  </si>
  <si>
    <t>Approximate Number of EDNO domestic customers in GB (based on data proivded to the WG by DNOs)</t>
  </si>
  <si>
    <t>Approximate Number of DNO domestic customers in GB (accroding to 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</si>
</sst>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£&quot;* #,##0.00_-;\-&quot;£&quot;* #,##0.00_-;_-&quot;£&quot;* &quot;-&quot;??_-;_-@_-"/>
    <numFmt numFmtId="43" formatCode="_-* #,##0.00_-;\-* #,##0.00_-;_-* &quot;-&quot;??_-;_-@_-"/>
    <numFmt numFmtId="165" formatCode="&quot;£&quot;#,##0.00"/>
    <numFmt numFmtId="166" formatCode="0.0%"/>
    <numFmt numFmtId="167" formatCode="#,##0.000"/>
    <numFmt numFmtId="171" formatCode="0.000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0"/>
      <color indexed="8"/>
      <name val="Verdana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21" fillId="0" borderId="0"/>
    <xf numFmtId="43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21" fillId="0" borderId="0"/>
    <xf numFmtId="0" fontId="21" fillId="0" borderId="0"/>
    <xf numFmtId="9" fontId="23" fillId="0" borderId="0" applyFont="0" applyFill="0" applyBorder="0" applyAlignment="0" applyProtection="0"/>
  </cellStyleXfs>
  <cellXfs count="78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10" fontId="0" fillId="0" borderId="0" xfId="0" applyNumberFormat="1"/>
    <xf numFmtId="1" fontId="0" fillId="0" borderId="0" xfId="0" applyNumberFormat="1"/>
    <xf numFmtId="0" fontId="16" fillId="0" borderId="10" xfId="0" applyFont="1" applyBorder="1"/>
    <xf numFmtId="3" fontId="16" fillId="0" borderId="10" xfId="0" applyNumberFormat="1" applyFont="1" applyBorder="1"/>
    <xf numFmtId="10" fontId="16" fillId="0" borderId="10" xfId="0" applyNumberFormat="1" applyFont="1" applyBorder="1"/>
    <xf numFmtId="0" fontId="18" fillId="0" borderId="0" xfId="0" applyFont="1"/>
    <xf numFmtId="0" fontId="16" fillId="0" borderId="0" xfId="0" applyFont="1"/>
    <xf numFmtId="3" fontId="0" fillId="0" borderId="0" xfId="0" applyNumberFormat="1"/>
    <xf numFmtId="0" fontId="20" fillId="0" borderId="0" xfId="42"/>
    <xf numFmtId="0" fontId="22" fillId="0" borderId="0" xfId="42" applyFont="1"/>
    <xf numFmtId="0" fontId="19" fillId="34" borderId="12" xfId="42" applyFont="1" applyFill="1" applyBorder="1" applyAlignment="1">
      <alignment vertical="center" wrapText="1"/>
    </xf>
    <xf numFmtId="0" fontId="19" fillId="34" borderId="11" xfId="42" applyFont="1" applyFill="1" applyBorder="1" applyAlignment="1">
      <alignment vertical="center" wrapText="1"/>
    </xf>
    <xf numFmtId="0" fontId="19" fillId="34" borderId="13" xfId="42" applyFont="1" applyFill="1" applyBorder="1" applyAlignment="1">
      <alignment vertical="center" wrapText="1"/>
    </xf>
    <xf numFmtId="0" fontId="19" fillId="34" borderId="14" xfId="42" applyFont="1" applyFill="1" applyBorder="1" applyAlignment="1">
      <alignment vertical="center" wrapText="1"/>
    </xf>
    <xf numFmtId="0" fontId="22" fillId="0" borderId="0" xfId="43" applyFont="1"/>
    <xf numFmtId="1" fontId="19" fillId="34" borderId="15" xfId="42" applyNumberFormat="1" applyFont="1" applyFill="1" applyBorder="1" applyAlignment="1">
      <alignment vertical="center" wrapText="1"/>
    </xf>
    <xf numFmtId="49" fontId="19" fillId="34" borderId="16" xfId="42" applyNumberFormat="1" applyFont="1" applyFill="1" applyBorder="1" applyAlignment="1">
      <alignment vertical="center" wrapText="1"/>
    </xf>
    <xf numFmtId="1" fontId="21" fillId="33" borderId="17" xfId="42" applyNumberFormat="1" applyFont="1" applyFill="1" applyBorder="1" applyAlignment="1" applyProtection="1">
      <alignment horizontal="center"/>
      <protection locked="0"/>
    </xf>
    <xf numFmtId="166" fontId="21" fillId="33" borderId="18" xfId="42" applyNumberFormat="1" applyFont="1" applyFill="1" applyBorder="1" applyAlignment="1" applyProtection="1">
      <alignment horizontal="center" wrapText="1"/>
      <protection locked="0"/>
    </xf>
    <xf numFmtId="166" fontId="20" fillId="35" borderId="19" xfId="42" applyNumberFormat="1" applyFill="1" applyBorder="1" applyAlignment="1" applyProtection="1">
      <alignment horizontal="center" wrapText="1"/>
      <protection locked="0"/>
    </xf>
    <xf numFmtId="166" fontId="21" fillId="35" borderId="18" xfId="42" applyNumberFormat="1" applyFont="1" applyFill="1" applyBorder="1" applyAlignment="1" applyProtection="1">
      <alignment horizontal="center" wrapText="1"/>
      <protection locked="0"/>
    </xf>
    <xf numFmtId="2" fontId="21" fillId="33" borderId="20" xfId="43" applyNumberFormat="1" applyFont="1" applyFill="1" applyBorder="1" applyAlignment="1" applyProtection="1">
      <alignment horizontal="center"/>
      <protection locked="0"/>
    </xf>
    <xf numFmtId="1" fontId="21" fillId="33" borderId="17" xfId="44" applyNumberFormat="1" applyFont="1" applyFill="1" applyBorder="1" applyAlignment="1" applyProtection="1">
      <alignment horizontal="center"/>
      <protection locked="0"/>
    </xf>
    <xf numFmtId="10" fontId="20" fillId="0" borderId="0" xfId="42" applyNumberFormat="1"/>
    <xf numFmtId="49" fontId="19" fillId="34" borderId="21" xfId="42" applyNumberFormat="1" applyFont="1" applyFill="1" applyBorder="1" applyAlignment="1">
      <alignment vertical="center" wrapText="1"/>
    </xf>
    <xf numFmtId="0" fontId="21" fillId="0" borderId="0" xfId="42" applyFont="1"/>
    <xf numFmtId="1" fontId="21" fillId="0" borderId="0" xfId="42" applyNumberFormat="1" applyFont="1"/>
    <xf numFmtId="1" fontId="20" fillId="0" borderId="0" xfId="42" applyNumberFormat="1"/>
    <xf numFmtId="0" fontId="19" fillId="34" borderId="15" xfId="42" applyFont="1" applyFill="1" applyBorder="1" applyAlignment="1">
      <alignment vertical="center" wrapText="1"/>
    </xf>
    <xf numFmtId="0" fontId="19" fillId="34" borderId="22" xfId="42" applyFont="1" applyFill="1" applyBorder="1" applyAlignment="1">
      <alignment vertical="center" wrapText="1"/>
    </xf>
    <xf numFmtId="0" fontId="19" fillId="34" borderId="23" xfId="42" applyFont="1" applyFill="1" applyBorder="1" applyAlignment="1">
      <alignment vertical="center" wrapText="1"/>
    </xf>
    <xf numFmtId="0" fontId="19" fillId="34" borderId="16" xfId="42" applyFont="1" applyFill="1" applyBorder="1" applyAlignment="1">
      <alignment vertical="center" wrapText="1"/>
    </xf>
    <xf numFmtId="166" fontId="20" fillId="35" borderId="18" xfId="42" applyNumberFormat="1" applyFill="1" applyBorder="1" applyAlignment="1" applyProtection="1">
      <alignment horizontal="center" wrapText="1"/>
      <protection locked="0"/>
    </xf>
    <xf numFmtId="0" fontId="19" fillId="34" borderId="21" xfId="42" applyFont="1" applyFill="1" applyBorder="1" applyAlignment="1">
      <alignment vertical="center" wrapText="1"/>
    </xf>
    <xf numFmtId="0" fontId="19" fillId="34" borderId="24" xfId="42" applyFont="1" applyFill="1" applyBorder="1" applyAlignment="1">
      <alignment vertical="center" wrapText="1"/>
    </xf>
    <xf numFmtId="1" fontId="20" fillId="0" borderId="24" xfId="42" applyNumberFormat="1" applyBorder="1" applyAlignment="1">
      <alignment horizontal="center"/>
    </xf>
    <xf numFmtId="49" fontId="19" fillId="0" borderId="0" xfId="0" applyNumberFormat="1" applyFont="1" applyFill="1" applyAlignment="1">
      <alignment horizontal="left" vertical="center" wrapText="1"/>
    </xf>
    <xf numFmtId="0" fontId="16" fillId="0" borderId="0" xfId="0" applyFont="1" applyAlignment="1"/>
    <xf numFmtId="49" fontId="19" fillId="37" borderId="10" xfId="0" applyNumberFormat="1" applyFont="1" applyFill="1" applyBorder="1" applyAlignment="1">
      <alignment horizontal="left" vertical="center" wrapText="1"/>
    </xf>
    <xf numFmtId="165" fontId="0" fillId="0" borderId="10" xfId="0" applyNumberFormat="1" applyBorder="1"/>
    <xf numFmtId="0" fontId="0" fillId="0" borderId="10" xfId="0" applyBorder="1" applyAlignment="1">
      <alignment horizontal="center"/>
    </xf>
    <xf numFmtId="165" fontId="0" fillId="0" borderId="25" xfId="0" applyNumberFormat="1" applyBorder="1" applyAlignment="1">
      <alignment horizontal="center"/>
    </xf>
    <xf numFmtId="165" fontId="0" fillId="0" borderId="26" xfId="0" applyNumberFormat="1" applyBorder="1" applyAlignment="1">
      <alignment horizontal="center"/>
    </xf>
    <xf numFmtId="165" fontId="0" fillId="0" borderId="27" xfId="0" applyNumberFormat="1" applyBorder="1" applyAlignment="1">
      <alignment horizontal="center"/>
    </xf>
    <xf numFmtId="49" fontId="19" fillId="37" borderId="25" xfId="0" applyNumberFormat="1" applyFont="1" applyFill="1" applyBorder="1" applyAlignment="1">
      <alignment horizontal="left" vertical="center" wrapText="1"/>
    </xf>
    <xf numFmtId="165" fontId="0" fillId="0" borderId="29" xfId="0" applyNumberFormat="1" applyBorder="1" applyAlignment="1">
      <alignment horizontal="center"/>
    </xf>
    <xf numFmtId="165" fontId="0" fillId="0" borderId="30" xfId="0" applyNumberFormat="1" applyBorder="1" applyAlignment="1">
      <alignment horizontal="center"/>
    </xf>
    <xf numFmtId="165" fontId="0" fillId="0" borderId="31" xfId="0" applyNumberFormat="1" applyBorder="1" applyAlignment="1">
      <alignment horizontal="center"/>
    </xf>
    <xf numFmtId="0" fontId="0" fillId="0" borderId="25" xfId="0" applyBorder="1" applyAlignment="1">
      <alignment horizontal="center"/>
    </xf>
    <xf numFmtId="49" fontId="19" fillId="36" borderId="10" xfId="0" applyNumberFormat="1" applyFont="1" applyFill="1" applyBorder="1" applyAlignment="1">
      <alignment horizontal="center" vertical="center" wrapText="1"/>
    </xf>
    <xf numFmtId="49" fontId="19" fillId="36" borderId="27" xfId="0" applyNumberFormat="1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16" fillId="36" borderId="25" xfId="0" applyFont="1" applyFill="1" applyBorder="1"/>
    <xf numFmtId="0" fontId="16" fillId="36" borderId="27" xfId="0" applyFont="1" applyFill="1" applyBorder="1"/>
    <xf numFmtId="0" fontId="16" fillId="38" borderId="25" xfId="0" applyFont="1" applyFill="1" applyBorder="1"/>
    <xf numFmtId="0" fontId="16" fillId="38" borderId="27" xfId="0" applyFont="1" applyFill="1" applyBorder="1"/>
    <xf numFmtId="167" fontId="0" fillId="0" borderId="10" xfId="0" applyNumberFormat="1" applyBorder="1" applyAlignment="1">
      <alignment horizontal="center"/>
    </xf>
    <xf numFmtId="10" fontId="0" fillId="0" borderId="10" xfId="0" applyNumberFormat="1" applyBorder="1" applyAlignment="1">
      <alignment horizontal="center"/>
    </xf>
    <xf numFmtId="10" fontId="16" fillId="0" borderId="10" xfId="0" applyNumberFormat="1" applyFont="1" applyBorder="1" applyAlignment="1">
      <alignment horizontal="center"/>
    </xf>
    <xf numFmtId="167" fontId="0" fillId="0" borderId="10" xfId="0" applyNumberFormat="1" applyBorder="1" applyAlignment="1">
      <alignment horizontal="center" wrapText="1"/>
    </xf>
    <xf numFmtId="49" fontId="21" fillId="37" borderId="10" xfId="0" applyNumberFormat="1" applyFont="1" applyFill="1" applyBorder="1" applyAlignment="1">
      <alignment horizontal="right" vertical="center" wrapText="1"/>
    </xf>
    <xf numFmtId="0" fontId="0" fillId="0" borderId="10" xfId="0" applyBorder="1" applyAlignment="1">
      <alignment wrapText="1"/>
    </xf>
    <xf numFmtId="0" fontId="0" fillId="0" borderId="28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6" fillId="0" borderId="10" xfId="0" applyFont="1" applyBorder="1" applyAlignment="1">
      <alignment horizontal="center" wrapText="1"/>
    </xf>
    <xf numFmtId="165" fontId="0" fillId="0" borderId="25" xfId="0" applyNumberFormat="1" applyBorder="1" applyAlignment="1">
      <alignment horizontal="center" wrapText="1"/>
    </xf>
    <xf numFmtId="165" fontId="0" fillId="0" borderId="27" xfId="0" applyNumberForma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171" fontId="0" fillId="0" borderId="26" xfId="0" applyNumberFormat="1" applyBorder="1" applyAlignment="1">
      <alignment horizontal="center"/>
    </xf>
    <xf numFmtId="171" fontId="0" fillId="0" borderId="27" xfId="0" applyNumberFormat="1" applyBorder="1" applyAlignment="1">
      <alignment horizontal="center"/>
    </xf>
    <xf numFmtId="0" fontId="16" fillId="0" borderId="25" xfId="0" applyFont="1" applyBorder="1" applyAlignment="1">
      <alignment wrapText="1"/>
    </xf>
    <xf numFmtId="10" fontId="0" fillId="0" borderId="10" xfId="0" applyNumberFormat="1" applyBorder="1" applyAlignment="1">
      <alignment wrapText="1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 2" xfId="44"/>
    <cellStyle name="Currency 2" xfId="45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 2 2" xfId="43"/>
    <cellStyle name="Normal 2_WPD example_SPD.xls" xfId="46"/>
    <cellStyle name="Normal 3" xfId="47"/>
    <cellStyle name="Note" xfId="15" builtinId="10" customBuiltin="1"/>
    <cellStyle name="Output" xfId="10" builtinId="21" customBuiltin="1"/>
    <cellStyle name="Percent 4" xfId="48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opLeftCell="C1" zoomScaleNormal="75" workbookViewId="0">
      <selection activeCell="C15" sqref="C15"/>
    </sheetView>
  </sheetViews>
  <sheetFormatPr defaultColWidth="8.85546875" defaultRowHeight="12.75" x14ac:dyDescent="0.2"/>
  <cols>
    <col min="1" max="1" width="44" style="12" customWidth="1"/>
    <col min="2" max="2" width="32.42578125" style="12" customWidth="1"/>
    <col min="3" max="3" width="28" style="12" customWidth="1"/>
    <col min="4" max="4" width="27.28515625" style="12" customWidth="1"/>
    <col min="5" max="5" width="25.140625" style="12" customWidth="1"/>
    <col min="6" max="6" width="8.85546875" style="12"/>
    <col min="7" max="7" width="27.5703125" style="12" customWidth="1"/>
    <col min="8" max="8" width="28.5703125" style="12" customWidth="1"/>
    <col min="9" max="9" width="27.85546875" style="12" customWidth="1"/>
    <col min="10" max="10" width="24" style="12" customWidth="1"/>
    <col min="11" max="16384" width="8.85546875" style="12"/>
  </cols>
  <sheetData>
    <row r="1" spans="1:10" ht="18.75" thickBot="1" x14ac:dyDescent="0.3">
      <c r="A1" s="13" t="s">
        <v>21</v>
      </c>
    </row>
    <row r="2" spans="1:10" ht="77.25" thickBot="1" x14ac:dyDescent="0.3">
      <c r="A2" s="14" t="s">
        <v>22</v>
      </c>
      <c r="B2" s="15" t="s">
        <v>23</v>
      </c>
      <c r="C2" s="16" t="s">
        <v>24</v>
      </c>
      <c r="D2" s="17" t="s">
        <v>25</v>
      </c>
      <c r="E2" s="16" t="s">
        <v>24</v>
      </c>
      <c r="G2" s="18" t="s">
        <v>26</v>
      </c>
      <c r="H2" s="19" t="s">
        <v>27</v>
      </c>
      <c r="I2" s="19" t="s">
        <v>28</v>
      </c>
      <c r="J2" s="15" t="s">
        <v>20</v>
      </c>
    </row>
    <row r="3" spans="1:10" ht="42" customHeight="1" thickBot="1" x14ac:dyDescent="0.25">
      <c r="A3" s="20" t="s">
        <v>29</v>
      </c>
      <c r="B3" s="21">
        <v>0</v>
      </c>
      <c r="C3" s="22" t="s">
        <v>30</v>
      </c>
      <c r="D3" s="23">
        <v>0.94982699272846949</v>
      </c>
      <c r="E3" s="24" t="s">
        <v>31</v>
      </c>
      <c r="G3" s="25">
        <v>1</v>
      </c>
      <c r="H3" s="26">
        <f>B3*$G$3</f>
        <v>0</v>
      </c>
      <c r="I3" s="26">
        <f>H3*D3</f>
        <v>0</v>
      </c>
      <c r="J3" s="27">
        <f>I15/H15</f>
        <v>0.47127637681488721</v>
      </c>
    </row>
    <row r="4" spans="1:10" ht="26.25" thickBot="1" x14ac:dyDescent="0.25">
      <c r="A4" s="20" t="s">
        <v>32</v>
      </c>
      <c r="B4" s="21">
        <v>0</v>
      </c>
      <c r="C4" s="22" t="s">
        <v>33</v>
      </c>
      <c r="D4" s="23">
        <v>0.87897421514086893</v>
      </c>
      <c r="E4" s="24" t="s">
        <v>34</v>
      </c>
      <c r="H4" s="26">
        <f t="shared" ref="H4:H7" si="0">B4*$G$3</f>
        <v>0</v>
      </c>
      <c r="I4" s="26">
        <f t="shared" ref="I4:I7" si="1">H4*D4</f>
        <v>0</v>
      </c>
    </row>
    <row r="5" spans="1:10" ht="26.25" thickBot="1" x14ac:dyDescent="0.25">
      <c r="A5" s="20" t="s">
        <v>35</v>
      </c>
      <c r="B5" s="21">
        <v>0</v>
      </c>
      <c r="C5" s="22" t="s">
        <v>36</v>
      </c>
      <c r="D5" s="23">
        <v>0.82603963475743203</v>
      </c>
      <c r="E5" s="24" t="s">
        <v>37</v>
      </c>
      <c r="H5" s="26">
        <f t="shared" si="0"/>
        <v>0</v>
      </c>
      <c r="I5" s="26">
        <f t="shared" si="1"/>
        <v>0</v>
      </c>
    </row>
    <row r="6" spans="1:10" ht="26.25" thickBot="1" x14ac:dyDescent="0.25">
      <c r="A6" s="20" t="s">
        <v>38</v>
      </c>
      <c r="B6" s="21">
        <v>0</v>
      </c>
      <c r="C6" s="22" t="s">
        <v>39</v>
      </c>
      <c r="D6" s="23">
        <v>0.7722365871105803</v>
      </c>
      <c r="E6" s="24" t="s">
        <v>40</v>
      </c>
      <c r="H6" s="26">
        <f t="shared" si="0"/>
        <v>0</v>
      </c>
      <c r="I6" s="26">
        <f t="shared" si="1"/>
        <v>0</v>
      </c>
    </row>
    <row r="7" spans="1:10" ht="26.25" thickBot="1" x14ac:dyDescent="0.25">
      <c r="A7" s="28" t="s">
        <v>41</v>
      </c>
      <c r="B7" s="21">
        <v>0</v>
      </c>
      <c r="C7" s="22" t="s">
        <v>42</v>
      </c>
      <c r="D7" s="23">
        <v>0.70725751910079016</v>
      </c>
      <c r="E7" s="24" t="s">
        <v>43</v>
      </c>
      <c r="H7" s="26">
        <f t="shared" si="0"/>
        <v>0</v>
      </c>
      <c r="I7" s="26">
        <f t="shared" si="1"/>
        <v>0</v>
      </c>
    </row>
    <row r="8" spans="1:10" x14ac:dyDescent="0.2">
      <c r="A8" s="29"/>
      <c r="B8" s="29"/>
      <c r="C8" s="29"/>
      <c r="D8" s="29"/>
      <c r="E8" s="29"/>
      <c r="H8" s="30"/>
      <c r="I8" s="30"/>
    </row>
    <row r="9" spans="1:10" ht="18.75" thickBot="1" x14ac:dyDescent="0.3">
      <c r="A9" s="13" t="s">
        <v>44</v>
      </c>
      <c r="H9" s="31"/>
      <c r="I9" s="31"/>
    </row>
    <row r="10" spans="1:10" ht="77.25" thickBot="1" x14ac:dyDescent="0.25">
      <c r="A10" s="14" t="s">
        <v>22</v>
      </c>
      <c r="B10" s="32" t="s">
        <v>45</v>
      </c>
      <c r="C10" s="33" t="s">
        <v>46</v>
      </c>
      <c r="D10" s="34" t="s">
        <v>47</v>
      </c>
      <c r="E10" s="33" t="s">
        <v>46</v>
      </c>
      <c r="H10" s="19" t="s">
        <v>27</v>
      </c>
      <c r="I10" s="19" t="s">
        <v>28</v>
      </c>
    </row>
    <row r="11" spans="1:10" ht="39" thickBot="1" x14ac:dyDescent="0.25">
      <c r="A11" s="35" t="s">
        <v>48</v>
      </c>
      <c r="B11" s="21">
        <v>1150</v>
      </c>
      <c r="C11" s="22" t="s">
        <v>49</v>
      </c>
      <c r="D11" s="23">
        <v>0.61213038737350123</v>
      </c>
      <c r="E11" s="36" t="s">
        <v>50</v>
      </c>
      <c r="H11" s="26">
        <f>B11*$G$3</f>
        <v>1150</v>
      </c>
      <c r="I11" s="26">
        <f>H11*D11</f>
        <v>703.94994547952638</v>
      </c>
    </row>
    <row r="12" spans="1:10" ht="39" thickBot="1" x14ac:dyDescent="0.25">
      <c r="A12" s="37" t="s">
        <v>51</v>
      </c>
      <c r="B12" s="21">
        <v>1430</v>
      </c>
      <c r="C12" s="22" t="s">
        <v>52</v>
      </c>
      <c r="D12" s="23">
        <v>0.35800217251949829</v>
      </c>
      <c r="E12" s="36" t="s">
        <v>53</v>
      </c>
      <c r="H12" s="26">
        <f>B12*$G$3</f>
        <v>1430</v>
      </c>
      <c r="I12" s="26">
        <f t="shared" ref="I12" si="2">H12*D12</f>
        <v>511.94310670288257</v>
      </c>
    </row>
    <row r="13" spans="1:10" x14ac:dyDescent="0.2">
      <c r="B13" s="31"/>
      <c r="H13" s="31"/>
      <c r="I13" s="31"/>
    </row>
    <row r="14" spans="1:10" ht="13.5" thickBot="1" x14ac:dyDescent="0.25">
      <c r="A14" s="29"/>
      <c r="B14" s="30"/>
      <c r="C14" s="29"/>
      <c r="D14" s="29"/>
      <c r="E14" s="29"/>
      <c r="H14" s="30"/>
      <c r="I14" s="30"/>
    </row>
    <row r="15" spans="1:10" ht="39" thickBot="1" x14ac:dyDescent="0.25">
      <c r="A15" s="38" t="s">
        <v>23</v>
      </c>
      <c r="B15" s="39">
        <f>SUM(B3:B7,B11:B12)</f>
        <v>2580</v>
      </c>
      <c r="H15" s="39">
        <f>SUM(H3:H7,H11:H12)</f>
        <v>2580</v>
      </c>
      <c r="I15" s="39">
        <f>SUM(I3:I7,I11:I12)</f>
        <v>1215.8930521824091</v>
      </c>
    </row>
  </sheetData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Footer>&amp;L&amp;Z&amp;F&amp;R&amp;D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opLeftCell="A10" workbookViewId="0">
      <selection activeCell="A2" sqref="A2"/>
    </sheetView>
  </sheetViews>
  <sheetFormatPr defaultRowHeight="15" x14ac:dyDescent="0.25"/>
  <cols>
    <col min="1" max="2" width="13.140625" customWidth="1"/>
    <col min="4" max="4" width="10.42578125" bestFit="1" customWidth="1"/>
  </cols>
  <sheetData>
    <row r="1" spans="1:5" x14ac:dyDescent="0.25">
      <c r="A1" s="10" t="s">
        <v>11</v>
      </c>
    </row>
    <row r="2" spans="1:5" x14ac:dyDescent="0.25">
      <c r="A2" s="9" t="s">
        <v>10</v>
      </c>
    </row>
    <row r="4" spans="1:5" x14ac:dyDescent="0.25">
      <c r="A4" t="s">
        <v>0</v>
      </c>
      <c r="B4" s="2" t="s">
        <v>4</v>
      </c>
      <c r="C4" s="2" t="s">
        <v>3</v>
      </c>
      <c r="D4" s="2" t="s">
        <v>6</v>
      </c>
    </row>
    <row r="5" spans="1:5" x14ac:dyDescent="0.25">
      <c r="A5" t="s">
        <v>1</v>
      </c>
      <c r="B5" s="2" t="s">
        <v>2</v>
      </c>
      <c r="C5" s="2" t="s">
        <v>2</v>
      </c>
      <c r="D5" s="2" t="s">
        <v>5</v>
      </c>
      <c r="E5" s="3" t="s">
        <v>7</v>
      </c>
    </row>
    <row r="6" spans="1:5" x14ac:dyDescent="0.25">
      <c r="A6" s="1">
        <v>41365</v>
      </c>
      <c r="B6">
        <v>34971</v>
      </c>
      <c r="C6" s="5">
        <v>31090.6</v>
      </c>
      <c r="D6" s="5">
        <f>SUM(B6-C6)</f>
        <v>3880.4000000000015</v>
      </c>
      <c r="E6" s="4">
        <f>SUM(D6/B6)</f>
        <v>0.11096051013697067</v>
      </c>
    </row>
    <row r="7" spans="1:5" x14ac:dyDescent="0.25">
      <c r="A7" s="1">
        <v>41366</v>
      </c>
      <c r="B7">
        <v>34772</v>
      </c>
      <c r="C7" s="5">
        <v>30582.5</v>
      </c>
      <c r="D7" s="5">
        <f>SUM(B7-C7)</f>
        <v>4189.5</v>
      </c>
      <c r="E7" s="4">
        <f>SUM(D7/B7)</f>
        <v>0.1204848728862303</v>
      </c>
    </row>
    <row r="8" spans="1:5" x14ac:dyDescent="0.25">
      <c r="A8" s="1">
        <v>41367</v>
      </c>
      <c r="B8">
        <v>34574</v>
      </c>
      <c r="C8" s="5">
        <v>30153.200000000001</v>
      </c>
      <c r="D8" s="5">
        <f t="shared" ref="D8:D36" si="0">SUM(B8-C8)</f>
        <v>4420.7999999999993</v>
      </c>
      <c r="E8" s="4">
        <f t="shared" ref="E8:E36" si="1">SUM(D8/B8)</f>
        <v>0.12786486955515702</v>
      </c>
    </row>
    <row r="9" spans="1:5" x14ac:dyDescent="0.25">
      <c r="A9" s="1">
        <v>41368</v>
      </c>
      <c r="B9">
        <v>34376</v>
      </c>
      <c r="C9" s="5">
        <v>30216.799999999999</v>
      </c>
      <c r="D9" s="5">
        <f t="shared" si="0"/>
        <v>4159.2000000000007</v>
      </c>
      <c r="E9" s="4">
        <f t="shared" si="1"/>
        <v>0.120991389341401</v>
      </c>
    </row>
    <row r="10" spans="1:5" x14ac:dyDescent="0.25">
      <c r="A10" s="1">
        <v>41369</v>
      </c>
      <c r="B10">
        <v>34178</v>
      </c>
      <c r="C10" s="5">
        <v>29838.1</v>
      </c>
      <c r="D10" s="5">
        <f t="shared" si="0"/>
        <v>4339.9000000000015</v>
      </c>
      <c r="E10" s="4">
        <f t="shared" si="1"/>
        <v>0.12697934343729889</v>
      </c>
    </row>
    <row r="11" spans="1:5" x14ac:dyDescent="0.25">
      <c r="A11" s="1">
        <v>41370</v>
      </c>
      <c r="B11">
        <v>33982</v>
      </c>
      <c r="C11" s="5">
        <v>29565.5</v>
      </c>
      <c r="D11" s="5">
        <f t="shared" si="0"/>
        <v>4416.5</v>
      </c>
      <c r="E11" s="4">
        <f t="shared" si="1"/>
        <v>0.12996586428109</v>
      </c>
    </row>
    <row r="12" spans="1:5" x14ac:dyDescent="0.25">
      <c r="A12" s="1">
        <v>41371</v>
      </c>
      <c r="B12">
        <v>33785</v>
      </c>
      <c r="C12" s="5">
        <v>30216</v>
      </c>
      <c r="D12" s="5">
        <f t="shared" si="0"/>
        <v>3569</v>
      </c>
      <c r="E12" s="4">
        <f t="shared" si="1"/>
        <v>0.10563859701050762</v>
      </c>
    </row>
    <row r="13" spans="1:5" ht="12.75" customHeight="1" x14ac:dyDescent="0.25">
      <c r="A13" s="1">
        <v>41372</v>
      </c>
      <c r="B13">
        <v>33588</v>
      </c>
      <c r="C13" s="5">
        <v>30294.3</v>
      </c>
      <c r="D13" s="5">
        <f t="shared" si="0"/>
        <v>3293.7000000000007</v>
      </c>
      <c r="E13" s="4">
        <f t="shared" si="1"/>
        <v>9.8061807788495908E-2</v>
      </c>
    </row>
    <row r="14" spans="1:5" x14ac:dyDescent="0.25">
      <c r="A14" s="1">
        <v>41373</v>
      </c>
      <c r="B14">
        <v>33392</v>
      </c>
      <c r="C14" s="5">
        <v>29853.9</v>
      </c>
      <c r="D14" s="5">
        <f t="shared" si="0"/>
        <v>3538.0999999999985</v>
      </c>
      <c r="E14" s="4">
        <f t="shared" si="1"/>
        <v>0.10595651653090556</v>
      </c>
    </row>
    <row r="15" spans="1:5" x14ac:dyDescent="0.25">
      <c r="A15" s="1">
        <v>41374</v>
      </c>
      <c r="B15">
        <v>33196</v>
      </c>
      <c r="C15" s="5">
        <v>29491.1</v>
      </c>
      <c r="D15" s="5">
        <f t="shared" si="0"/>
        <v>3704.9000000000015</v>
      </c>
      <c r="E15" s="4">
        <f t="shared" si="1"/>
        <v>0.11160682009880712</v>
      </c>
    </row>
    <row r="16" spans="1:5" ht="36.75" customHeight="1" x14ac:dyDescent="0.25">
      <c r="A16" s="1">
        <v>41375</v>
      </c>
      <c r="B16">
        <v>33002</v>
      </c>
      <c r="C16" s="5">
        <v>29111.5</v>
      </c>
      <c r="D16" s="5">
        <f t="shared" si="0"/>
        <v>3890.5</v>
      </c>
      <c r="E16" s="4">
        <f t="shared" si="1"/>
        <v>0.11788679473971274</v>
      </c>
    </row>
    <row r="17" spans="1:5" x14ac:dyDescent="0.25">
      <c r="A17" s="1">
        <v>41376</v>
      </c>
      <c r="B17">
        <v>32807</v>
      </c>
      <c r="C17" s="5">
        <v>28929.5</v>
      </c>
      <c r="D17" s="5">
        <f t="shared" si="0"/>
        <v>3877.5</v>
      </c>
      <c r="E17" s="4">
        <f t="shared" si="1"/>
        <v>0.11819123967445971</v>
      </c>
    </row>
    <row r="18" spans="1:5" x14ac:dyDescent="0.25">
      <c r="A18" s="1">
        <v>41377</v>
      </c>
      <c r="B18">
        <v>32613</v>
      </c>
      <c r="C18" s="5">
        <v>29835.5</v>
      </c>
      <c r="D18" s="5">
        <f t="shared" si="0"/>
        <v>2777.5</v>
      </c>
      <c r="E18" s="4">
        <f t="shared" si="1"/>
        <v>8.5165424830589032E-2</v>
      </c>
    </row>
    <row r="19" spans="1:5" x14ac:dyDescent="0.25">
      <c r="A19" s="1">
        <v>41378</v>
      </c>
      <c r="B19">
        <v>32420</v>
      </c>
      <c r="C19" s="5">
        <v>29273.5</v>
      </c>
      <c r="D19" s="5">
        <f t="shared" si="0"/>
        <v>3146.5</v>
      </c>
      <c r="E19" s="4">
        <f t="shared" si="1"/>
        <v>9.7054287476866133E-2</v>
      </c>
    </row>
    <row r="20" spans="1:5" x14ac:dyDescent="0.25">
      <c r="A20" s="1">
        <v>41379</v>
      </c>
      <c r="B20">
        <v>32228</v>
      </c>
      <c r="C20" s="5">
        <v>28728</v>
      </c>
      <c r="D20" s="5">
        <f t="shared" si="0"/>
        <v>3500</v>
      </c>
      <c r="E20" s="4">
        <f t="shared" si="1"/>
        <v>0.10860121633362294</v>
      </c>
    </row>
    <row r="21" spans="1:5" x14ac:dyDescent="0.25">
      <c r="A21" s="1">
        <v>41380</v>
      </c>
      <c r="B21">
        <v>32036</v>
      </c>
      <c r="C21" s="5">
        <v>28140.400000000001</v>
      </c>
      <c r="D21" s="5">
        <f t="shared" si="0"/>
        <v>3895.5999999999985</v>
      </c>
      <c r="E21" s="4">
        <f t="shared" si="1"/>
        <v>0.1216006992133849</v>
      </c>
    </row>
    <row r="22" spans="1:5" x14ac:dyDescent="0.25">
      <c r="A22" s="1">
        <v>41381</v>
      </c>
      <c r="B22">
        <v>31844</v>
      </c>
      <c r="C22" s="5">
        <v>28375.4</v>
      </c>
      <c r="D22" s="5">
        <f t="shared" si="0"/>
        <v>3468.5999999999985</v>
      </c>
      <c r="E22" s="4">
        <f t="shared" si="1"/>
        <v>0.10892475819620646</v>
      </c>
    </row>
    <row r="23" spans="1:5" x14ac:dyDescent="0.25">
      <c r="A23" s="1">
        <v>41382</v>
      </c>
      <c r="B23">
        <v>31653</v>
      </c>
      <c r="C23" s="5">
        <v>27448.1</v>
      </c>
      <c r="D23" s="5">
        <f t="shared" si="0"/>
        <v>4204.9000000000015</v>
      </c>
      <c r="E23" s="4">
        <f t="shared" si="1"/>
        <v>0.13284364831137654</v>
      </c>
    </row>
    <row r="24" spans="1:5" x14ac:dyDescent="0.25">
      <c r="A24" s="1">
        <v>41383</v>
      </c>
      <c r="B24">
        <v>31464</v>
      </c>
      <c r="C24" s="5">
        <v>27158</v>
      </c>
      <c r="D24" s="5">
        <f t="shared" si="0"/>
        <v>4306</v>
      </c>
      <c r="E24" s="4">
        <f t="shared" si="1"/>
        <v>0.13685481820493262</v>
      </c>
    </row>
    <row r="25" spans="1:5" x14ac:dyDescent="0.25">
      <c r="A25" s="1">
        <v>41384</v>
      </c>
      <c r="B25">
        <v>31275</v>
      </c>
      <c r="C25" s="5">
        <v>27055.5</v>
      </c>
      <c r="D25" s="5">
        <f t="shared" si="0"/>
        <v>4219.5</v>
      </c>
      <c r="E25" s="4">
        <f t="shared" si="1"/>
        <v>0.13491606714628299</v>
      </c>
    </row>
    <row r="26" spans="1:5" x14ac:dyDescent="0.25">
      <c r="A26" s="1">
        <v>41385</v>
      </c>
      <c r="B26">
        <v>31086</v>
      </c>
      <c r="C26" s="5">
        <v>27107.8</v>
      </c>
      <c r="D26" s="5">
        <f t="shared" si="0"/>
        <v>3978.2000000000007</v>
      </c>
      <c r="E26" s="4">
        <f t="shared" si="1"/>
        <v>0.12797400759184202</v>
      </c>
    </row>
    <row r="27" spans="1:5" x14ac:dyDescent="0.25">
      <c r="A27" s="1">
        <v>41386</v>
      </c>
      <c r="B27">
        <v>30900</v>
      </c>
      <c r="C27" s="5">
        <v>27358.9</v>
      </c>
      <c r="D27" s="5">
        <f t="shared" si="0"/>
        <v>3541.0999999999985</v>
      </c>
      <c r="E27" s="4">
        <f t="shared" si="1"/>
        <v>0.11459870550161808</v>
      </c>
    </row>
    <row r="28" spans="1:5" x14ac:dyDescent="0.25">
      <c r="A28" s="1">
        <v>41387</v>
      </c>
      <c r="B28">
        <v>30713</v>
      </c>
      <c r="C28" s="5">
        <v>26843.9</v>
      </c>
      <c r="D28" s="5">
        <f t="shared" si="0"/>
        <v>3869.0999999999985</v>
      </c>
      <c r="E28" s="4">
        <f t="shared" si="1"/>
        <v>0.12597597108716174</v>
      </c>
    </row>
    <row r="29" spans="1:5" x14ac:dyDescent="0.25">
      <c r="A29" s="1">
        <v>41388</v>
      </c>
      <c r="B29">
        <v>30528</v>
      </c>
      <c r="C29" s="5">
        <v>27220.5</v>
      </c>
      <c r="D29" s="5">
        <f t="shared" si="0"/>
        <v>3307.5</v>
      </c>
      <c r="E29" s="4">
        <f t="shared" si="1"/>
        <v>0.10834316037735849</v>
      </c>
    </row>
    <row r="30" spans="1:5" x14ac:dyDescent="0.25">
      <c r="A30" s="1">
        <v>41389</v>
      </c>
      <c r="B30">
        <v>30344</v>
      </c>
      <c r="C30" s="5">
        <v>27042.799999999999</v>
      </c>
      <c r="D30" s="5">
        <f t="shared" si="0"/>
        <v>3301.2000000000007</v>
      </c>
      <c r="E30" s="4">
        <f t="shared" si="1"/>
        <v>0.10879251252306883</v>
      </c>
    </row>
    <row r="31" spans="1:5" x14ac:dyDescent="0.25">
      <c r="A31" s="1">
        <v>41390</v>
      </c>
      <c r="B31">
        <v>30161</v>
      </c>
      <c r="C31" s="5">
        <v>25946.9</v>
      </c>
      <c r="D31" s="5">
        <f t="shared" si="0"/>
        <v>4214.0999999999985</v>
      </c>
      <c r="E31" s="4">
        <f t="shared" si="1"/>
        <v>0.13972016842942869</v>
      </c>
    </row>
    <row r="32" spans="1:5" x14ac:dyDescent="0.25">
      <c r="A32" s="1">
        <v>41391</v>
      </c>
      <c r="B32">
        <v>29978</v>
      </c>
      <c r="C32" s="5">
        <v>25808.3</v>
      </c>
      <c r="D32" s="5">
        <f t="shared" si="0"/>
        <v>4169.7000000000007</v>
      </c>
      <c r="E32" s="4">
        <f t="shared" si="1"/>
        <v>0.13909200080058712</v>
      </c>
    </row>
    <row r="33" spans="1:5" x14ac:dyDescent="0.25">
      <c r="A33" s="1">
        <v>41392</v>
      </c>
      <c r="B33">
        <v>29798</v>
      </c>
      <c r="C33" s="5">
        <v>26425.4</v>
      </c>
      <c r="D33" s="5">
        <f t="shared" si="0"/>
        <v>3372.5999999999985</v>
      </c>
      <c r="E33" s="4">
        <f t="shared" si="1"/>
        <v>0.11318209275790317</v>
      </c>
    </row>
    <row r="34" spans="1:5" x14ac:dyDescent="0.25">
      <c r="A34" s="1">
        <v>41393</v>
      </c>
      <c r="B34">
        <v>29618</v>
      </c>
      <c r="C34" s="5">
        <v>25381.4</v>
      </c>
      <c r="D34" s="5">
        <f t="shared" si="0"/>
        <v>4236.5999999999985</v>
      </c>
      <c r="E34" s="4">
        <f t="shared" si="1"/>
        <v>0.14304139374704566</v>
      </c>
    </row>
    <row r="35" spans="1:5" x14ac:dyDescent="0.25">
      <c r="A35" s="1">
        <v>41394</v>
      </c>
      <c r="B35">
        <v>29440</v>
      </c>
      <c r="C35" s="5">
        <v>25109.599999999999</v>
      </c>
      <c r="D35" s="5">
        <f t="shared" si="0"/>
        <v>4330.4000000000015</v>
      </c>
      <c r="E35" s="4">
        <f t="shared" si="1"/>
        <v>0.14709239130434787</v>
      </c>
    </row>
    <row r="36" spans="1:5" x14ac:dyDescent="0.25">
      <c r="A36" s="6" t="s">
        <v>8</v>
      </c>
      <c r="B36" s="7">
        <f>SUM(B6:B35)</f>
        <v>964722</v>
      </c>
      <c r="C36" s="7">
        <f>SUM(C6:C35)</f>
        <v>849602.90000000026</v>
      </c>
      <c r="D36" s="7">
        <f t="shared" si="0"/>
        <v>115119.09999999974</v>
      </c>
      <c r="E36" s="8">
        <f t="shared" si="1"/>
        <v>0.11932878072646809</v>
      </c>
    </row>
    <row r="38" spans="1:5" x14ac:dyDescent="0.25">
      <c r="A38" t="s">
        <v>9</v>
      </c>
    </row>
    <row r="39" spans="1:5" x14ac:dyDescent="0.25">
      <c r="A39" t="s">
        <v>17</v>
      </c>
      <c r="C39">
        <v>49465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opLeftCell="A7" workbookViewId="0">
      <selection activeCell="C38" sqref="C38"/>
    </sheetView>
  </sheetViews>
  <sheetFormatPr defaultRowHeight="15" x14ac:dyDescent="0.25"/>
  <cols>
    <col min="1" max="2" width="13.140625" customWidth="1"/>
    <col min="4" max="4" width="10.42578125" bestFit="1" customWidth="1"/>
  </cols>
  <sheetData>
    <row r="1" spans="1:5" x14ac:dyDescent="0.25">
      <c r="A1" s="10" t="s">
        <v>18</v>
      </c>
    </row>
    <row r="2" spans="1:5" x14ac:dyDescent="0.25">
      <c r="A2" s="9" t="s">
        <v>19</v>
      </c>
    </row>
    <row r="4" spans="1:5" x14ac:dyDescent="0.25">
      <c r="A4" t="s">
        <v>0</v>
      </c>
      <c r="B4" s="2" t="s">
        <v>4</v>
      </c>
      <c r="C4" s="2" t="s">
        <v>3</v>
      </c>
      <c r="D4" s="2" t="s">
        <v>6</v>
      </c>
    </row>
    <row r="5" spans="1:5" x14ac:dyDescent="0.25">
      <c r="A5" t="s">
        <v>1</v>
      </c>
      <c r="B5" s="2" t="s">
        <v>2</v>
      </c>
      <c r="C5" s="2" t="s">
        <v>2</v>
      </c>
      <c r="D5" s="2" t="s">
        <v>5</v>
      </c>
      <c r="E5" s="3" t="s">
        <v>7</v>
      </c>
    </row>
    <row r="6" spans="1:5" x14ac:dyDescent="0.25">
      <c r="A6" s="1">
        <v>41365</v>
      </c>
      <c r="B6">
        <v>24202</v>
      </c>
      <c r="C6" s="5">
        <v>18089.7</v>
      </c>
      <c r="D6" s="5">
        <f>SUM(B6-C6)</f>
        <v>6112.2999999999993</v>
      </c>
      <c r="E6" s="4">
        <f>SUM(D6/B6)</f>
        <v>0.25255350797454751</v>
      </c>
    </row>
    <row r="7" spans="1:5" x14ac:dyDescent="0.25">
      <c r="A7" s="1">
        <v>41366</v>
      </c>
      <c r="B7">
        <v>24059</v>
      </c>
      <c r="C7" s="5">
        <v>17604.8</v>
      </c>
      <c r="D7" s="5">
        <f>SUM(B7-C7)</f>
        <v>6454.2000000000007</v>
      </c>
      <c r="E7" s="4">
        <f>SUM(D7/B7)</f>
        <v>0.26826551394488551</v>
      </c>
    </row>
    <row r="8" spans="1:5" x14ac:dyDescent="0.25">
      <c r="A8" s="1">
        <v>41367</v>
      </c>
      <c r="B8">
        <v>23916</v>
      </c>
      <c r="C8" s="5">
        <v>17818.8</v>
      </c>
      <c r="D8" s="5">
        <f t="shared" ref="D8:D35" si="0">SUM(B8-C8)</f>
        <v>6097.2000000000007</v>
      </c>
      <c r="E8" s="4">
        <f t="shared" ref="E8:E36" si="1">SUM(D8/B8)</f>
        <v>0.25494229804315105</v>
      </c>
    </row>
    <row r="9" spans="1:5" x14ac:dyDescent="0.25">
      <c r="A9" s="1">
        <v>41368</v>
      </c>
      <c r="B9">
        <v>23774</v>
      </c>
      <c r="C9" s="5">
        <v>17663.400000000001</v>
      </c>
      <c r="D9" s="5">
        <f t="shared" si="0"/>
        <v>6110.5999999999985</v>
      </c>
      <c r="E9" s="4">
        <f t="shared" si="1"/>
        <v>0.25702868680070662</v>
      </c>
    </row>
    <row r="10" spans="1:5" x14ac:dyDescent="0.25">
      <c r="A10" s="1">
        <v>41369</v>
      </c>
      <c r="B10">
        <v>23631</v>
      </c>
      <c r="C10" s="5">
        <v>17600.5</v>
      </c>
      <c r="D10" s="5">
        <f t="shared" si="0"/>
        <v>6030.5</v>
      </c>
      <c r="E10" s="4">
        <f t="shared" si="1"/>
        <v>0.2551944479708857</v>
      </c>
    </row>
    <row r="11" spans="1:5" x14ac:dyDescent="0.25">
      <c r="A11" s="1">
        <v>41370</v>
      </c>
      <c r="B11">
        <v>23489</v>
      </c>
      <c r="C11" s="5">
        <v>17002.2</v>
      </c>
      <c r="D11" s="5">
        <f t="shared" si="0"/>
        <v>6486.7999999999993</v>
      </c>
      <c r="E11" s="4">
        <f t="shared" si="1"/>
        <v>0.27616331048575926</v>
      </c>
    </row>
    <row r="12" spans="1:5" x14ac:dyDescent="0.25">
      <c r="A12" s="1">
        <v>41371</v>
      </c>
      <c r="B12">
        <v>23347</v>
      </c>
      <c r="C12" s="5">
        <v>16929.7</v>
      </c>
      <c r="D12" s="5">
        <f t="shared" si="0"/>
        <v>6417.2999999999993</v>
      </c>
      <c r="E12" s="4">
        <f t="shared" si="1"/>
        <v>0.27486614982653013</v>
      </c>
    </row>
    <row r="13" spans="1:5" x14ac:dyDescent="0.25">
      <c r="A13" s="1">
        <v>41372</v>
      </c>
      <c r="B13">
        <v>23205</v>
      </c>
      <c r="C13" s="5">
        <v>17066</v>
      </c>
      <c r="D13" s="5">
        <f t="shared" si="0"/>
        <v>6139</v>
      </c>
      <c r="E13" s="4">
        <f t="shared" si="1"/>
        <v>0.26455505279034691</v>
      </c>
    </row>
    <row r="14" spans="1:5" x14ac:dyDescent="0.25">
      <c r="A14" s="1">
        <v>41373</v>
      </c>
      <c r="B14">
        <v>23064</v>
      </c>
      <c r="C14" s="5">
        <v>17369.2</v>
      </c>
      <c r="D14" s="5">
        <f t="shared" si="0"/>
        <v>5694.7999999999993</v>
      </c>
      <c r="E14" s="4">
        <f t="shared" si="1"/>
        <v>0.24691293791189731</v>
      </c>
    </row>
    <row r="15" spans="1:5" x14ac:dyDescent="0.25">
      <c r="A15" s="1">
        <v>41374</v>
      </c>
      <c r="B15">
        <v>22923</v>
      </c>
      <c r="C15" s="5">
        <v>17413</v>
      </c>
      <c r="D15" s="5">
        <f t="shared" si="0"/>
        <v>5510</v>
      </c>
      <c r="E15" s="4">
        <f t="shared" si="1"/>
        <v>0.24036993412729574</v>
      </c>
    </row>
    <row r="16" spans="1:5" x14ac:dyDescent="0.25">
      <c r="A16" s="1">
        <v>41375</v>
      </c>
      <c r="B16">
        <v>22782</v>
      </c>
      <c r="C16" s="5">
        <v>16841.099999999999</v>
      </c>
      <c r="D16" s="5">
        <f t="shared" si="0"/>
        <v>5940.9000000000015</v>
      </c>
      <c r="E16" s="4">
        <f t="shared" si="1"/>
        <v>0.26077166183829348</v>
      </c>
    </row>
    <row r="17" spans="1:5" x14ac:dyDescent="0.25">
      <c r="A17" s="1">
        <v>41376</v>
      </c>
      <c r="B17">
        <v>22642</v>
      </c>
      <c r="C17" s="5">
        <v>16945.099999999999</v>
      </c>
      <c r="D17" s="5">
        <f t="shared" si="0"/>
        <v>5696.9000000000015</v>
      </c>
      <c r="E17" s="4">
        <f t="shared" si="1"/>
        <v>0.25160763183464363</v>
      </c>
    </row>
    <row r="18" spans="1:5" x14ac:dyDescent="0.25">
      <c r="A18" s="1">
        <v>41377</v>
      </c>
      <c r="B18">
        <v>22502</v>
      </c>
      <c r="C18" s="5">
        <v>16647.8</v>
      </c>
      <c r="D18" s="5">
        <f t="shared" si="0"/>
        <v>5854.2000000000007</v>
      </c>
      <c r="E18" s="4">
        <f t="shared" si="1"/>
        <v>0.26016354101857614</v>
      </c>
    </row>
    <row r="19" spans="1:5" x14ac:dyDescent="0.25">
      <c r="A19" s="1">
        <v>41378</v>
      </c>
      <c r="B19">
        <v>22362</v>
      </c>
      <c r="C19" s="5">
        <v>16273.7</v>
      </c>
      <c r="D19" s="5">
        <f t="shared" si="0"/>
        <v>6088.2999999999993</v>
      </c>
      <c r="E19" s="4">
        <f t="shared" si="1"/>
        <v>0.27226097844557728</v>
      </c>
    </row>
    <row r="20" spans="1:5" x14ac:dyDescent="0.25">
      <c r="A20" s="1">
        <v>41379</v>
      </c>
      <c r="B20">
        <v>22223</v>
      </c>
      <c r="C20" s="5">
        <v>15903.8</v>
      </c>
      <c r="D20" s="5">
        <f t="shared" si="0"/>
        <v>6319.2000000000007</v>
      </c>
      <c r="E20" s="4">
        <f t="shared" si="1"/>
        <v>0.28435404760833372</v>
      </c>
    </row>
    <row r="21" spans="1:5" x14ac:dyDescent="0.25">
      <c r="A21" s="1">
        <v>41380</v>
      </c>
      <c r="B21">
        <v>22085</v>
      </c>
      <c r="C21" s="5">
        <v>16292.2</v>
      </c>
      <c r="D21" s="5">
        <f t="shared" si="0"/>
        <v>5792.7999999999993</v>
      </c>
      <c r="E21" s="4">
        <f t="shared" si="1"/>
        <v>0.26229567579805296</v>
      </c>
    </row>
    <row r="22" spans="1:5" x14ac:dyDescent="0.25">
      <c r="A22" s="1">
        <v>41381</v>
      </c>
      <c r="B22">
        <v>21947</v>
      </c>
      <c r="C22" s="5">
        <v>16283</v>
      </c>
      <c r="D22" s="5">
        <f t="shared" si="0"/>
        <v>5664</v>
      </c>
      <c r="E22" s="4">
        <f t="shared" si="1"/>
        <v>0.25807627466168498</v>
      </c>
    </row>
    <row r="23" spans="1:5" x14ac:dyDescent="0.25">
      <c r="A23" s="1">
        <v>41382</v>
      </c>
      <c r="B23">
        <v>21809</v>
      </c>
      <c r="C23" s="5">
        <v>15258.1</v>
      </c>
      <c r="D23" s="5">
        <f t="shared" si="0"/>
        <v>6550.9</v>
      </c>
      <c r="E23" s="4">
        <f t="shared" si="1"/>
        <v>0.30037599156311612</v>
      </c>
    </row>
    <row r="24" spans="1:5" x14ac:dyDescent="0.25">
      <c r="A24" s="1">
        <v>41383</v>
      </c>
      <c r="B24">
        <v>21672</v>
      </c>
      <c r="C24" s="5">
        <v>15650.9</v>
      </c>
      <c r="D24" s="5">
        <f t="shared" si="0"/>
        <v>6021.1</v>
      </c>
      <c r="E24" s="4">
        <f t="shared" si="1"/>
        <v>0.27782853451458106</v>
      </c>
    </row>
    <row r="25" spans="1:5" x14ac:dyDescent="0.25">
      <c r="A25" s="1">
        <v>41384</v>
      </c>
      <c r="B25">
        <v>21535</v>
      </c>
      <c r="C25" s="5">
        <v>15214.3</v>
      </c>
      <c r="D25" s="5">
        <f t="shared" si="0"/>
        <v>6320.7000000000007</v>
      </c>
      <c r="E25" s="4">
        <f t="shared" si="1"/>
        <v>0.29350824239609941</v>
      </c>
    </row>
    <row r="26" spans="1:5" x14ac:dyDescent="0.25">
      <c r="A26" s="1">
        <v>41385</v>
      </c>
      <c r="B26">
        <v>21399</v>
      </c>
      <c r="C26" s="5">
        <v>15130.8</v>
      </c>
      <c r="D26" s="5">
        <f t="shared" si="0"/>
        <v>6268.2000000000007</v>
      </c>
      <c r="E26" s="4">
        <f t="shared" si="1"/>
        <v>0.29292022991728589</v>
      </c>
    </row>
    <row r="27" spans="1:5" x14ac:dyDescent="0.25">
      <c r="A27" s="1">
        <v>41386</v>
      </c>
      <c r="B27">
        <v>21264</v>
      </c>
      <c r="C27" s="5">
        <v>15584.1</v>
      </c>
      <c r="D27" s="5">
        <f t="shared" si="0"/>
        <v>5679.9</v>
      </c>
      <c r="E27" s="4">
        <f t="shared" si="1"/>
        <v>0.26711343115124153</v>
      </c>
    </row>
    <row r="28" spans="1:5" x14ac:dyDescent="0.25">
      <c r="A28" s="1">
        <v>41387</v>
      </c>
      <c r="B28">
        <v>24988</v>
      </c>
      <c r="C28" s="5">
        <v>17251.400000000001</v>
      </c>
      <c r="D28" s="5">
        <f t="shared" si="0"/>
        <v>7736.5999999999985</v>
      </c>
      <c r="E28" s="4">
        <f t="shared" si="1"/>
        <v>0.30961261405474622</v>
      </c>
    </row>
    <row r="29" spans="1:5" x14ac:dyDescent="0.25">
      <c r="A29" s="1">
        <v>41388</v>
      </c>
      <c r="B29">
        <v>24840</v>
      </c>
      <c r="C29" s="5">
        <v>17701.400000000001</v>
      </c>
      <c r="D29" s="5">
        <f t="shared" si="0"/>
        <v>7138.5999999999985</v>
      </c>
      <c r="E29" s="4">
        <f t="shared" si="1"/>
        <v>0.2873832528180354</v>
      </c>
    </row>
    <row r="30" spans="1:5" x14ac:dyDescent="0.25">
      <c r="A30" s="1">
        <v>41389</v>
      </c>
      <c r="B30">
        <v>24682</v>
      </c>
      <c r="C30" s="5">
        <v>17178.7</v>
      </c>
      <c r="D30" s="5">
        <f t="shared" si="0"/>
        <v>7503.2999999999993</v>
      </c>
      <c r="E30" s="4">
        <f t="shared" si="1"/>
        <v>0.30399886557005101</v>
      </c>
    </row>
    <row r="31" spans="1:5" x14ac:dyDescent="0.25">
      <c r="A31" s="1">
        <v>41390</v>
      </c>
      <c r="B31">
        <v>24525</v>
      </c>
      <c r="C31" s="5">
        <v>17880.7</v>
      </c>
      <c r="D31" s="5">
        <f t="shared" si="0"/>
        <v>6644.2999999999993</v>
      </c>
      <c r="E31" s="4">
        <f t="shared" si="1"/>
        <v>0.27091946992864419</v>
      </c>
    </row>
    <row r="32" spans="1:5" x14ac:dyDescent="0.25">
      <c r="A32" s="1">
        <v>41391</v>
      </c>
      <c r="B32">
        <v>24369</v>
      </c>
      <c r="C32" s="5">
        <v>17587.900000000001</v>
      </c>
      <c r="D32" s="5">
        <f t="shared" si="0"/>
        <v>6781.0999999999985</v>
      </c>
      <c r="E32" s="4">
        <f t="shared" si="1"/>
        <v>0.27826747096721238</v>
      </c>
    </row>
    <row r="33" spans="1:5" x14ac:dyDescent="0.25">
      <c r="A33" s="1">
        <v>41392</v>
      </c>
      <c r="B33">
        <v>24214</v>
      </c>
      <c r="C33" s="5">
        <v>17094.599999999999</v>
      </c>
      <c r="D33" s="5">
        <f t="shared" si="0"/>
        <v>7119.4000000000015</v>
      </c>
      <c r="E33" s="4">
        <f t="shared" si="1"/>
        <v>0.29401998843644178</v>
      </c>
    </row>
    <row r="34" spans="1:5" x14ac:dyDescent="0.25">
      <c r="A34" s="1">
        <v>41393</v>
      </c>
      <c r="B34">
        <v>24060</v>
      </c>
      <c r="C34" s="5">
        <v>16810.2</v>
      </c>
      <c r="D34" s="5">
        <f t="shared" si="0"/>
        <v>7249.7999999999993</v>
      </c>
      <c r="E34" s="4">
        <f t="shared" si="1"/>
        <v>0.30132169576059847</v>
      </c>
    </row>
    <row r="35" spans="1:5" x14ac:dyDescent="0.25">
      <c r="A35" s="1">
        <v>41394</v>
      </c>
      <c r="B35">
        <v>23907</v>
      </c>
      <c r="C35" s="5">
        <v>16343.5</v>
      </c>
      <c r="D35" s="5">
        <f t="shared" si="0"/>
        <v>7563.5</v>
      </c>
      <c r="E35" s="4">
        <f t="shared" si="1"/>
        <v>0.31637177395741833</v>
      </c>
    </row>
    <row r="36" spans="1:5" x14ac:dyDescent="0.25">
      <c r="A36" s="6" t="s">
        <v>8</v>
      </c>
      <c r="B36" s="7">
        <f>SUM(B6:B35)</f>
        <v>695417</v>
      </c>
      <c r="C36" s="7">
        <f>SUM(C6:C35)</f>
        <v>504430.60000000003</v>
      </c>
      <c r="D36" s="7">
        <f>SUM(B36-C36)</f>
        <v>190986.39999999997</v>
      </c>
      <c r="E36" s="8">
        <f t="shared" si="1"/>
        <v>0.27463579406313043</v>
      </c>
    </row>
    <row r="38" spans="1:5" x14ac:dyDescent="0.25">
      <c r="A38" t="s">
        <v>17</v>
      </c>
      <c r="C38" s="11">
        <v>38843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workbookViewId="0">
      <selection activeCell="I24" sqref="I24:I27"/>
    </sheetView>
  </sheetViews>
  <sheetFormatPr defaultRowHeight="15" x14ac:dyDescent="0.25"/>
  <cols>
    <col min="1" max="1" width="50.140625" customWidth="1"/>
    <col min="2" max="2" width="31.28515625" customWidth="1"/>
    <col min="3" max="3" width="31.140625" customWidth="1"/>
    <col min="4" max="4" width="29.28515625" customWidth="1"/>
    <col min="5" max="5" width="30.5703125" customWidth="1"/>
  </cols>
  <sheetData>
    <row r="1" spans="1:5" ht="56.25" customHeight="1" x14ac:dyDescent="0.25">
      <c r="A1" s="76" t="s">
        <v>82</v>
      </c>
      <c r="B1" s="76" t="s">
        <v>83</v>
      </c>
      <c r="C1" s="70" t="s">
        <v>81</v>
      </c>
      <c r="D1" s="70"/>
    </row>
    <row r="2" spans="1:5" x14ac:dyDescent="0.25">
      <c r="A2" s="52">
        <v>129680</v>
      </c>
      <c r="B2" s="52">
        <v>25600000</v>
      </c>
      <c r="C2" s="71">
        <f>531*0.16</f>
        <v>84.960000000000008</v>
      </c>
      <c r="D2" s="72"/>
    </row>
    <row r="3" spans="1:5" ht="20.25" customHeight="1" x14ac:dyDescent="0.25">
      <c r="A3" s="73"/>
      <c r="B3" s="73"/>
      <c r="C3" s="73"/>
      <c r="D3" s="73"/>
    </row>
    <row r="4" spans="1:5" ht="39" customHeight="1" x14ac:dyDescent="0.25">
      <c r="A4" s="41" t="s">
        <v>54</v>
      </c>
      <c r="C4" s="41"/>
      <c r="D4" s="41"/>
      <c r="E4" s="41"/>
    </row>
    <row r="5" spans="1:5" x14ac:dyDescent="0.25">
      <c r="A5" s="56" t="s">
        <v>59</v>
      </c>
      <c r="B5" s="57"/>
      <c r="C5" s="54" t="s">
        <v>61</v>
      </c>
      <c r="D5" s="53" t="s">
        <v>62</v>
      </c>
      <c r="E5" s="53" t="s">
        <v>63</v>
      </c>
    </row>
    <row r="6" spans="1:5" hidden="1" x14ac:dyDescent="0.25">
      <c r="A6" s="56" t="s">
        <v>12</v>
      </c>
      <c r="B6" s="57"/>
      <c r="C6" s="55">
        <v>2.39</v>
      </c>
      <c r="D6" s="44"/>
      <c r="E6" s="44"/>
    </row>
    <row r="7" spans="1:5" hidden="1" x14ac:dyDescent="0.25">
      <c r="A7" s="56" t="s">
        <v>13</v>
      </c>
      <c r="B7" s="57"/>
      <c r="C7" s="55">
        <v>3.544</v>
      </c>
      <c r="D7" s="44"/>
      <c r="E7" s="44"/>
    </row>
    <row r="8" spans="1:5" hidden="1" x14ac:dyDescent="0.25">
      <c r="A8" s="56" t="s">
        <v>14</v>
      </c>
      <c r="B8" s="57"/>
      <c r="C8" s="55">
        <v>5.984</v>
      </c>
      <c r="D8" s="44"/>
      <c r="E8" s="44"/>
    </row>
    <row r="9" spans="1:5" hidden="1" x14ac:dyDescent="0.25">
      <c r="A9" s="56" t="s">
        <v>15</v>
      </c>
      <c r="B9" s="57"/>
      <c r="C9" s="55">
        <v>1.4990000000000001</v>
      </c>
      <c r="D9" s="44"/>
      <c r="E9" s="44"/>
    </row>
    <row r="10" spans="1:5" ht="12.75" customHeight="1" x14ac:dyDescent="0.25">
      <c r="A10" s="56" t="s">
        <v>16</v>
      </c>
      <c r="B10" s="57"/>
      <c r="C10" s="55">
        <v>78.944000000000003</v>
      </c>
      <c r="D10" s="44">
        <v>1.179</v>
      </c>
      <c r="E10" s="44">
        <v>0.90400000000000003</v>
      </c>
    </row>
    <row r="12" spans="1:5" ht="25.5" customHeight="1" x14ac:dyDescent="0.25">
      <c r="A12" s="56" t="s">
        <v>57</v>
      </c>
      <c r="B12" s="57"/>
      <c r="C12" s="53" t="s">
        <v>64</v>
      </c>
      <c r="D12" s="53" t="s">
        <v>64</v>
      </c>
      <c r="E12" s="53" t="s">
        <v>64</v>
      </c>
    </row>
    <row r="13" spans="1:5" ht="52.5" customHeight="1" x14ac:dyDescent="0.25">
      <c r="A13" s="56"/>
      <c r="B13" s="56"/>
      <c r="C13" s="60">
        <v>4342.8495856949203</v>
      </c>
      <c r="D13" s="60">
        <v>28609.271211077492</v>
      </c>
      <c r="E13" s="60">
        <v>105632.39781987586</v>
      </c>
    </row>
    <row r="14" spans="1:5" ht="25.5" customHeight="1" x14ac:dyDescent="0.25">
      <c r="A14" s="58" t="s">
        <v>60</v>
      </c>
      <c r="B14" s="59"/>
      <c r="C14" s="62" t="s">
        <v>65</v>
      </c>
      <c r="D14" s="62" t="s">
        <v>66</v>
      </c>
      <c r="E14" s="62" t="s">
        <v>67</v>
      </c>
    </row>
    <row r="15" spans="1:5" ht="22.5" customHeight="1" x14ac:dyDescent="0.25">
      <c r="A15" s="58"/>
      <c r="B15" s="59" t="s">
        <v>58</v>
      </c>
      <c r="C15" s="60" t="s">
        <v>68</v>
      </c>
      <c r="D15" s="60" t="s">
        <v>69</v>
      </c>
      <c r="E15" s="60" t="s">
        <v>70</v>
      </c>
    </row>
    <row r="16" spans="1:5" ht="19.5" customHeight="1" x14ac:dyDescent="0.25">
      <c r="A16" s="58"/>
      <c r="B16" s="59" t="s">
        <v>77</v>
      </c>
      <c r="C16" s="61">
        <f>C13/SUM($C$13:$E$13)</f>
        <v>3.1337191405254192E-2</v>
      </c>
      <c r="D16" s="61">
        <f t="shared" ref="D16:E16" si="0">D13/SUM($C$13:$E$13)</f>
        <v>0.20643915710539285</v>
      </c>
      <c r="E16" s="61">
        <f t="shared" si="0"/>
        <v>0.76222365148935289</v>
      </c>
    </row>
    <row r="17" spans="1:5" ht="16.5" customHeight="1" x14ac:dyDescent="0.25"/>
    <row r="19" spans="1:5" ht="25.5" x14ac:dyDescent="0.25">
      <c r="A19" s="40" t="s">
        <v>75</v>
      </c>
    </row>
    <row r="20" spans="1:5" ht="42" customHeight="1" x14ac:dyDescent="0.25">
      <c r="A20" s="64" t="s">
        <v>58</v>
      </c>
      <c r="B20" s="69" t="s">
        <v>56</v>
      </c>
      <c r="C20" s="63" t="str">
        <f>"= kWhs recorded X C1 X A1 X LDNO Discount / 100 "</f>
        <v xml:space="preserve">= kWhs recorded X C1 X A1 X LDNO Discount / 100 </v>
      </c>
      <c r="D20" s="63" t="str">
        <f>"= kWhs recorded X C2 X A2 X LDNO Discount / 100 "</f>
        <v xml:space="preserve">= kWhs recorded X C2 X A2 X LDNO Discount / 100 </v>
      </c>
      <c r="E20" s="63" t="str">
        <f>"= kWhs recorded X C3 X A3 X LDNO Discount / 100 "</f>
        <v xml:space="preserve">= kWhs recorded X C3 X A3 X LDNO Discount / 100 </v>
      </c>
    </row>
    <row r="21" spans="1:5" ht="39.75" customHeight="1" x14ac:dyDescent="0.25">
      <c r="A21" s="42" t="s">
        <v>71</v>
      </c>
      <c r="B21" s="69"/>
      <c r="C21" s="43">
        <f>'WPD SW CALCs Without UMC Ratio '!J3*'CMS COMPARISON  # 1'!$B$36*$C$10*$C$16/100</f>
        <v>11247.527182864227</v>
      </c>
      <c r="D21" s="43">
        <f>'WPD SW CALCs Without UMC Ratio '!J3*'CMS COMPARISON  # 1'!$B$36*$D$10*$D$16/100</f>
        <v>1106.5823416191663</v>
      </c>
      <c r="E21" s="43">
        <f>'WPD SW CALCs Without UMC Ratio '!J3*'CMS COMPARISON  # 1'!$B$36*$E$10*$E$16/100</f>
        <v>3132.7713938063216</v>
      </c>
    </row>
    <row r="22" spans="1:5" ht="30" customHeight="1" x14ac:dyDescent="0.25">
      <c r="A22" s="42" t="s">
        <v>72</v>
      </c>
      <c r="B22" s="69"/>
      <c r="C22" s="43">
        <f>'WPD SW CALCs Without UMC Ratio '!J3*'CMS COMPARISON  # 1'!$C$36*$C$10*$C$16/100</f>
        <v>9905.3734779452352</v>
      </c>
      <c r="D22" s="43">
        <f>'WPD SW CALCs Without UMC Ratio '!J3*'CMS COMPARISON  # 1'!$C$36*$D$10*$D$16/100</f>
        <v>974.53522002031127</v>
      </c>
      <c r="E22" s="43">
        <f>'WPD SW CALCs Without UMC Ratio '!J3*'CMS COMPARISON  # 1'!$C$36*$E$10*$E$16/100</f>
        <v>2758.9416030886555</v>
      </c>
    </row>
    <row r="23" spans="1:5" ht="30" customHeight="1" x14ac:dyDescent="0.25">
      <c r="A23" s="42" t="s">
        <v>73</v>
      </c>
      <c r="B23" s="69"/>
      <c r="C23" s="43">
        <f>C21-C22</f>
        <v>1342.1537049189919</v>
      </c>
      <c r="D23" s="43">
        <f>D21-D22</f>
        <v>132.04712159885503</v>
      </c>
      <c r="E23" s="43">
        <f>E21-E22</f>
        <v>373.82979071766613</v>
      </c>
    </row>
    <row r="24" spans="1:5" ht="30" customHeight="1" x14ac:dyDescent="0.25">
      <c r="A24" s="42" t="s">
        <v>74</v>
      </c>
      <c r="B24" s="69"/>
      <c r="C24" s="49">
        <f>SUM(C23:E23)</f>
        <v>1848.0306172355131</v>
      </c>
      <c r="D24" s="50"/>
      <c r="E24" s="51"/>
    </row>
    <row r="25" spans="1:5" ht="30" customHeight="1" x14ac:dyDescent="0.25">
      <c r="A25" s="48" t="s">
        <v>55</v>
      </c>
      <c r="B25" s="69"/>
      <c r="C25" s="46">
        <f>C24/'CMS COMPARISON  # 1'!C39</f>
        <v>3.7360368285363654E-2</v>
      </c>
      <c r="D25" s="46"/>
      <c r="E25" s="47"/>
    </row>
    <row r="26" spans="1:5" ht="63" customHeight="1" x14ac:dyDescent="0.25">
      <c r="A26" s="48" t="s">
        <v>78</v>
      </c>
      <c r="B26" s="77" t="str">
        <f>" It should be noted that the current level of penetration of EDNO connections nationally is "&amp;TEXT($A$2/$B$2,"0.00%")</f>
        <v xml:space="preserve"> It should be noted that the current level of penetration of EDNO connections nationally is 0.51%</v>
      </c>
      <c r="C26" s="46">
        <f>C24*0.01</f>
        <v>18.480306172355132</v>
      </c>
      <c r="D26" s="46"/>
      <c r="E26" s="47"/>
    </row>
    <row r="27" spans="1:5" ht="51" x14ac:dyDescent="0.25">
      <c r="A27" s="48" t="s">
        <v>80</v>
      </c>
      <c r="B27" s="65"/>
      <c r="C27" s="46">
        <f>$A$2*$C$2*'WPD SW CALCs Without UMC Ratio '!$J$3/12</f>
        <v>432695.05346111039</v>
      </c>
      <c r="D27" s="46"/>
      <c r="E27" s="47"/>
    </row>
    <row r="28" spans="1:5" ht="51" x14ac:dyDescent="0.25">
      <c r="A28" s="48" t="s">
        <v>79</v>
      </c>
      <c r="B28" s="65"/>
      <c r="C28" s="74">
        <f>C26/C27</f>
        <v>4.2709769904998689E-5</v>
      </c>
      <c r="D28" s="74"/>
      <c r="E28" s="75"/>
    </row>
    <row r="30" spans="1:5" ht="25.5" x14ac:dyDescent="0.25">
      <c r="A30" s="40" t="s">
        <v>76</v>
      </c>
    </row>
    <row r="31" spans="1:5" ht="42" customHeight="1" x14ac:dyDescent="0.25">
      <c r="A31" s="64" t="s">
        <v>58</v>
      </c>
      <c r="B31" s="66" t="s">
        <v>56</v>
      </c>
      <c r="C31" s="63" t="str">
        <f>"= kWhs recorded X C1 X A1 X LDNO Discount / 100 "</f>
        <v xml:space="preserve">= kWhs recorded X C1 X A1 X LDNO Discount / 100 </v>
      </c>
      <c r="D31" s="63" t="str">
        <f>"= kWhs recorded X C2 X A2 X LDNO Discount / 100 "</f>
        <v xml:space="preserve">= kWhs recorded X C2 X A2 X LDNO Discount / 100 </v>
      </c>
      <c r="E31" s="63" t="str">
        <f>"= kWhs recorded X C3 X A3 X LDNO Discount / 100 "</f>
        <v xml:space="preserve">= kWhs recorded X C3 X A3 X LDNO Discount / 100 </v>
      </c>
    </row>
    <row r="32" spans="1:5" ht="30" customHeight="1" x14ac:dyDescent="0.25">
      <c r="A32" s="42" t="s">
        <v>71</v>
      </c>
      <c r="B32" s="67"/>
      <c r="C32" s="43">
        <f>'WPD SW CALCs Without UMC Ratio '!J3*'CMS COMPARISON # 2'!$B$36*$C$10*$C$16/100</f>
        <v>8107.7466989722361</v>
      </c>
      <c r="D32" s="43">
        <f>'WPD SW CALCs Without UMC Ratio '!J3*'CMS COMPARISON # 2'!$B$36*$D$10*$D$16/100</f>
        <v>797.67660762559137</v>
      </c>
      <c r="E32" s="43">
        <f>'WPD SW CALCs Without UMC Ratio '!J3*'CMS COMPARISON # 2'!$B$36*$E$10*$E$16/100</f>
        <v>2258.2489923175904</v>
      </c>
    </row>
    <row r="33" spans="1:5" ht="30" customHeight="1" x14ac:dyDescent="0.25">
      <c r="A33" s="42" t="s">
        <v>72</v>
      </c>
      <c r="B33" s="67"/>
      <c r="C33" s="43">
        <f>'WPD SW CALCs Without UMC Ratio '!J3*'CMS COMPARISON # 2'!$C$36*$C$10*$C$16/100</f>
        <v>5881.0692462372708</v>
      </c>
      <c r="D33" s="43">
        <f>'WPD SW CALCs Without UMC Ratio '!J3*'CMS COMPARISON # 2'!$C$36*$D$10*$D$16/100</f>
        <v>578.60605908475304</v>
      </c>
      <c r="E33" s="43">
        <f>'WPD SW CALCs Without UMC Ratio '!J3*'CMS COMPARISON # 2'!$C$36*$E$10*$E$16/100</f>
        <v>1638.052987120185</v>
      </c>
    </row>
    <row r="34" spans="1:5" ht="30" customHeight="1" x14ac:dyDescent="0.25">
      <c r="A34" s="42" t="s">
        <v>73</v>
      </c>
      <c r="B34" s="67"/>
      <c r="C34" s="43">
        <f>C32-C33</f>
        <v>2226.6774527349653</v>
      </c>
      <c r="D34" s="43">
        <f t="shared" ref="D34" si="1">D32-D33</f>
        <v>219.07054854083833</v>
      </c>
      <c r="E34" s="43">
        <f t="shared" ref="E34" si="2">E32-E33</f>
        <v>620.19600519740538</v>
      </c>
    </row>
    <row r="35" spans="1:5" ht="30" customHeight="1" x14ac:dyDescent="0.25">
      <c r="A35" s="42" t="s">
        <v>74</v>
      </c>
      <c r="B35" s="67"/>
      <c r="C35" s="49">
        <f>SUM(C34:E34)</f>
        <v>3065.9440064732089</v>
      </c>
      <c r="D35" s="50"/>
      <c r="E35" s="51"/>
    </row>
    <row r="36" spans="1:5" ht="30" customHeight="1" x14ac:dyDescent="0.25">
      <c r="A36" s="48" t="s">
        <v>55</v>
      </c>
      <c r="B36" s="68"/>
      <c r="C36" s="45">
        <f>C35/'CMS COMPARISON # 2'!C38</f>
        <v>7.8931699571948843E-2</v>
      </c>
      <c r="D36" s="46"/>
      <c r="E36" s="47"/>
    </row>
    <row r="37" spans="1:5" ht="73.5" customHeight="1" x14ac:dyDescent="0.25">
      <c r="A37" s="48" t="s">
        <v>78</v>
      </c>
      <c r="B37" s="77" t="str">
        <f>" It should be noted that the current level of penetration of EDNO connections nationally is "&amp;TEXT($A$2/$B$2,"0.00%")</f>
        <v xml:space="preserve"> It should be noted that the current level of penetration of EDNO connections nationally is 0.51%</v>
      </c>
      <c r="C37" s="46">
        <f>C35*0.01</f>
        <v>30.659440064732088</v>
      </c>
      <c r="D37" s="46"/>
      <c r="E37" s="47"/>
    </row>
    <row r="38" spans="1:5" ht="51" x14ac:dyDescent="0.25">
      <c r="A38" s="48" t="s">
        <v>80</v>
      </c>
      <c r="B38" s="65"/>
      <c r="C38" s="46">
        <f>$A$2*$C$2*'WPD SW CALCs Without UMC Ratio '!$J$3/12</f>
        <v>432695.05346111039</v>
      </c>
      <c r="D38" s="46"/>
      <c r="E38" s="47"/>
    </row>
    <row r="39" spans="1:5" ht="51" x14ac:dyDescent="0.25">
      <c r="A39" s="48" t="s">
        <v>79</v>
      </c>
      <c r="B39" s="65"/>
      <c r="C39" s="74">
        <f>C37/C38</f>
        <v>7.0856922951830523E-5</v>
      </c>
      <c r="D39" s="74"/>
      <c r="E39" s="75"/>
    </row>
  </sheetData>
  <mergeCells count="14">
    <mergeCell ref="C2:D2"/>
    <mergeCell ref="C38:E38"/>
    <mergeCell ref="C39:E39"/>
    <mergeCell ref="C36:E36"/>
    <mergeCell ref="C37:E37"/>
    <mergeCell ref="B31:B36"/>
    <mergeCell ref="C27:E27"/>
    <mergeCell ref="C28:E28"/>
    <mergeCell ref="C25:E25"/>
    <mergeCell ref="C26:E26"/>
    <mergeCell ref="B20:B25"/>
    <mergeCell ref="C35:E35"/>
    <mergeCell ref="C24:E24"/>
    <mergeCell ref="C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WPD SW CALCs Without UMC Ratio </vt:lpstr>
      <vt:lpstr>CMS COMPARISON  # 1</vt:lpstr>
      <vt:lpstr>CMS COMPARISON # 2</vt:lpstr>
      <vt:lpstr>Analysis</vt:lpstr>
      <vt:lpstr>aa</vt:lpstr>
    </vt:vector>
  </TitlesOfParts>
  <Company>Western Power Distribution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Hawkins, Mike J.</dc:creator>
  <cp:lastModifiedBy>Neil Fitzsimons</cp:lastModifiedBy>
  <dcterms:created xsi:type="dcterms:W3CDTF">2013-05-08T09:25:05Z</dcterms:created>
  <dcterms:modified xsi:type="dcterms:W3CDTF">2013-08-19T15:01:41Z</dcterms:modified>
</cp:coreProperties>
</file>